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uno Matheus\Downloads\"/>
    </mc:Choice>
  </mc:AlternateContent>
  <xr:revisionPtr revIDLastSave="0" documentId="13_ncr:1_{971E0F30-D496-4747-B957-0485D79FE5D5}" xr6:coauthVersionLast="47" xr6:coauthVersionMax="47" xr10:uidLastSave="{00000000-0000-0000-0000-000000000000}"/>
  <bookViews>
    <workbookView xWindow="-108" yWindow="-108" windowWidth="23256" windowHeight="12456" tabRatio="500" firstSheet="4" activeTab="4" xr2:uid="{00000000-000D-0000-FFFF-FFFF00000000}"/>
  </bookViews>
  <sheets>
    <sheet name="PAINEL" sheetId="24" r:id="rId1"/>
    <sheet name="BUSCA DE CUSTO" sheetId="1" r:id="rId2"/>
    <sheet name="EVOLUÇÃO DE CUSTOS - PRODUTOS" sheetId="23" r:id="rId3"/>
    <sheet name="EVOLUÇÃO DE CUSTOS - MP" sheetId="2" r:id="rId4"/>
    <sheet name="PARÂMETROS" sheetId="3" r:id="rId5"/>
    <sheet name="LBD" sheetId="7" r:id="rId6"/>
    <sheet name="CORPO MANDRIL" sheetId="4" r:id="rId7"/>
    <sheet name="LUN" sheetId="6" r:id="rId8"/>
    <sheet name="SUPERFLEX" sheetId="5" r:id="rId9"/>
    <sheet name="PIGS EM BORRACHA" sheetId="22" r:id="rId10"/>
    <sheet name="ELC_MG_PC" sheetId="8" r:id="rId11"/>
    <sheet name="PU CAST" sheetId="9" r:id="rId12"/>
    <sheet name="SILICONE" sheetId="10" r:id="rId13"/>
    <sheet name="H" sheetId="11" r:id="rId14"/>
    <sheet name="HS" sheetId="12" r:id="rId15"/>
    <sheet name="HL" sheetId="13" r:id="rId16"/>
    <sheet name="HLR" sheetId="14" r:id="rId17"/>
    <sheet name="HLR X" sheetId="15" r:id="rId18"/>
    <sheet name="HLR R" sheetId="16" r:id="rId19"/>
    <sheet name="HLR V" sheetId="17" r:id="rId20"/>
    <sheet name="HLB" sheetId="18" r:id="rId21"/>
    <sheet name="HDISC" sheetId="19" r:id="rId22"/>
    <sheet name="HLCC" sheetId="20" r:id="rId23"/>
    <sheet name="HLCC PC" sheetId="21" r:id="rId24"/>
  </sheets>
  <definedNames>
    <definedName name="_xlnm._FilterDatabase" localSheetId="1" hidden="1">'BUSCA DE CUSTO'!$B$18:$G$829</definedName>
    <definedName name="_xlnm._FilterDatabase" localSheetId="6" hidden="1">'CORPO MANDRIL'!$B$3:$I$25</definedName>
    <definedName name="_xlnm._FilterDatabase" localSheetId="10" hidden="1">ELC_MG_PC!$B$3:$J$91</definedName>
    <definedName name="_xlnm._FilterDatabase" localSheetId="13" hidden="1">H!$A$5:$CJ$104</definedName>
    <definedName name="_xlnm._FilterDatabase" localSheetId="21" hidden="1">HDISC!$A$6:$BO$54</definedName>
    <definedName name="_xlnm._FilterDatabase" localSheetId="15" hidden="1">HL!$A$6:$BP$54</definedName>
    <definedName name="_xlnm._FilterDatabase" localSheetId="20" hidden="1">HLB!$A$6:$BQ$54</definedName>
    <definedName name="_xlnm._FilterDatabase" localSheetId="22" hidden="1">HLCC!$A$6:$BN$13</definedName>
    <definedName name="_xlnm._FilterDatabase" localSheetId="23" hidden="1">'HLCC PC'!$A$6:$BY$13</definedName>
    <definedName name="_xlnm._FilterDatabase" localSheetId="16" hidden="1">HLR!$A$6:$BT$54</definedName>
    <definedName name="_xlnm._FilterDatabase" localSheetId="18" hidden="1">'HLR R'!$A$6:$BR$54</definedName>
    <definedName name="_xlnm._FilterDatabase" localSheetId="19" hidden="1">'HLR V'!$A$6:$BQ$54</definedName>
    <definedName name="_xlnm._FilterDatabase" localSheetId="17" hidden="1">'HLR X'!$A$6:$BS$54</definedName>
    <definedName name="_xlnm._FilterDatabase" localSheetId="14" hidden="1">HS!$A$6:$AQ$54</definedName>
    <definedName name="_xlnm._FilterDatabase" localSheetId="5" hidden="1">LBD!$A$31:$BJ$54</definedName>
    <definedName name="_xlnm._FilterDatabase" localSheetId="7" hidden="1">LUN!$A$32:$BX$55</definedName>
    <definedName name="_xlnm._FilterDatabase" localSheetId="11" hidden="1">'PU CAST'!$A$9:$AK$89</definedName>
    <definedName name="_xlnm._FilterDatabase" localSheetId="12" hidden="1">SILICONE!$D$5:$P$16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7" i="7" l="1"/>
  <c r="M27" i="7"/>
  <c r="J27" i="7"/>
  <c r="I27" i="7"/>
  <c r="F27" i="7"/>
  <c r="E27" i="7"/>
  <c r="N26" i="7"/>
  <c r="M26" i="7"/>
  <c r="J26" i="7"/>
  <c r="I26" i="7"/>
  <c r="F26" i="7"/>
  <c r="E26" i="7"/>
  <c r="N25" i="7"/>
  <c r="M25" i="7"/>
  <c r="J25" i="7"/>
  <c r="I25" i="7"/>
  <c r="F25" i="7"/>
  <c r="E25" i="7"/>
  <c r="N24" i="7"/>
  <c r="M24" i="7"/>
  <c r="J24" i="7"/>
  <c r="I24" i="7"/>
  <c r="F24" i="7"/>
  <c r="E24" i="7"/>
  <c r="N23" i="7"/>
  <c r="M23" i="7"/>
  <c r="J23" i="7"/>
  <c r="I23" i="7"/>
  <c r="F23" i="7"/>
  <c r="E23" i="7"/>
  <c r="N22" i="7"/>
  <c r="M22" i="7"/>
  <c r="J22" i="7"/>
  <c r="I22" i="7"/>
  <c r="F22" i="7"/>
  <c r="E22" i="7"/>
  <c r="N21" i="7"/>
  <c r="M21" i="7"/>
  <c r="J21" i="7"/>
  <c r="I21" i="7"/>
  <c r="F21" i="7"/>
  <c r="E21" i="7"/>
  <c r="N20" i="7"/>
  <c r="M20" i="7"/>
  <c r="J20" i="7"/>
  <c r="I20" i="7"/>
  <c r="F20" i="7"/>
  <c r="E20" i="7"/>
  <c r="N19" i="7"/>
  <c r="M19" i="7"/>
  <c r="J19" i="7"/>
  <c r="I19" i="7"/>
  <c r="F19" i="7"/>
  <c r="E19" i="7"/>
  <c r="N18" i="7"/>
  <c r="M18" i="7"/>
  <c r="J18" i="7"/>
  <c r="I18" i="7"/>
  <c r="F18" i="7"/>
  <c r="E18" i="7"/>
  <c r="N17" i="7"/>
  <c r="M17" i="7"/>
  <c r="J17" i="7"/>
  <c r="I17" i="7"/>
  <c r="F17" i="7"/>
  <c r="E17" i="7"/>
  <c r="N16" i="7"/>
  <c r="M16" i="7"/>
  <c r="J16" i="7"/>
  <c r="I16" i="7"/>
  <c r="F16" i="7"/>
  <c r="E16" i="7"/>
  <c r="N15" i="7"/>
  <c r="M15" i="7"/>
  <c r="J15" i="7"/>
  <c r="I15" i="7"/>
  <c r="F15" i="7"/>
  <c r="E15" i="7"/>
  <c r="N14" i="7"/>
  <c r="M14" i="7"/>
  <c r="J14" i="7"/>
  <c r="I14" i="7"/>
  <c r="F14" i="7"/>
  <c r="E14" i="7"/>
  <c r="N13" i="7"/>
  <c r="M13" i="7"/>
  <c r="J13" i="7"/>
  <c r="I13" i="7"/>
  <c r="F13" i="7"/>
  <c r="E13" i="7"/>
  <c r="N12" i="7"/>
  <c r="M12" i="7"/>
  <c r="J12" i="7"/>
  <c r="I12" i="7"/>
  <c r="F12" i="7"/>
  <c r="E12" i="7"/>
  <c r="N11" i="7"/>
  <c r="M11" i="7"/>
  <c r="J11" i="7"/>
  <c r="I11" i="7"/>
  <c r="F11" i="7"/>
  <c r="E11" i="7"/>
  <c r="N10" i="7"/>
  <c r="M10" i="7"/>
  <c r="J10" i="7"/>
  <c r="I10" i="7"/>
  <c r="F10" i="7"/>
  <c r="E10" i="7"/>
  <c r="N9" i="7"/>
  <c r="M9" i="7"/>
  <c r="J9" i="7"/>
  <c r="I9" i="7"/>
  <c r="F9" i="7"/>
  <c r="E9" i="7"/>
  <c r="N8" i="7"/>
  <c r="M8" i="7"/>
  <c r="J8" i="7"/>
  <c r="I8" i="7"/>
  <c r="F8" i="7"/>
  <c r="E8" i="7"/>
  <c r="N7" i="7"/>
  <c r="M7" i="7"/>
  <c r="J7" i="7"/>
  <c r="I7" i="7"/>
  <c r="F7" i="7"/>
  <c r="E7" i="7"/>
  <c r="N6" i="7"/>
  <c r="M6" i="7"/>
  <c r="J6" i="7"/>
  <c r="I6" i="7"/>
  <c r="F6" i="7"/>
  <c r="E6" i="7"/>
  <c r="B13" i="1"/>
  <c r="G10" i="3"/>
  <c r="E9" i="8"/>
  <c r="AH13" i="21"/>
  <c r="AF13" i="21"/>
  <c r="M13" i="21"/>
  <c r="AH12" i="21"/>
  <c r="AF12" i="21"/>
  <c r="M12" i="21"/>
  <c r="AH11" i="21"/>
  <c r="AF11" i="21"/>
  <c r="M11" i="21"/>
  <c r="AH10" i="21"/>
  <c r="AF10" i="21"/>
  <c r="M10" i="21"/>
  <c r="M9" i="21"/>
  <c r="M8" i="21"/>
  <c r="M7" i="21"/>
  <c r="Q4" i="21"/>
  <c r="M13" i="20"/>
  <c r="M12" i="20"/>
  <c r="M11" i="20"/>
  <c r="M10" i="20"/>
  <c r="M9" i="20"/>
  <c r="M8" i="20"/>
  <c r="M7" i="20"/>
  <c r="Q4" i="20"/>
  <c r="M54" i="19"/>
  <c r="M53" i="19"/>
  <c r="M52" i="19"/>
  <c r="M51" i="19"/>
  <c r="M50" i="19"/>
  <c r="M49" i="19"/>
  <c r="M48" i="19"/>
  <c r="M47" i="19"/>
  <c r="M46" i="19"/>
  <c r="M45" i="19"/>
  <c r="M44" i="19"/>
  <c r="M43" i="19"/>
  <c r="M42" i="19"/>
  <c r="M41" i="19"/>
  <c r="M40" i="19"/>
  <c r="M39" i="19"/>
  <c r="M38" i="19"/>
  <c r="M37" i="19"/>
  <c r="M36" i="19"/>
  <c r="M35" i="19"/>
  <c r="M34" i="19"/>
  <c r="M33" i="19"/>
  <c r="M32" i="19"/>
  <c r="M31" i="19"/>
  <c r="M30" i="19"/>
  <c r="M29" i="19"/>
  <c r="M28" i="19"/>
  <c r="M27" i="19"/>
  <c r="M26" i="19"/>
  <c r="M25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M10" i="19"/>
  <c r="M9" i="19"/>
  <c r="M8" i="19"/>
  <c r="M7" i="19"/>
  <c r="Q4" i="19"/>
  <c r="M54" i="18"/>
  <c r="M53" i="18"/>
  <c r="M52" i="18"/>
  <c r="M51" i="18"/>
  <c r="M50" i="18"/>
  <c r="M49" i="18"/>
  <c r="M48" i="18"/>
  <c r="M47" i="18"/>
  <c r="M46" i="18"/>
  <c r="M45" i="18"/>
  <c r="M44" i="18"/>
  <c r="M43" i="18"/>
  <c r="M42" i="18"/>
  <c r="M41" i="18"/>
  <c r="M40" i="18"/>
  <c r="M39" i="18"/>
  <c r="M38" i="18"/>
  <c r="M37" i="18"/>
  <c r="M36" i="18"/>
  <c r="M35" i="18"/>
  <c r="M34" i="18"/>
  <c r="M33" i="18"/>
  <c r="M32" i="18"/>
  <c r="M31" i="18"/>
  <c r="M30" i="18"/>
  <c r="M29" i="18"/>
  <c r="M28" i="18"/>
  <c r="M27" i="18"/>
  <c r="M26" i="18"/>
  <c r="M25" i="18"/>
  <c r="M24" i="18"/>
  <c r="M23" i="18"/>
  <c r="M22" i="18"/>
  <c r="M21" i="18"/>
  <c r="M20" i="18"/>
  <c r="M19" i="18"/>
  <c r="M18" i="18"/>
  <c r="M17" i="18"/>
  <c r="M16" i="18"/>
  <c r="M15" i="18"/>
  <c r="M14" i="18"/>
  <c r="M13" i="18"/>
  <c r="M12" i="18"/>
  <c r="M11" i="18"/>
  <c r="M10" i="18"/>
  <c r="M9" i="18"/>
  <c r="M8" i="18"/>
  <c r="M7" i="18"/>
  <c r="Q4" i="18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Q4" i="17"/>
  <c r="M54" i="16"/>
  <c r="M53" i="16"/>
  <c r="M52" i="16"/>
  <c r="M51" i="16"/>
  <c r="M50" i="16"/>
  <c r="M49" i="16"/>
  <c r="M48" i="16"/>
  <c r="M47" i="16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Q4" i="16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Q4" i="15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Q4" i="14"/>
  <c r="Y54" i="13"/>
  <c r="W54" i="13"/>
  <c r="M54" i="13"/>
  <c r="Y53" i="13"/>
  <c r="W53" i="13"/>
  <c r="M53" i="13"/>
  <c r="Y52" i="13"/>
  <c r="W52" i="13"/>
  <c r="M52" i="13"/>
  <c r="Y51" i="13"/>
  <c r="W51" i="13"/>
  <c r="M51" i="13"/>
  <c r="Y50" i="13"/>
  <c r="W50" i="13"/>
  <c r="M50" i="13"/>
  <c r="Y49" i="13"/>
  <c r="W49" i="13"/>
  <c r="M49" i="13"/>
  <c r="Y48" i="13"/>
  <c r="W48" i="13"/>
  <c r="M48" i="13"/>
  <c r="Y47" i="13"/>
  <c r="W47" i="13"/>
  <c r="M47" i="13"/>
  <c r="Y46" i="13"/>
  <c r="W46" i="13"/>
  <c r="M46" i="13"/>
  <c r="Y45" i="13"/>
  <c r="W45" i="13"/>
  <c r="M45" i="13"/>
  <c r="Y44" i="13"/>
  <c r="W44" i="13"/>
  <c r="M44" i="13"/>
  <c r="Y43" i="13"/>
  <c r="W43" i="13"/>
  <c r="M43" i="13"/>
  <c r="Y42" i="13"/>
  <c r="W42" i="13"/>
  <c r="M42" i="13"/>
  <c r="Y41" i="13"/>
  <c r="W41" i="13"/>
  <c r="M41" i="13"/>
  <c r="Y40" i="13"/>
  <c r="W40" i="13"/>
  <c r="M40" i="13"/>
  <c r="Y39" i="13"/>
  <c r="W39" i="13"/>
  <c r="M39" i="13"/>
  <c r="Y38" i="13"/>
  <c r="W38" i="13"/>
  <c r="M38" i="13"/>
  <c r="Y37" i="13"/>
  <c r="W37" i="13"/>
  <c r="M37" i="13"/>
  <c r="Y36" i="13"/>
  <c r="W36" i="13"/>
  <c r="M36" i="13"/>
  <c r="Y35" i="13"/>
  <c r="W35" i="13"/>
  <c r="M35" i="13"/>
  <c r="Y34" i="13"/>
  <c r="W34" i="13"/>
  <c r="M34" i="13"/>
  <c r="Y33" i="13"/>
  <c r="W33" i="13"/>
  <c r="M33" i="13"/>
  <c r="Y32" i="13"/>
  <c r="W32" i="13"/>
  <c r="M32" i="13"/>
  <c r="Y31" i="13"/>
  <c r="W31" i="13"/>
  <c r="M31" i="13"/>
  <c r="Y30" i="13"/>
  <c r="W30" i="13"/>
  <c r="M30" i="13"/>
  <c r="Y29" i="13"/>
  <c r="W29" i="13"/>
  <c r="M29" i="13"/>
  <c r="Y28" i="13"/>
  <c r="W28" i="13"/>
  <c r="M28" i="13"/>
  <c r="Y27" i="13"/>
  <c r="W27" i="13"/>
  <c r="M27" i="13"/>
  <c r="Y26" i="13"/>
  <c r="W26" i="13"/>
  <c r="M26" i="13"/>
  <c r="Y25" i="13"/>
  <c r="W25" i="13"/>
  <c r="M25" i="13"/>
  <c r="Y24" i="13"/>
  <c r="W24" i="13"/>
  <c r="M24" i="13"/>
  <c r="Y23" i="13"/>
  <c r="W23" i="13"/>
  <c r="M23" i="13"/>
  <c r="Y22" i="13"/>
  <c r="W22" i="13"/>
  <c r="M22" i="13"/>
  <c r="Y21" i="13"/>
  <c r="W21" i="13"/>
  <c r="M21" i="13"/>
  <c r="Y20" i="13"/>
  <c r="W20" i="13"/>
  <c r="M20" i="13"/>
  <c r="Y19" i="13"/>
  <c r="W19" i="13"/>
  <c r="M19" i="13"/>
  <c r="Y18" i="13"/>
  <c r="W18" i="13"/>
  <c r="M18" i="13"/>
  <c r="Y17" i="13"/>
  <c r="W17" i="13"/>
  <c r="M17" i="13"/>
  <c r="Y16" i="13"/>
  <c r="W16" i="13"/>
  <c r="M16" i="13"/>
  <c r="Y15" i="13"/>
  <c r="W15" i="13"/>
  <c r="M15" i="13"/>
  <c r="Y14" i="13"/>
  <c r="W14" i="13"/>
  <c r="M14" i="13"/>
  <c r="Y13" i="13"/>
  <c r="W13" i="13"/>
  <c r="M13" i="13"/>
  <c r="Y12" i="13"/>
  <c r="W12" i="13"/>
  <c r="M12" i="13"/>
  <c r="Y11" i="13"/>
  <c r="W11" i="13"/>
  <c r="M11" i="13"/>
  <c r="Y10" i="13"/>
  <c r="W10" i="13"/>
  <c r="M10" i="13"/>
  <c r="Y9" i="13"/>
  <c r="W9" i="13"/>
  <c r="M9" i="13"/>
  <c r="Y8" i="13"/>
  <c r="W8" i="13"/>
  <c r="M8" i="13"/>
  <c r="Y7" i="13"/>
  <c r="W7" i="13"/>
  <c r="M7" i="13"/>
  <c r="Q4" i="13"/>
  <c r="N4" i="12"/>
  <c r="M3" i="11"/>
  <c r="K3" i="11"/>
  <c r="B3" i="10"/>
  <c r="I15" i="10" s="1"/>
  <c r="B2" i="10"/>
  <c r="I16" i="10" s="1"/>
  <c r="I14" i="10" l="1"/>
  <c r="F75" i="9" l="1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L3" i="9"/>
  <c r="E2" i="9"/>
  <c r="B1" i="10"/>
  <c r="Y4" i="16"/>
  <c r="Y4" i="14"/>
  <c r="K10" i="22"/>
  <c r="J10" i="22"/>
  <c r="I10" i="22"/>
  <c r="H10" i="22"/>
  <c r="K9" i="22"/>
  <c r="J9" i="22"/>
  <c r="I9" i="22"/>
  <c r="H9" i="22"/>
  <c r="K8" i="22"/>
  <c r="J8" i="22"/>
  <c r="I8" i="22"/>
  <c r="H8" i="22"/>
  <c r="K7" i="22"/>
  <c r="J7" i="22"/>
  <c r="I7" i="22"/>
  <c r="H7" i="22"/>
  <c r="K6" i="22"/>
  <c r="J6" i="22"/>
  <c r="I6" i="22"/>
  <c r="H6" i="22"/>
  <c r="BC9" i="7"/>
  <c r="F12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142" i="23"/>
  <c r="N143" i="23"/>
  <c r="N144" i="23"/>
  <c r="N145" i="23"/>
  <c r="N146" i="23"/>
  <c r="N147" i="23"/>
  <c r="N148" i="23"/>
  <c r="N149" i="23"/>
  <c r="N150" i="23"/>
  <c r="N151" i="23"/>
  <c r="N152" i="23"/>
  <c r="N153" i="23"/>
  <c r="N154" i="23"/>
  <c r="N155" i="23"/>
  <c r="N156" i="23"/>
  <c r="N157" i="23"/>
  <c r="N158" i="23"/>
  <c r="N159" i="23"/>
  <c r="N160" i="23"/>
  <c r="N161" i="23"/>
  <c r="N162" i="23"/>
  <c r="N163" i="23"/>
  <c r="N164" i="23"/>
  <c r="N165" i="23"/>
  <c r="N166" i="23"/>
  <c r="N167" i="23"/>
  <c r="N168" i="23"/>
  <c r="N169" i="23"/>
  <c r="N170" i="23"/>
  <c r="N171" i="23"/>
  <c r="N172" i="23"/>
  <c r="N173" i="23"/>
  <c r="N174" i="23"/>
  <c r="N175" i="23"/>
  <c r="N176" i="23"/>
  <c r="N177" i="23"/>
  <c r="N178" i="23"/>
  <c r="N179" i="23"/>
  <c r="N180" i="23"/>
  <c r="N181" i="23"/>
  <c r="N182" i="23"/>
  <c r="N183" i="23"/>
  <c r="N184" i="23"/>
  <c r="N185" i="23"/>
  <c r="N186" i="23"/>
  <c r="N187" i="23"/>
  <c r="N188" i="23"/>
  <c r="N189" i="23"/>
  <c r="N190" i="23"/>
  <c r="N191" i="23"/>
  <c r="N192" i="23"/>
  <c r="N193" i="23"/>
  <c r="N194" i="23"/>
  <c r="N195" i="23"/>
  <c r="N196" i="23"/>
  <c r="N197" i="23"/>
  <c r="N198" i="23"/>
  <c r="N199" i="23"/>
  <c r="N200" i="23"/>
  <c r="N201" i="23"/>
  <c r="N202" i="23"/>
  <c r="N203" i="23"/>
  <c r="N204" i="23"/>
  <c r="N205" i="23"/>
  <c r="N206" i="23"/>
  <c r="N207" i="23"/>
  <c r="N208" i="23"/>
  <c r="N209" i="23"/>
  <c r="N210" i="23"/>
  <c r="N211" i="23"/>
  <c r="N212" i="23"/>
  <c r="N213" i="23"/>
  <c r="N214" i="23"/>
  <c r="N215" i="23"/>
  <c r="N216" i="23"/>
  <c r="N217" i="23"/>
  <c r="N218" i="23"/>
  <c r="N219" i="23"/>
  <c r="N220" i="23"/>
  <c r="N221" i="23"/>
  <c r="N222" i="23"/>
  <c r="N223" i="23"/>
  <c r="N224" i="23"/>
  <c r="N225" i="23"/>
  <c r="N226" i="23"/>
  <c r="N227" i="23"/>
  <c r="N228" i="23"/>
  <c r="N229" i="23"/>
  <c r="N230" i="23"/>
  <c r="N231" i="23"/>
  <c r="N232" i="23"/>
  <c r="N233" i="23"/>
  <c r="N234" i="23"/>
  <c r="N235" i="23"/>
  <c r="N236" i="23"/>
  <c r="N237" i="23"/>
  <c r="N238" i="23"/>
  <c r="N239" i="23"/>
  <c r="N240" i="23"/>
  <c r="N241" i="23"/>
  <c r="N242" i="23"/>
  <c r="N243" i="23"/>
  <c r="N244" i="23"/>
  <c r="N245" i="23"/>
  <c r="N246" i="23"/>
  <c r="N247" i="23"/>
  <c r="N248" i="23"/>
  <c r="N249" i="23"/>
  <c r="N250" i="23"/>
  <c r="N251" i="23"/>
  <c r="N252" i="23"/>
  <c r="N253" i="23"/>
  <c r="N254" i="23"/>
  <c r="N255" i="23"/>
  <c r="N256" i="23"/>
  <c r="N257" i="23"/>
  <c r="N258" i="23"/>
  <c r="N259" i="23"/>
  <c r="N260" i="23"/>
  <c r="N261" i="23"/>
  <c r="N262" i="23"/>
  <c r="N263" i="23"/>
  <c r="N264" i="23"/>
  <c r="N265" i="23"/>
  <c r="N266" i="23"/>
  <c r="N267" i="23"/>
  <c r="N268" i="23"/>
  <c r="N269" i="23"/>
  <c r="N270" i="23"/>
  <c r="N271" i="23"/>
  <c r="N272" i="23"/>
  <c r="N273" i="23"/>
  <c r="N274" i="23"/>
  <c r="N275" i="23"/>
  <c r="N276" i="23"/>
  <c r="N277" i="23"/>
  <c r="N278" i="23"/>
  <c r="N279" i="23"/>
  <c r="N280" i="23"/>
  <c r="N281" i="23"/>
  <c r="N282" i="23"/>
  <c r="N283" i="23"/>
  <c r="N284" i="23"/>
  <c r="N285" i="23"/>
  <c r="N286" i="23"/>
  <c r="N287" i="23"/>
  <c r="N288" i="23"/>
  <c r="N289" i="23"/>
  <c r="N290" i="23"/>
  <c r="N291" i="23"/>
  <c r="N292" i="23"/>
  <c r="N293" i="23"/>
  <c r="N294" i="23"/>
  <c r="N295" i="23"/>
  <c r="N296" i="23"/>
  <c r="N297" i="23"/>
  <c r="N298" i="23"/>
  <c r="N299" i="23"/>
  <c r="N300" i="23"/>
  <c r="N301" i="23"/>
  <c r="N302" i="23"/>
  <c r="N303" i="23"/>
  <c r="N304" i="23"/>
  <c r="N305" i="23"/>
  <c r="N306" i="23"/>
  <c r="N307" i="23"/>
  <c r="N308" i="23"/>
  <c r="N309" i="23"/>
  <c r="N310" i="23"/>
  <c r="N311" i="23"/>
  <c r="N312" i="23"/>
  <c r="N313" i="23"/>
  <c r="N314" i="23"/>
  <c r="N315" i="23"/>
  <c r="N316" i="23"/>
  <c r="N317" i="23"/>
  <c r="N318" i="23"/>
  <c r="N319" i="23"/>
  <c r="N320" i="23"/>
  <c r="N321" i="23"/>
  <c r="N322" i="23"/>
  <c r="N323" i="23"/>
  <c r="N324" i="23"/>
  <c r="N325" i="23"/>
  <c r="N326" i="23"/>
  <c r="N327" i="23"/>
  <c r="N328" i="23"/>
  <c r="N329" i="23"/>
  <c r="N330" i="23"/>
  <c r="N331" i="23"/>
  <c r="N332" i="23"/>
  <c r="N333" i="23"/>
  <c r="N334" i="23"/>
  <c r="N335" i="23"/>
  <c r="N336" i="23"/>
  <c r="N337" i="23"/>
  <c r="N338" i="23"/>
  <c r="N339" i="23"/>
  <c r="N340" i="23"/>
  <c r="N341" i="23"/>
  <c r="N342" i="23"/>
  <c r="N343" i="23"/>
  <c r="N344" i="23"/>
  <c r="N345" i="23"/>
  <c r="N346" i="23"/>
  <c r="N347" i="23"/>
  <c r="N348" i="23"/>
  <c r="N349" i="23"/>
  <c r="N350" i="23"/>
  <c r="N351" i="23"/>
  <c r="N352" i="23"/>
  <c r="N353" i="23"/>
  <c r="N354" i="23"/>
  <c r="N355" i="23"/>
  <c r="N356" i="23"/>
  <c r="N357" i="23"/>
  <c r="K800" i="23" s="1"/>
  <c r="L800" i="23" s="1"/>
  <c r="N358" i="23"/>
  <c r="N359" i="23"/>
  <c r="N360" i="23"/>
  <c r="N361" i="23"/>
  <c r="N362" i="23"/>
  <c r="N363" i="23"/>
  <c r="N364" i="23"/>
  <c r="N365" i="23"/>
  <c r="N366" i="23"/>
  <c r="N367" i="23"/>
  <c r="N368" i="23"/>
  <c r="N369" i="23"/>
  <c r="N370" i="23"/>
  <c r="N371" i="23"/>
  <c r="N372" i="23"/>
  <c r="N373" i="23"/>
  <c r="N374" i="23"/>
  <c r="N375" i="23"/>
  <c r="N376" i="23"/>
  <c r="N377" i="23"/>
  <c r="N378" i="23"/>
  <c r="N379" i="23"/>
  <c r="N380" i="23"/>
  <c r="N381" i="23"/>
  <c r="N382" i="23"/>
  <c r="N383" i="23"/>
  <c r="N384" i="23"/>
  <c r="N385" i="23"/>
  <c r="N386" i="23"/>
  <c r="N387" i="23"/>
  <c r="N388" i="23"/>
  <c r="N389" i="23"/>
  <c r="N390" i="23"/>
  <c r="N391" i="23"/>
  <c r="N392" i="23"/>
  <c r="N393" i="23"/>
  <c r="N394" i="23"/>
  <c r="N395" i="23"/>
  <c r="N396" i="23"/>
  <c r="N397" i="23"/>
  <c r="N398" i="23"/>
  <c r="N399" i="23"/>
  <c r="N400" i="23"/>
  <c r="N401" i="23"/>
  <c r="N402" i="23"/>
  <c r="N403" i="23"/>
  <c r="N404" i="23"/>
  <c r="N405" i="23"/>
  <c r="N406" i="23"/>
  <c r="N407" i="23"/>
  <c r="N408" i="23"/>
  <c r="N409" i="23"/>
  <c r="N410" i="23"/>
  <c r="N411" i="23"/>
  <c r="N412" i="23"/>
  <c r="N413" i="23"/>
  <c r="N414" i="23"/>
  <c r="N415" i="23"/>
  <c r="N416" i="23"/>
  <c r="N417" i="23"/>
  <c r="N418" i="23"/>
  <c r="N419" i="23"/>
  <c r="N420" i="23"/>
  <c r="N421" i="23"/>
  <c r="N422" i="23"/>
  <c r="N423" i="23"/>
  <c r="N424" i="23"/>
  <c r="N425" i="23"/>
  <c r="N426" i="23"/>
  <c r="N427" i="23"/>
  <c r="N428" i="23"/>
  <c r="N429" i="23"/>
  <c r="N430" i="23"/>
  <c r="N431" i="23"/>
  <c r="N432" i="23"/>
  <c r="N433" i="23"/>
  <c r="N434" i="23"/>
  <c r="N435" i="23"/>
  <c r="N436" i="23"/>
  <c r="N437" i="23"/>
  <c r="N438" i="23"/>
  <c r="N439" i="23"/>
  <c r="N440" i="23"/>
  <c r="N441" i="23"/>
  <c r="N442" i="23"/>
  <c r="N443" i="23"/>
  <c r="N444" i="23"/>
  <c r="N445" i="23"/>
  <c r="N446" i="23"/>
  <c r="N447" i="23"/>
  <c r="N448" i="23"/>
  <c r="N449" i="23"/>
  <c r="N450" i="23"/>
  <c r="N451" i="23"/>
  <c r="N452" i="23"/>
  <c r="N453" i="23"/>
  <c r="N454" i="23"/>
  <c r="N455" i="23"/>
  <c r="N456" i="23"/>
  <c r="N457" i="23"/>
  <c r="N458" i="23"/>
  <c r="N459" i="23"/>
  <c r="N460" i="23"/>
  <c r="N461" i="23"/>
  <c r="N462" i="23"/>
  <c r="N463" i="23"/>
  <c r="N464" i="23"/>
  <c r="N465" i="23"/>
  <c r="N466" i="23"/>
  <c r="N467" i="23"/>
  <c r="N468" i="23"/>
  <c r="N469" i="23"/>
  <c r="N470" i="23"/>
  <c r="N471" i="23"/>
  <c r="N472" i="23"/>
  <c r="N473" i="23"/>
  <c r="N474" i="23"/>
  <c r="N475" i="23"/>
  <c r="N476" i="23"/>
  <c r="N477" i="23"/>
  <c r="N478" i="23"/>
  <c r="N479" i="23"/>
  <c r="N480" i="23"/>
  <c r="N481" i="23"/>
  <c r="N482" i="23"/>
  <c r="N483" i="23"/>
  <c r="N484" i="23"/>
  <c r="N485" i="23"/>
  <c r="N486" i="23"/>
  <c r="N487" i="23"/>
  <c r="N488" i="23"/>
  <c r="N489" i="23"/>
  <c r="N490" i="23"/>
  <c r="N491" i="23"/>
  <c r="N492" i="23"/>
  <c r="N493" i="23"/>
  <c r="N494" i="23"/>
  <c r="N495" i="23"/>
  <c r="N496" i="23"/>
  <c r="N497" i="23"/>
  <c r="N498" i="23"/>
  <c r="N499" i="23"/>
  <c r="N500" i="23"/>
  <c r="N501" i="23"/>
  <c r="N502" i="23"/>
  <c r="N503" i="23"/>
  <c r="N504" i="23"/>
  <c r="N505" i="23"/>
  <c r="N506" i="23"/>
  <c r="N507" i="23"/>
  <c r="N508" i="23"/>
  <c r="N509" i="23"/>
  <c r="N510" i="23"/>
  <c r="N511" i="23"/>
  <c r="N512" i="23"/>
  <c r="N513" i="23"/>
  <c r="N514" i="23"/>
  <c r="N515" i="23"/>
  <c r="N516" i="23"/>
  <c r="N517" i="23"/>
  <c r="N518" i="23"/>
  <c r="N519" i="23"/>
  <c r="N520" i="23"/>
  <c r="N521" i="23"/>
  <c r="N522" i="23"/>
  <c r="N523" i="23"/>
  <c r="N524" i="23"/>
  <c r="N525" i="23"/>
  <c r="N526" i="23"/>
  <c r="N527" i="23"/>
  <c r="N528" i="23"/>
  <c r="N529" i="23"/>
  <c r="N530" i="23"/>
  <c r="N531" i="23"/>
  <c r="N532" i="23"/>
  <c r="N533" i="23"/>
  <c r="N534" i="23"/>
  <c r="N535" i="23"/>
  <c r="N536" i="23"/>
  <c r="N537" i="23"/>
  <c r="N538" i="23"/>
  <c r="N539" i="23"/>
  <c r="N540" i="23"/>
  <c r="N541" i="23"/>
  <c r="N542" i="23"/>
  <c r="N543" i="23"/>
  <c r="N544" i="23"/>
  <c r="N545" i="23"/>
  <c r="N546" i="23"/>
  <c r="N547" i="23"/>
  <c r="N548" i="23"/>
  <c r="N549" i="23"/>
  <c r="N550" i="23"/>
  <c r="N551" i="23"/>
  <c r="N552" i="23"/>
  <c r="N553" i="23"/>
  <c r="N554" i="23"/>
  <c r="N555" i="23"/>
  <c r="N556" i="23"/>
  <c r="N557" i="23"/>
  <c r="N558" i="23"/>
  <c r="N559" i="23"/>
  <c r="N560" i="23"/>
  <c r="N561" i="23"/>
  <c r="N562" i="23"/>
  <c r="N563" i="23"/>
  <c r="N564" i="23"/>
  <c r="N565" i="23"/>
  <c r="N566" i="23"/>
  <c r="N567" i="23"/>
  <c r="N568" i="23"/>
  <c r="N569" i="23"/>
  <c r="N570" i="23"/>
  <c r="N571" i="23"/>
  <c r="N572" i="23"/>
  <c r="N573" i="23"/>
  <c r="N574" i="23"/>
  <c r="N575" i="23"/>
  <c r="N576" i="23"/>
  <c r="N577" i="23"/>
  <c r="N578" i="23"/>
  <c r="N579" i="23"/>
  <c r="N580" i="23"/>
  <c r="N581" i="23"/>
  <c r="N582" i="23"/>
  <c r="N583" i="23"/>
  <c r="N584" i="23"/>
  <c r="N585" i="23"/>
  <c r="N586" i="23"/>
  <c r="N587" i="23"/>
  <c r="N588" i="23"/>
  <c r="N589" i="23"/>
  <c r="N590" i="23"/>
  <c r="N591" i="23"/>
  <c r="N592" i="23"/>
  <c r="N593" i="23"/>
  <c r="N594" i="23"/>
  <c r="N595" i="23"/>
  <c r="N596" i="23"/>
  <c r="N597" i="23"/>
  <c r="N598" i="23"/>
  <c r="N599" i="23"/>
  <c r="N600" i="23"/>
  <c r="N601" i="23"/>
  <c r="N602" i="23"/>
  <c r="N603" i="23"/>
  <c r="N604" i="23"/>
  <c r="N605" i="23"/>
  <c r="N606" i="23"/>
  <c r="N607" i="23"/>
  <c r="N608" i="23"/>
  <c r="N609" i="23"/>
  <c r="N610" i="23"/>
  <c r="N611" i="23"/>
  <c r="N612" i="23"/>
  <c r="N613" i="23"/>
  <c r="N614" i="23"/>
  <c r="N615" i="23"/>
  <c r="N616" i="23"/>
  <c r="N617" i="23"/>
  <c r="N618" i="23"/>
  <c r="N619" i="23"/>
  <c r="N620" i="23"/>
  <c r="N621" i="23"/>
  <c r="N622" i="23"/>
  <c r="N623" i="23"/>
  <c r="N624" i="23"/>
  <c r="N625" i="23"/>
  <c r="N626" i="23"/>
  <c r="N627" i="23"/>
  <c r="N628" i="23"/>
  <c r="N629" i="23"/>
  <c r="N630" i="23"/>
  <c r="N631" i="23"/>
  <c r="N632" i="23"/>
  <c r="N633" i="23"/>
  <c r="N634" i="23"/>
  <c r="N635" i="23"/>
  <c r="N636" i="23"/>
  <c r="N637" i="23"/>
  <c r="N638" i="23"/>
  <c r="N639" i="23"/>
  <c r="N640" i="23"/>
  <c r="N641" i="23"/>
  <c r="N642" i="23"/>
  <c r="N643" i="23"/>
  <c r="N644" i="23"/>
  <c r="N645" i="23"/>
  <c r="N646" i="23"/>
  <c r="N647" i="23"/>
  <c r="N648" i="23"/>
  <c r="N649" i="23"/>
  <c r="N650" i="23"/>
  <c r="N651" i="23"/>
  <c r="N652" i="23"/>
  <c r="N653" i="23"/>
  <c r="N654" i="23"/>
  <c r="N655" i="23"/>
  <c r="N656" i="23"/>
  <c r="N657" i="23"/>
  <c r="N658" i="23"/>
  <c r="N659" i="23"/>
  <c r="N660" i="23"/>
  <c r="N661" i="23"/>
  <c r="N662" i="23"/>
  <c r="N663" i="23"/>
  <c r="N664" i="23"/>
  <c r="N665" i="23"/>
  <c r="N666" i="23"/>
  <c r="N667" i="23"/>
  <c r="N668" i="23"/>
  <c r="N669" i="23"/>
  <c r="N670" i="23"/>
  <c r="N671" i="23"/>
  <c r="N672" i="23"/>
  <c r="N673" i="23"/>
  <c r="N674" i="23"/>
  <c r="N675" i="23"/>
  <c r="N676" i="23"/>
  <c r="N677" i="23"/>
  <c r="N678" i="23"/>
  <c r="N679" i="23"/>
  <c r="N680" i="23"/>
  <c r="N681" i="23"/>
  <c r="N682" i="23"/>
  <c r="N683" i="23"/>
  <c r="N684" i="23"/>
  <c r="N685" i="23"/>
  <c r="N686" i="23"/>
  <c r="N687" i="23"/>
  <c r="N688" i="23"/>
  <c r="N689" i="23"/>
  <c r="N690" i="23"/>
  <c r="N691" i="23"/>
  <c r="N692" i="23"/>
  <c r="N693" i="23"/>
  <c r="N694" i="23"/>
  <c r="N695" i="23"/>
  <c r="N696" i="23"/>
  <c r="N697" i="23"/>
  <c r="N698" i="23"/>
  <c r="N699" i="23"/>
  <c r="N700" i="23"/>
  <c r="N701" i="23"/>
  <c r="N702" i="23"/>
  <c r="N703" i="23"/>
  <c r="N704" i="23"/>
  <c r="N705" i="23"/>
  <c r="N706" i="23"/>
  <c r="N707" i="23"/>
  <c r="N708" i="23"/>
  <c r="N709" i="23"/>
  <c r="N710" i="23"/>
  <c r="N711" i="23"/>
  <c r="N712" i="23"/>
  <c r="N713" i="23"/>
  <c r="N714" i="23"/>
  <c r="N715" i="23"/>
  <c r="N716" i="23"/>
  <c r="N717" i="23"/>
  <c r="N718" i="23"/>
  <c r="N719" i="23"/>
  <c r="N720" i="23"/>
  <c r="N721" i="23"/>
  <c r="N722" i="23"/>
  <c r="N723" i="23"/>
  <c r="N724" i="23"/>
  <c r="N725" i="23"/>
  <c r="N726" i="23"/>
  <c r="N727" i="23"/>
  <c r="N728" i="23"/>
  <c r="N729" i="23"/>
  <c r="N730" i="23"/>
  <c r="N731" i="23"/>
  <c r="N732" i="23"/>
  <c r="N733" i="23"/>
  <c r="N734" i="23"/>
  <c r="N735" i="23"/>
  <c r="N736" i="23"/>
  <c r="N737" i="23"/>
  <c r="N738" i="23"/>
  <c r="N739" i="23"/>
  <c r="N740" i="23"/>
  <c r="N741" i="23"/>
  <c r="N742" i="23"/>
  <c r="N743" i="23"/>
  <c r="N744" i="23"/>
  <c r="N745" i="23"/>
  <c r="N746" i="23"/>
  <c r="N747" i="23"/>
  <c r="N748" i="23"/>
  <c r="N749" i="23"/>
  <c r="N750" i="23"/>
  <c r="N751" i="23"/>
  <c r="N752" i="23"/>
  <c r="N753" i="23"/>
  <c r="N754" i="23"/>
  <c r="N755" i="23"/>
  <c r="N756" i="23"/>
  <c r="N757" i="23"/>
  <c r="N758" i="23"/>
  <c r="N759" i="23"/>
  <c r="N760" i="23"/>
  <c r="N761" i="23"/>
  <c r="N762" i="23"/>
  <c r="N763" i="23"/>
  <c r="N764" i="23"/>
  <c r="N765" i="23"/>
  <c r="N766" i="23"/>
  <c r="N767" i="23"/>
  <c r="N768" i="23"/>
  <c r="N769" i="23"/>
  <c r="N770" i="23"/>
  <c r="N771" i="23"/>
  <c r="N772" i="23"/>
  <c r="N773" i="23"/>
  <c r="N774" i="23"/>
  <c r="N775" i="23"/>
  <c r="N776" i="23"/>
  <c r="N777" i="23"/>
  <c r="N778" i="23"/>
  <c r="N779" i="23"/>
  <c r="N780" i="23"/>
  <c r="N781" i="23"/>
  <c r="N782" i="23"/>
  <c r="N783" i="23"/>
  <c r="N784" i="23"/>
  <c r="N785" i="23"/>
  <c r="N786" i="23"/>
  <c r="N787" i="23"/>
  <c r="N788" i="23"/>
  <c r="N789" i="23"/>
  <c r="N790" i="23"/>
  <c r="N791" i="23"/>
  <c r="N792" i="23"/>
  <c r="N793" i="23"/>
  <c r="N794" i="23"/>
  <c r="N795" i="23"/>
  <c r="N796" i="23"/>
  <c r="N797" i="23"/>
  <c r="N798" i="23"/>
  <c r="N799" i="23"/>
  <c r="N800" i="23"/>
  <c r="N801" i="23"/>
  <c r="N802" i="23"/>
  <c r="N803" i="23"/>
  <c r="N804" i="23"/>
  <c r="N805" i="23"/>
  <c r="N806" i="23"/>
  <c r="N807" i="23"/>
  <c r="N808" i="23"/>
  <c r="N809" i="23"/>
  <c r="N810" i="23"/>
  <c r="N811" i="23"/>
  <c r="N812" i="23"/>
  <c r="N813" i="23"/>
  <c r="N814" i="23"/>
  <c r="N815" i="23"/>
  <c r="N816" i="23"/>
  <c r="N817" i="23"/>
  <c r="N818" i="23"/>
  <c r="N819" i="23"/>
  <c r="N820" i="23"/>
  <c r="N821" i="23"/>
  <c r="N822" i="23"/>
  <c r="N823" i="23"/>
  <c r="N824" i="23"/>
  <c r="N825" i="23"/>
  <c r="N826" i="23"/>
  <c r="N827" i="23"/>
  <c r="N828" i="23"/>
  <c r="N829" i="23"/>
  <c r="N830" i="23"/>
  <c r="N831" i="23"/>
  <c r="N21" i="23"/>
  <c r="K678" i="23" l="1"/>
  <c r="L678" i="23" s="1"/>
  <c r="K816" i="23"/>
  <c r="L816" i="23" s="1"/>
  <c r="K808" i="23"/>
  <c r="L808" i="23" s="1"/>
  <c r="K824" i="23"/>
  <c r="L824" i="23" s="1"/>
  <c r="K825" i="23"/>
  <c r="L825" i="23" s="1"/>
  <c r="K454" i="23"/>
  <c r="L454" i="23" s="1"/>
  <c r="K817" i="23"/>
  <c r="L817" i="23" s="1"/>
  <c r="K809" i="23"/>
  <c r="L809" i="23" s="1"/>
  <c r="K801" i="23"/>
  <c r="L801" i="23" s="1"/>
  <c r="K793" i="23"/>
  <c r="L793" i="23" s="1"/>
  <c r="K785" i="23"/>
  <c r="L785" i="23" s="1"/>
  <c r="K777" i="23"/>
  <c r="L777" i="23" s="1"/>
  <c r="K768" i="23"/>
  <c r="L768" i="23" s="1"/>
  <c r="K760" i="23"/>
  <c r="L760" i="23" s="1"/>
  <c r="K751" i="23"/>
  <c r="L751" i="23" s="1"/>
  <c r="K742" i="23"/>
  <c r="L742" i="23" s="1"/>
  <c r="K734" i="23"/>
  <c r="L734" i="23" s="1"/>
  <c r="K725" i="23"/>
  <c r="L725" i="23" s="1"/>
  <c r="K716" i="23"/>
  <c r="L716" i="23" s="1"/>
  <c r="K700" i="23"/>
  <c r="L700" i="23" s="1"/>
  <c r="K682" i="23"/>
  <c r="L682" i="23" s="1"/>
  <c r="K662" i="23"/>
  <c r="L662" i="23" s="1"/>
  <c r="K642" i="23"/>
  <c r="L642" i="23" s="1"/>
  <c r="K661" i="23"/>
  <c r="L661" i="23" s="1"/>
  <c r="K635" i="23"/>
  <c r="L635" i="23" s="1"/>
  <c r="K822" i="23"/>
  <c r="L822" i="23" s="1"/>
  <c r="K815" i="23"/>
  <c r="L815" i="23" s="1"/>
  <c r="K806" i="23"/>
  <c r="L806" i="23" s="1"/>
  <c r="K799" i="23"/>
  <c r="L799" i="23" s="1"/>
  <c r="K790" i="23"/>
  <c r="L790" i="23" s="1"/>
  <c r="K783" i="23"/>
  <c r="L783" i="23" s="1"/>
  <c r="K774" i="23"/>
  <c r="L774" i="23" s="1"/>
  <c r="K766" i="23"/>
  <c r="L766" i="23" s="1"/>
  <c r="K757" i="23"/>
  <c r="L757" i="23" s="1"/>
  <c r="K749" i="23"/>
  <c r="L749" i="23" s="1"/>
  <c r="K732" i="23"/>
  <c r="L732" i="23" s="1"/>
  <c r="K724" i="23"/>
  <c r="L724" i="23" s="1"/>
  <c r="K712" i="23"/>
  <c r="L712" i="23" s="1"/>
  <c r="K694" i="23"/>
  <c r="L694" i="23" s="1"/>
  <c r="K677" i="23"/>
  <c r="L677" i="23" s="1"/>
  <c r="K657" i="23"/>
  <c r="L657" i="23" s="1"/>
  <c r="K625" i="23"/>
  <c r="L625" i="23" s="1"/>
  <c r="K767" i="23"/>
  <c r="L767" i="23" s="1"/>
  <c r="K714" i="23"/>
  <c r="L714" i="23" s="1"/>
  <c r="K821" i="23"/>
  <c r="L821" i="23" s="1"/>
  <c r="K805" i="23"/>
  <c r="L805" i="23" s="1"/>
  <c r="K798" i="23"/>
  <c r="L798" i="23" s="1"/>
  <c r="K789" i="23"/>
  <c r="L789" i="23" s="1"/>
  <c r="K782" i="23"/>
  <c r="L782" i="23" s="1"/>
  <c r="K773" i="23"/>
  <c r="L773" i="23" s="1"/>
  <c r="K765" i="23"/>
  <c r="L765" i="23" s="1"/>
  <c r="K748" i="23"/>
  <c r="L748" i="23" s="1"/>
  <c r="K740" i="23"/>
  <c r="L740" i="23" s="1"/>
  <c r="K730" i="23"/>
  <c r="L730" i="23" s="1"/>
  <c r="K722" i="23"/>
  <c r="L722" i="23" s="1"/>
  <c r="K710" i="23"/>
  <c r="L710" i="23" s="1"/>
  <c r="K693" i="23"/>
  <c r="L693" i="23" s="1"/>
  <c r="K673" i="23"/>
  <c r="L673" i="23" s="1"/>
  <c r="K656" i="23"/>
  <c r="L656" i="23" s="1"/>
  <c r="K574" i="23"/>
  <c r="L574" i="23" s="1"/>
  <c r="K758" i="23"/>
  <c r="L758" i="23" s="1"/>
  <c r="K698" i="23"/>
  <c r="L698" i="23" s="1"/>
  <c r="K814" i="23"/>
  <c r="L814" i="23" s="1"/>
  <c r="K830" i="23"/>
  <c r="L830" i="23" s="1"/>
  <c r="K813" i="23"/>
  <c r="L813" i="23" s="1"/>
  <c r="K797" i="23"/>
  <c r="L797" i="23" s="1"/>
  <c r="K781" i="23"/>
  <c r="L781" i="23" s="1"/>
  <c r="K764" i="23"/>
  <c r="L764" i="23" s="1"/>
  <c r="K756" i="23"/>
  <c r="L756" i="23" s="1"/>
  <c r="K746" i="23"/>
  <c r="L746" i="23" s="1"/>
  <c r="K738" i="23"/>
  <c r="L738" i="23" s="1"/>
  <c r="K721" i="23"/>
  <c r="L721" i="23" s="1"/>
  <c r="K709" i="23"/>
  <c r="L709" i="23" s="1"/>
  <c r="K689" i="23"/>
  <c r="L689" i="23" s="1"/>
  <c r="K672" i="23"/>
  <c r="L672" i="23" s="1"/>
  <c r="K655" i="23"/>
  <c r="L655" i="23" s="1"/>
  <c r="K556" i="23"/>
  <c r="L556" i="23" s="1"/>
  <c r="K776" i="23"/>
  <c r="L776" i="23" s="1"/>
  <c r="K741" i="23"/>
  <c r="L741" i="23" s="1"/>
  <c r="K831" i="23"/>
  <c r="L831" i="23" s="1"/>
  <c r="K812" i="23"/>
  <c r="L812" i="23" s="1"/>
  <c r="K788" i="23"/>
  <c r="L788" i="23" s="1"/>
  <c r="K762" i="23"/>
  <c r="L762" i="23" s="1"/>
  <c r="K754" i="23"/>
  <c r="L754" i="23" s="1"/>
  <c r="K737" i="23"/>
  <c r="L737" i="23" s="1"/>
  <c r="K729" i="23"/>
  <c r="L729" i="23" s="1"/>
  <c r="K720" i="23"/>
  <c r="L720" i="23" s="1"/>
  <c r="K705" i="23"/>
  <c r="L705" i="23" s="1"/>
  <c r="K688" i="23"/>
  <c r="L688" i="23" s="1"/>
  <c r="K671" i="23"/>
  <c r="L671" i="23" s="1"/>
  <c r="K651" i="23"/>
  <c r="L651" i="23" s="1"/>
  <c r="K477" i="23"/>
  <c r="L477" i="23" s="1"/>
  <c r="K784" i="23"/>
  <c r="L784" i="23" s="1"/>
  <c r="K733" i="23"/>
  <c r="L733" i="23" s="1"/>
  <c r="K820" i="23"/>
  <c r="L820" i="23" s="1"/>
  <c r="K796" i="23"/>
  <c r="L796" i="23" s="1"/>
  <c r="K772" i="23"/>
  <c r="L772" i="23" s="1"/>
  <c r="K819" i="23"/>
  <c r="L819" i="23" s="1"/>
  <c r="K803" i="23"/>
  <c r="L803" i="23" s="1"/>
  <c r="K794" i="23"/>
  <c r="L794" i="23" s="1"/>
  <c r="K787" i="23"/>
  <c r="L787" i="23" s="1"/>
  <c r="K778" i="23"/>
  <c r="L778" i="23" s="1"/>
  <c r="K770" i="23"/>
  <c r="L770" i="23" s="1"/>
  <c r="K753" i="23"/>
  <c r="L753" i="23" s="1"/>
  <c r="K745" i="23"/>
  <c r="L745" i="23" s="1"/>
  <c r="K736" i="23"/>
  <c r="L736" i="23" s="1"/>
  <c r="K728" i="23"/>
  <c r="L728" i="23" s="1"/>
  <c r="K719" i="23"/>
  <c r="L719" i="23" s="1"/>
  <c r="K704" i="23"/>
  <c r="L704" i="23" s="1"/>
  <c r="K687" i="23"/>
  <c r="L687" i="23" s="1"/>
  <c r="K668" i="23"/>
  <c r="L668" i="23" s="1"/>
  <c r="K649" i="23"/>
  <c r="L649" i="23" s="1"/>
  <c r="K792" i="23"/>
  <c r="L792" i="23" s="1"/>
  <c r="K750" i="23"/>
  <c r="L750" i="23" s="1"/>
  <c r="K829" i="23"/>
  <c r="L829" i="23" s="1"/>
  <c r="K804" i="23"/>
  <c r="L804" i="23" s="1"/>
  <c r="K780" i="23"/>
  <c r="L780" i="23" s="1"/>
  <c r="K828" i="23"/>
  <c r="L828" i="23" s="1"/>
  <c r="K810" i="23"/>
  <c r="L810" i="23" s="1"/>
  <c r="K21" i="23"/>
  <c r="L21" i="23" s="1"/>
  <c r="K826" i="23"/>
  <c r="L826" i="23" s="1"/>
  <c r="K818" i="23"/>
  <c r="L818" i="23" s="1"/>
  <c r="K802" i="23"/>
  <c r="L802" i="23" s="1"/>
  <c r="K786" i="23"/>
  <c r="L786" i="23" s="1"/>
  <c r="K769" i="23"/>
  <c r="L769" i="23" s="1"/>
  <c r="K761" i="23"/>
  <c r="L761" i="23" s="1"/>
  <c r="K752" i="23"/>
  <c r="L752" i="23" s="1"/>
  <c r="K744" i="23"/>
  <c r="L744" i="23" s="1"/>
  <c r="K735" i="23"/>
  <c r="L735" i="23" s="1"/>
  <c r="K726" i="23"/>
  <c r="L726" i="23" s="1"/>
  <c r="K717" i="23"/>
  <c r="L717" i="23" s="1"/>
  <c r="K703" i="23"/>
  <c r="L703" i="23" s="1"/>
  <c r="K684" i="23"/>
  <c r="L684" i="23" s="1"/>
  <c r="K666" i="23"/>
  <c r="L666" i="23" s="1"/>
  <c r="K643" i="23"/>
  <c r="L643" i="23" s="1"/>
  <c r="K596" i="23"/>
  <c r="L596" i="23" s="1"/>
  <c r="K541" i="23"/>
  <c r="L541" i="23" s="1"/>
  <c r="K518" i="23"/>
  <c r="L518" i="23" s="1"/>
  <c r="K445" i="23"/>
  <c r="L445" i="23" s="1"/>
  <c r="K718" i="23"/>
  <c r="L718" i="23" s="1"/>
  <c r="K713" i="23"/>
  <c r="L713" i="23" s="1"/>
  <c r="K708" i="23"/>
  <c r="L708" i="23" s="1"/>
  <c r="K702" i="23"/>
  <c r="L702" i="23" s="1"/>
  <c r="K697" i="23"/>
  <c r="L697" i="23" s="1"/>
  <c r="K692" i="23"/>
  <c r="L692" i="23" s="1"/>
  <c r="K686" i="23"/>
  <c r="L686" i="23" s="1"/>
  <c r="K681" i="23"/>
  <c r="L681" i="23" s="1"/>
  <c r="K676" i="23"/>
  <c r="L676" i="23" s="1"/>
  <c r="K670" i="23"/>
  <c r="L670" i="23" s="1"/>
  <c r="K665" i="23"/>
  <c r="L665" i="23" s="1"/>
  <c r="K660" i="23"/>
  <c r="L660" i="23" s="1"/>
  <c r="K654" i="23"/>
  <c r="L654" i="23" s="1"/>
  <c r="K573" i="23"/>
  <c r="L573" i="23" s="1"/>
  <c r="K555" i="23"/>
  <c r="L555" i="23" s="1"/>
  <c r="K509" i="23"/>
  <c r="L509" i="23" s="1"/>
  <c r="K436" i="23"/>
  <c r="L436" i="23" s="1"/>
  <c r="K771" i="23"/>
  <c r="L771" i="23" s="1"/>
  <c r="K755" i="23"/>
  <c r="L755" i="23" s="1"/>
  <c r="K739" i="23"/>
  <c r="L739" i="23" s="1"/>
  <c r="K723" i="23"/>
  <c r="L723" i="23" s="1"/>
  <c r="K707" i="23"/>
  <c r="L707" i="23" s="1"/>
  <c r="K691" i="23"/>
  <c r="L691" i="23" s="1"/>
  <c r="K675" i="23"/>
  <c r="L675" i="23" s="1"/>
  <c r="K659" i="23"/>
  <c r="L659" i="23" s="1"/>
  <c r="K647" i="23"/>
  <c r="L647" i="23" s="1"/>
  <c r="K641" i="23"/>
  <c r="L641" i="23" s="1"/>
  <c r="K633" i="23"/>
  <c r="L633" i="23" s="1"/>
  <c r="K588" i="23"/>
  <c r="L588" i="23" s="1"/>
  <c r="K533" i="23"/>
  <c r="L533" i="23" s="1"/>
  <c r="K468" i="23"/>
  <c r="L468" i="23" s="1"/>
  <c r="K706" i="23"/>
  <c r="L706" i="23" s="1"/>
  <c r="K701" i="23"/>
  <c r="L701" i="23" s="1"/>
  <c r="K696" i="23"/>
  <c r="L696" i="23" s="1"/>
  <c r="K690" i="23"/>
  <c r="L690" i="23" s="1"/>
  <c r="K685" i="23"/>
  <c r="L685" i="23" s="1"/>
  <c r="K680" i="23"/>
  <c r="L680" i="23" s="1"/>
  <c r="K674" i="23"/>
  <c r="L674" i="23" s="1"/>
  <c r="K669" i="23"/>
  <c r="L669" i="23" s="1"/>
  <c r="K664" i="23"/>
  <c r="L664" i="23" s="1"/>
  <c r="K658" i="23"/>
  <c r="L658" i="23" s="1"/>
  <c r="K653" i="23"/>
  <c r="L653" i="23" s="1"/>
  <c r="K646" i="23"/>
  <c r="L646" i="23" s="1"/>
  <c r="K587" i="23"/>
  <c r="L587" i="23" s="1"/>
  <c r="K550" i="23"/>
  <c r="L550" i="23" s="1"/>
  <c r="K532" i="23"/>
  <c r="L532" i="23" s="1"/>
  <c r="K500" i="23"/>
  <c r="L500" i="23" s="1"/>
  <c r="K427" i="23"/>
  <c r="L427" i="23" s="1"/>
  <c r="K823" i="23"/>
  <c r="L823" i="23" s="1"/>
  <c r="K807" i="23"/>
  <c r="L807" i="23" s="1"/>
  <c r="K791" i="23"/>
  <c r="L791" i="23" s="1"/>
  <c r="K775" i="23"/>
  <c r="L775" i="23" s="1"/>
  <c r="K759" i="23"/>
  <c r="L759" i="23" s="1"/>
  <c r="K743" i="23"/>
  <c r="L743" i="23" s="1"/>
  <c r="K727" i="23"/>
  <c r="L727" i="23" s="1"/>
  <c r="K711" i="23"/>
  <c r="L711" i="23" s="1"/>
  <c r="K695" i="23"/>
  <c r="L695" i="23" s="1"/>
  <c r="K679" i="23"/>
  <c r="L679" i="23" s="1"/>
  <c r="K663" i="23"/>
  <c r="L663" i="23" s="1"/>
  <c r="K639" i="23"/>
  <c r="L639" i="23" s="1"/>
  <c r="K565" i="23"/>
  <c r="L565" i="23" s="1"/>
  <c r="K547" i="23"/>
  <c r="L547" i="23" s="1"/>
  <c r="K459" i="23"/>
  <c r="L459" i="23" s="1"/>
  <c r="K422" i="23"/>
  <c r="L422" i="23" s="1"/>
  <c r="K645" i="23"/>
  <c r="L645" i="23" s="1"/>
  <c r="K629" i="23"/>
  <c r="L629" i="23" s="1"/>
  <c r="K582" i="23"/>
  <c r="L582" i="23" s="1"/>
  <c r="K564" i="23"/>
  <c r="L564" i="23" s="1"/>
  <c r="K491" i="23"/>
  <c r="L491" i="23" s="1"/>
  <c r="K22" i="23"/>
  <c r="L22" i="23" s="1"/>
  <c r="K26" i="23"/>
  <c r="L26" i="23" s="1"/>
  <c r="K30" i="23"/>
  <c r="L30" i="23" s="1"/>
  <c r="K23" i="23"/>
  <c r="L23" i="23" s="1"/>
  <c r="K27" i="23"/>
  <c r="L27" i="23" s="1"/>
  <c r="K31" i="23"/>
  <c r="L31" i="23" s="1"/>
  <c r="K35" i="23"/>
  <c r="L35" i="23" s="1"/>
  <c r="K25" i="23"/>
  <c r="L25" i="23" s="1"/>
  <c r="K29" i="23"/>
  <c r="L29" i="23" s="1"/>
  <c r="K37" i="23"/>
  <c r="L37" i="23" s="1"/>
  <c r="K43" i="23"/>
  <c r="L43" i="23" s="1"/>
  <c r="K48" i="23"/>
  <c r="L48" i="23" s="1"/>
  <c r="K53" i="23"/>
  <c r="L53" i="23" s="1"/>
  <c r="K59" i="23"/>
  <c r="L59" i="23" s="1"/>
  <c r="K64" i="23"/>
  <c r="L64" i="23" s="1"/>
  <c r="K69" i="23"/>
  <c r="L69" i="23" s="1"/>
  <c r="K75" i="23"/>
  <c r="L75" i="23" s="1"/>
  <c r="K80" i="23"/>
  <c r="L80" i="23" s="1"/>
  <c r="K85" i="23"/>
  <c r="L85" i="23" s="1"/>
  <c r="K91" i="23"/>
  <c r="L91" i="23" s="1"/>
  <c r="K96" i="23"/>
  <c r="L96" i="23" s="1"/>
  <c r="K101" i="23"/>
  <c r="L101" i="23" s="1"/>
  <c r="K107" i="23"/>
  <c r="L107" i="23" s="1"/>
  <c r="K112" i="23"/>
  <c r="L112" i="23" s="1"/>
  <c r="K117" i="23"/>
  <c r="L117" i="23" s="1"/>
  <c r="K123" i="23"/>
  <c r="L123" i="23" s="1"/>
  <c r="K128" i="23"/>
  <c r="L128" i="23" s="1"/>
  <c r="K133" i="23"/>
  <c r="L133" i="23" s="1"/>
  <c r="K139" i="23"/>
  <c r="L139" i="23" s="1"/>
  <c r="K144" i="23"/>
  <c r="L144" i="23" s="1"/>
  <c r="K149" i="23"/>
  <c r="L149" i="23" s="1"/>
  <c r="K155" i="23"/>
  <c r="L155" i="23" s="1"/>
  <c r="K160" i="23"/>
  <c r="L160" i="23" s="1"/>
  <c r="K165" i="23"/>
  <c r="L165" i="23" s="1"/>
  <c r="K171" i="23"/>
  <c r="L171" i="23" s="1"/>
  <c r="K176" i="23"/>
  <c r="L176" i="23" s="1"/>
  <c r="K181" i="23"/>
  <c r="L181" i="23" s="1"/>
  <c r="K187" i="23"/>
  <c r="L187" i="23" s="1"/>
  <c r="K192" i="23"/>
  <c r="L192" i="23" s="1"/>
  <c r="K197" i="23"/>
  <c r="L197" i="23" s="1"/>
  <c r="K203" i="23"/>
  <c r="L203" i="23" s="1"/>
  <c r="K208" i="23"/>
  <c r="L208" i="23" s="1"/>
  <c r="K213" i="23"/>
  <c r="L213" i="23" s="1"/>
  <c r="K219" i="23"/>
  <c r="L219" i="23" s="1"/>
  <c r="K224" i="23"/>
  <c r="L224" i="23" s="1"/>
  <c r="K229" i="23"/>
  <c r="L229" i="23" s="1"/>
  <c r="K235" i="23"/>
  <c r="L235" i="23" s="1"/>
  <c r="K240" i="23"/>
  <c r="L240" i="23" s="1"/>
  <c r="K32" i="23"/>
  <c r="L32" i="23" s="1"/>
  <c r="K38" i="23"/>
  <c r="L38" i="23" s="1"/>
  <c r="K54" i="23"/>
  <c r="L54" i="23" s="1"/>
  <c r="K70" i="23"/>
  <c r="L70" i="23" s="1"/>
  <c r="K86" i="23"/>
  <c r="L86" i="23" s="1"/>
  <c r="K102" i="23"/>
  <c r="L102" i="23" s="1"/>
  <c r="K118" i="23"/>
  <c r="L118" i="23" s="1"/>
  <c r="K134" i="23"/>
  <c r="L134" i="23" s="1"/>
  <c r="K150" i="23"/>
  <c r="L150" i="23" s="1"/>
  <c r="K166" i="23"/>
  <c r="L166" i="23" s="1"/>
  <c r="K182" i="23"/>
  <c r="L182" i="23" s="1"/>
  <c r="K198" i="23"/>
  <c r="L198" i="23" s="1"/>
  <c r="K214" i="23"/>
  <c r="L214" i="23" s="1"/>
  <c r="K230" i="23"/>
  <c r="L230" i="23" s="1"/>
  <c r="K246" i="23"/>
  <c r="L246" i="23" s="1"/>
  <c r="K261" i="23"/>
  <c r="L261" i="23" s="1"/>
  <c r="K270" i="23"/>
  <c r="L270" i="23" s="1"/>
  <c r="K275" i="23"/>
  <c r="L275" i="23" s="1"/>
  <c r="K284" i="23"/>
  <c r="L284" i="23" s="1"/>
  <c r="K293" i="23"/>
  <c r="L293" i="23" s="1"/>
  <c r="K302" i="23"/>
  <c r="L302" i="23" s="1"/>
  <c r="K307" i="23"/>
  <c r="L307" i="23" s="1"/>
  <c r="K316" i="23"/>
  <c r="L316" i="23" s="1"/>
  <c r="K325" i="23"/>
  <c r="L325" i="23" s="1"/>
  <c r="K334" i="23"/>
  <c r="L334" i="23" s="1"/>
  <c r="K339" i="23"/>
  <c r="L339" i="23" s="1"/>
  <c r="K348" i="23"/>
  <c r="L348" i="23" s="1"/>
  <c r="K357" i="23"/>
  <c r="L357" i="23" s="1"/>
  <c r="K366" i="23"/>
  <c r="L366" i="23" s="1"/>
  <c r="K371" i="23"/>
  <c r="L371" i="23" s="1"/>
  <c r="K380" i="23"/>
  <c r="L380" i="23" s="1"/>
  <c r="K389" i="23"/>
  <c r="L389" i="23" s="1"/>
  <c r="K398" i="23"/>
  <c r="L398" i="23" s="1"/>
  <c r="K403" i="23"/>
  <c r="L403" i="23" s="1"/>
  <c r="K412" i="23"/>
  <c r="L412" i="23" s="1"/>
  <c r="K421" i="23"/>
  <c r="L421" i="23" s="1"/>
  <c r="K39" i="23"/>
  <c r="L39" i="23" s="1"/>
  <c r="K44" i="23"/>
  <c r="L44" i="23" s="1"/>
  <c r="K49" i="23"/>
  <c r="L49" i="23" s="1"/>
  <c r="K55" i="23"/>
  <c r="L55" i="23" s="1"/>
  <c r="K60" i="23"/>
  <c r="L60" i="23" s="1"/>
  <c r="K65" i="23"/>
  <c r="L65" i="23" s="1"/>
  <c r="K71" i="23"/>
  <c r="L71" i="23" s="1"/>
  <c r="K76" i="23"/>
  <c r="L76" i="23" s="1"/>
  <c r="K81" i="23"/>
  <c r="L81" i="23" s="1"/>
  <c r="K87" i="23"/>
  <c r="L87" i="23" s="1"/>
  <c r="K92" i="23"/>
  <c r="L92" i="23" s="1"/>
  <c r="K97" i="23"/>
  <c r="L97" i="23" s="1"/>
  <c r="K103" i="23"/>
  <c r="L103" i="23" s="1"/>
  <c r="K108" i="23"/>
  <c r="L108" i="23" s="1"/>
  <c r="K113" i="23"/>
  <c r="L113" i="23" s="1"/>
  <c r="K119" i="23"/>
  <c r="L119" i="23" s="1"/>
  <c r="K124" i="23"/>
  <c r="L124" i="23" s="1"/>
  <c r="K129" i="23"/>
  <c r="L129" i="23" s="1"/>
  <c r="K135" i="23"/>
  <c r="L135" i="23" s="1"/>
  <c r="K140" i="23"/>
  <c r="L140" i="23" s="1"/>
  <c r="K145" i="23"/>
  <c r="L145" i="23" s="1"/>
  <c r="K151" i="23"/>
  <c r="L151" i="23" s="1"/>
  <c r="K156" i="23"/>
  <c r="L156" i="23" s="1"/>
  <c r="K161" i="23"/>
  <c r="L161" i="23" s="1"/>
  <c r="K167" i="23"/>
  <c r="L167" i="23" s="1"/>
  <c r="K172" i="23"/>
  <c r="L172" i="23" s="1"/>
  <c r="K177" i="23"/>
  <c r="L177" i="23" s="1"/>
  <c r="K183" i="23"/>
  <c r="L183" i="23" s="1"/>
  <c r="K188" i="23"/>
  <c r="L188" i="23" s="1"/>
  <c r="K193" i="23"/>
  <c r="L193" i="23" s="1"/>
  <c r="K199" i="23"/>
  <c r="L199" i="23" s="1"/>
  <c r="K204" i="23"/>
  <c r="L204" i="23" s="1"/>
  <c r="K209" i="23"/>
  <c r="L209" i="23" s="1"/>
  <c r="K215" i="23"/>
  <c r="L215" i="23" s="1"/>
  <c r="K220" i="23"/>
  <c r="L220" i="23" s="1"/>
  <c r="K225" i="23"/>
  <c r="L225" i="23" s="1"/>
  <c r="K231" i="23"/>
  <c r="L231" i="23" s="1"/>
  <c r="K236" i="23"/>
  <c r="L236" i="23" s="1"/>
  <c r="K241" i="23"/>
  <c r="L241" i="23" s="1"/>
  <c r="K24" i="23"/>
  <c r="L24" i="23" s="1"/>
  <c r="K33" i="23"/>
  <c r="L33" i="23" s="1"/>
  <c r="K50" i="23"/>
  <c r="L50" i="23" s="1"/>
  <c r="K66" i="23"/>
  <c r="L66" i="23" s="1"/>
  <c r="K82" i="23"/>
  <c r="L82" i="23" s="1"/>
  <c r="K98" i="23"/>
  <c r="L98" i="23" s="1"/>
  <c r="K114" i="23"/>
  <c r="L114" i="23" s="1"/>
  <c r="K130" i="23"/>
  <c r="L130" i="23" s="1"/>
  <c r="K146" i="23"/>
  <c r="L146" i="23" s="1"/>
  <c r="K162" i="23"/>
  <c r="L162" i="23" s="1"/>
  <c r="K178" i="23"/>
  <c r="L178" i="23" s="1"/>
  <c r="K194" i="23"/>
  <c r="L194" i="23" s="1"/>
  <c r="K210" i="23"/>
  <c r="L210" i="23" s="1"/>
  <c r="K226" i="23"/>
  <c r="L226" i="23" s="1"/>
  <c r="K242" i="23"/>
  <c r="L242" i="23" s="1"/>
  <c r="K262" i="23"/>
  <c r="L262" i="23" s="1"/>
  <c r="K267" i="23"/>
  <c r="L267" i="23" s="1"/>
  <c r="K276" i="23"/>
  <c r="L276" i="23" s="1"/>
  <c r="K285" i="23"/>
  <c r="L285" i="23" s="1"/>
  <c r="K294" i="23"/>
  <c r="L294" i="23" s="1"/>
  <c r="K299" i="23"/>
  <c r="L299" i="23" s="1"/>
  <c r="K308" i="23"/>
  <c r="L308" i="23" s="1"/>
  <c r="K317" i="23"/>
  <c r="L317" i="23" s="1"/>
  <c r="K326" i="23"/>
  <c r="L326" i="23" s="1"/>
  <c r="K331" i="23"/>
  <c r="L331" i="23" s="1"/>
  <c r="K340" i="23"/>
  <c r="L340" i="23" s="1"/>
  <c r="K349" i="23"/>
  <c r="L349" i="23" s="1"/>
  <c r="K358" i="23"/>
  <c r="L358" i="23" s="1"/>
  <c r="K363" i="23"/>
  <c r="L363" i="23" s="1"/>
  <c r="K34" i="23"/>
  <c r="L34" i="23" s="1"/>
  <c r="K40" i="23"/>
  <c r="L40" i="23" s="1"/>
  <c r="K45" i="23"/>
  <c r="L45" i="23" s="1"/>
  <c r="K51" i="23"/>
  <c r="L51" i="23" s="1"/>
  <c r="K56" i="23"/>
  <c r="L56" i="23" s="1"/>
  <c r="K61" i="23"/>
  <c r="L61" i="23" s="1"/>
  <c r="K67" i="23"/>
  <c r="L67" i="23" s="1"/>
  <c r="K72" i="23"/>
  <c r="L72" i="23" s="1"/>
  <c r="K77" i="23"/>
  <c r="L77" i="23" s="1"/>
  <c r="K83" i="23"/>
  <c r="L83" i="23" s="1"/>
  <c r="K46" i="23"/>
  <c r="L46" i="23" s="1"/>
  <c r="K62" i="23"/>
  <c r="L62" i="23" s="1"/>
  <c r="K78" i="23"/>
  <c r="L78" i="23" s="1"/>
  <c r="K94" i="23"/>
  <c r="L94" i="23" s="1"/>
  <c r="K110" i="23"/>
  <c r="L110" i="23" s="1"/>
  <c r="K126" i="23"/>
  <c r="L126" i="23" s="1"/>
  <c r="K142" i="23"/>
  <c r="L142" i="23" s="1"/>
  <c r="K158" i="23"/>
  <c r="L158" i="23" s="1"/>
  <c r="K174" i="23"/>
  <c r="L174" i="23" s="1"/>
  <c r="K190" i="23"/>
  <c r="L190" i="23" s="1"/>
  <c r="K206" i="23"/>
  <c r="L206" i="23" s="1"/>
  <c r="K222" i="23"/>
  <c r="L222" i="23" s="1"/>
  <c r="K238" i="23"/>
  <c r="L238" i="23" s="1"/>
  <c r="K254" i="23"/>
  <c r="L254" i="23" s="1"/>
  <c r="K259" i="23"/>
  <c r="L259" i="23" s="1"/>
  <c r="K268" i="23"/>
  <c r="L268" i="23" s="1"/>
  <c r="K277" i="23"/>
  <c r="L277" i="23" s="1"/>
  <c r="K286" i="23"/>
  <c r="L286" i="23" s="1"/>
  <c r="K291" i="23"/>
  <c r="L291" i="23" s="1"/>
  <c r="K300" i="23"/>
  <c r="L300" i="23" s="1"/>
  <c r="K309" i="23"/>
  <c r="L309" i="23" s="1"/>
  <c r="K318" i="23"/>
  <c r="L318" i="23" s="1"/>
  <c r="K323" i="23"/>
  <c r="L323" i="23" s="1"/>
  <c r="K332" i="23"/>
  <c r="L332" i="23" s="1"/>
  <c r="K341" i="23"/>
  <c r="L341" i="23" s="1"/>
  <c r="K350" i="23"/>
  <c r="L350" i="23" s="1"/>
  <c r="K355" i="23"/>
  <c r="L355" i="23" s="1"/>
  <c r="K364" i="23"/>
  <c r="L364" i="23" s="1"/>
  <c r="K373" i="23"/>
  <c r="L373" i="23" s="1"/>
  <c r="K28" i="23"/>
  <c r="L28" i="23" s="1"/>
  <c r="K36" i="23"/>
  <c r="L36" i="23" s="1"/>
  <c r="K41" i="23"/>
  <c r="L41" i="23" s="1"/>
  <c r="K47" i="23"/>
  <c r="L47" i="23" s="1"/>
  <c r="K52" i="23"/>
  <c r="L52" i="23" s="1"/>
  <c r="K57" i="23"/>
  <c r="L57" i="23" s="1"/>
  <c r="K63" i="23"/>
  <c r="L63" i="23" s="1"/>
  <c r="K68" i="23"/>
  <c r="L68" i="23" s="1"/>
  <c r="K73" i="23"/>
  <c r="L73" i="23" s="1"/>
  <c r="K79" i="23"/>
  <c r="L79" i="23" s="1"/>
  <c r="K84" i="23"/>
  <c r="L84" i="23" s="1"/>
  <c r="K89" i="23"/>
  <c r="L89" i="23" s="1"/>
  <c r="K95" i="23"/>
  <c r="L95" i="23" s="1"/>
  <c r="K100" i="23"/>
  <c r="L100" i="23" s="1"/>
  <c r="K105" i="23"/>
  <c r="L105" i="23" s="1"/>
  <c r="K111" i="23"/>
  <c r="L111" i="23" s="1"/>
  <c r="K116" i="23"/>
  <c r="L116" i="23" s="1"/>
  <c r="K121" i="23"/>
  <c r="L121" i="23" s="1"/>
  <c r="K127" i="23"/>
  <c r="L127" i="23" s="1"/>
  <c r="K132" i="23"/>
  <c r="L132" i="23" s="1"/>
  <c r="K137" i="23"/>
  <c r="L137" i="23" s="1"/>
  <c r="K143" i="23"/>
  <c r="L143" i="23" s="1"/>
  <c r="K148" i="23"/>
  <c r="L148" i="23" s="1"/>
  <c r="K153" i="23"/>
  <c r="L153" i="23" s="1"/>
  <c r="K159" i="23"/>
  <c r="L159" i="23" s="1"/>
  <c r="K164" i="23"/>
  <c r="L164" i="23" s="1"/>
  <c r="K169" i="23"/>
  <c r="L169" i="23" s="1"/>
  <c r="K88" i="23"/>
  <c r="L88" i="23" s="1"/>
  <c r="K109" i="23"/>
  <c r="L109" i="23" s="1"/>
  <c r="K131" i="23"/>
  <c r="L131" i="23" s="1"/>
  <c r="K152" i="23"/>
  <c r="L152" i="23" s="1"/>
  <c r="K173" i="23"/>
  <c r="L173" i="23" s="1"/>
  <c r="K186" i="23"/>
  <c r="L186" i="23" s="1"/>
  <c r="K201" i="23"/>
  <c r="L201" i="23" s="1"/>
  <c r="K216" i="23"/>
  <c r="L216" i="23" s="1"/>
  <c r="K244" i="23"/>
  <c r="L244" i="23" s="1"/>
  <c r="K252" i="23"/>
  <c r="L252" i="23" s="1"/>
  <c r="K260" i="23"/>
  <c r="L260" i="23" s="1"/>
  <c r="K274" i="23"/>
  <c r="L274" i="23" s="1"/>
  <c r="K282" i="23"/>
  <c r="L282" i="23" s="1"/>
  <c r="K289" i="23"/>
  <c r="L289" i="23" s="1"/>
  <c r="K304" i="23"/>
  <c r="L304" i="23" s="1"/>
  <c r="K311" i="23"/>
  <c r="L311" i="23" s="1"/>
  <c r="K319" i="23"/>
  <c r="L319" i="23" s="1"/>
  <c r="K333" i="23"/>
  <c r="L333" i="23" s="1"/>
  <c r="K362" i="23"/>
  <c r="L362" i="23" s="1"/>
  <c r="K369" i="23"/>
  <c r="L369" i="23" s="1"/>
  <c r="K375" i="23"/>
  <c r="L375" i="23" s="1"/>
  <c r="K391" i="23"/>
  <c r="L391" i="23" s="1"/>
  <c r="K396" i="23"/>
  <c r="L396" i="23" s="1"/>
  <c r="K401" i="23"/>
  <c r="L401" i="23" s="1"/>
  <c r="K406" i="23"/>
  <c r="L406" i="23" s="1"/>
  <c r="K417" i="23"/>
  <c r="L417" i="23" s="1"/>
  <c r="K90" i="23"/>
  <c r="L90" i="23" s="1"/>
  <c r="K154" i="23"/>
  <c r="L154" i="23" s="1"/>
  <c r="K175" i="23"/>
  <c r="L175" i="23" s="1"/>
  <c r="K189" i="23"/>
  <c r="L189" i="23" s="1"/>
  <c r="K202" i="23"/>
  <c r="L202" i="23" s="1"/>
  <c r="K217" i="23"/>
  <c r="L217" i="23" s="1"/>
  <c r="K232" i="23"/>
  <c r="L232" i="23" s="1"/>
  <c r="K253" i="23"/>
  <c r="L253" i="23" s="1"/>
  <c r="K283" i="23"/>
  <c r="L283" i="23" s="1"/>
  <c r="K290" i="23"/>
  <c r="L290" i="23" s="1"/>
  <c r="K297" i="23"/>
  <c r="L297" i="23" s="1"/>
  <c r="K305" i="23"/>
  <c r="L305" i="23" s="1"/>
  <c r="K312" i="23"/>
  <c r="L312" i="23" s="1"/>
  <c r="K327" i="23"/>
  <c r="L327" i="23" s="1"/>
  <c r="K356" i="23"/>
  <c r="L356" i="23" s="1"/>
  <c r="K376" i="23"/>
  <c r="L376" i="23" s="1"/>
  <c r="K381" i="23"/>
  <c r="L381" i="23" s="1"/>
  <c r="K386" i="23"/>
  <c r="L386" i="23" s="1"/>
  <c r="K407" i="23"/>
  <c r="L407" i="23" s="1"/>
  <c r="K423" i="23"/>
  <c r="L423" i="23" s="1"/>
  <c r="K432" i="23"/>
  <c r="L432" i="23" s="1"/>
  <c r="K441" i="23"/>
  <c r="L441" i="23" s="1"/>
  <c r="K450" i="23"/>
  <c r="L450" i="23" s="1"/>
  <c r="K455" i="23"/>
  <c r="L455" i="23" s="1"/>
  <c r="K464" i="23"/>
  <c r="L464" i="23" s="1"/>
  <c r="K473" i="23"/>
  <c r="L473" i="23" s="1"/>
  <c r="K482" i="23"/>
  <c r="L482" i="23" s="1"/>
  <c r="K487" i="23"/>
  <c r="L487" i="23" s="1"/>
  <c r="K496" i="23"/>
  <c r="L496" i="23" s="1"/>
  <c r="K505" i="23"/>
  <c r="L505" i="23" s="1"/>
  <c r="K514" i="23"/>
  <c r="L514" i="23" s="1"/>
  <c r="K519" i="23"/>
  <c r="L519" i="23" s="1"/>
  <c r="K528" i="23"/>
  <c r="L528" i="23" s="1"/>
  <c r="K537" i="23"/>
  <c r="L537" i="23" s="1"/>
  <c r="K546" i="23"/>
  <c r="L546" i="23" s="1"/>
  <c r="K551" i="23"/>
  <c r="L551" i="23" s="1"/>
  <c r="K560" i="23"/>
  <c r="L560" i="23" s="1"/>
  <c r="K569" i="23"/>
  <c r="L569" i="23" s="1"/>
  <c r="K578" i="23"/>
  <c r="L578" i="23" s="1"/>
  <c r="K583" i="23"/>
  <c r="L583" i="23" s="1"/>
  <c r="K592" i="23"/>
  <c r="L592" i="23" s="1"/>
  <c r="K601" i="23"/>
  <c r="L601" i="23" s="1"/>
  <c r="K605" i="23"/>
  <c r="L605" i="23" s="1"/>
  <c r="K609" i="23"/>
  <c r="L609" i="23" s="1"/>
  <c r="K613" i="23"/>
  <c r="L613" i="23" s="1"/>
  <c r="K617" i="23"/>
  <c r="L617" i="23" s="1"/>
  <c r="K621" i="23"/>
  <c r="L621" i="23" s="1"/>
  <c r="K58" i="23"/>
  <c r="L58" i="23" s="1"/>
  <c r="K93" i="23"/>
  <c r="L93" i="23" s="1"/>
  <c r="K115" i="23"/>
  <c r="L115" i="23" s="1"/>
  <c r="K136" i="23"/>
  <c r="L136" i="23" s="1"/>
  <c r="K157" i="23"/>
  <c r="L157" i="23" s="1"/>
  <c r="K191" i="23"/>
  <c r="L191" i="23" s="1"/>
  <c r="K205" i="23"/>
  <c r="L205" i="23" s="1"/>
  <c r="K218" i="23"/>
  <c r="L218" i="23" s="1"/>
  <c r="K233" i="23"/>
  <c r="L233" i="23" s="1"/>
  <c r="K245" i="23"/>
  <c r="L245" i="23" s="1"/>
  <c r="K255" i="23"/>
  <c r="L255" i="23" s="1"/>
  <c r="K269" i="23"/>
  <c r="L269" i="23" s="1"/>
  <c r="K298" i="23"/>
  <c r="L298" i="23" s="1"/>
  <c r="K313" i="23"/>
  <c r="L313" i="23" s="1"/>
  <c r="K320" i="23"/>
  <c r="L320" i="23" s="1"/>
  <c r="K328" i="23"/>
  <c r="L328" i="23" s="1"/>
  <c r="K335" i="23"/>
  <c r="L335" i="23" s="1"/>
  <c r="K342" i="23"/>
  <c r="L342" i="23" s="1"/>
  <c r="K370" i="23"/>
  <c r="L370" i="23" s="1"/>
  <c r="K387" i="23"/>
  <c r="L387" i="23" s="1"/>
  <c r="K392" i="23"/>
  <c r="L392" i="23" s="1"/>
  <c r="K397" i="23"/>
  <c r="L397" i="23" s="1"/>
  <c r="K402" i="23"/>
  <c r="L402" i="23" s="1"/>
  <c r="K408" i="23"/>
  <c r="L408" i="23" s="1"/>
  <c r="K413" i="23"/>
  <c r="L413" i="23" s="1"/>
  <c r="K418" i="23"/>
  <c r="L418" i="23" s="1"/>
  <c r="K428" i="23"/>
  <c r="L428" i="23" s="1"/>
  <c r="K437" i="23"/>
  <c r="L437" i="23" s="1"/>
  <c r="K446" i="23"/>
  <c r="L446" i="23" s="1"/>
  <c r="K451" i="23"/>
  <c r="L451" i="23" s="1"/>
  <c r="K460" i="23"/>
  <c r="L460" i="23" s="1"/>
  <c r="K469" i="23"/>
  <c r="L469" i="23" s="1"/>
  <c r="K478" i="23"/>
  <c r="L478" i="23" s="1"/>
  <c r="K483" i="23"/>
  <c r="L483" i="23" s="1"/>
  <c r="K492" i="23"/>
  <c r="L492" i="23" s="1"/>
  <c r="K501" i="23"/>
  <c r="L501" i="23" s="1"/>
  <c r="K510" i="23"/>
  <c r="L510" i="23" s="1"/>
  <c r="K515" i="23"/>
  <c r="L515" i="23" s="1"/>
  <c r="K524" i="23"/>
  <c r="L524" i="23" s="1"/>
  <c r="K138" i="23"/>
  <c r="L138" i="23" s="1"/>
  <c r="K179" i="23"/>
  <c r="L179" i="23" s="1"/>
  <c r="K207" i="23"/>
  <c r="L207" i="23" s="1"/>
  <c r="K221" i="23"/>
  <c r="L221" i="23" s="1"/>
  <c r="K234" i="23"/>
  <c r="L234" i="23" s="1"/>
  <c r="K247" i="23"/>
  <c r="L247" i="23" s="1"/>
  <c r="K263" i="23"/>
  <c r="L263" i="23" s="1"/>
  <c r="K292" i="23"/>
  <c r="L292" i="23" s="1"/>
  <c r="K306" i="23"/>
  <c r="L306" i="23" s="1"/>
  <c r="K314" i="23"/>
  <c r="L314" i="23" s="1"/>
  <c r="K321" i="23"/>
  <c r="L321" i="23" s="1"/>
  <c r="K336" i="23"/>
  <c r="L336" i="23" s="1"/>
  <c r="K343" i="23"/>
  <c r="L343" i="23" s="1"/>
  <c r="K351" i="23"/>
  <c r="L351" i="23" s="1"/>
  <c r="K365" i="23"/>
  <c r="L365" i="23" s="1"/>
  <c r="K377" i="23"/>
  <c r="L377" i="23" s="1"/>
  <c r="K382" i="23"/>
  <c r="L382" i="23" s="1"/>
  <c r="K419" i="23"/>
  <c r="L419" i="23" s="1"/>
  <c r="K424" i="23"/>
  <c r="L424" i="23" s="1"/>
  <c r="K433" i="23"/>
  <c r="L433" i="23" s="1"/>
  <c r="K442" i="23"/>
  <c r="L442" i="23" s="1"/>
  <c r="K447" i="23"/>
  <c r="L447" i="23" s="1"/>
  <c r="K456" i="23"/>
  <c r="L456" i="23" s="1"/>
  <c r="K465" i="23"/>
  <c r="L465" i="23" s="1"/>
  <c r="K474" i="23"/>
  <c r="L474" i="23" s="1"/>
  <c r="K479" i="23"/>
  <c r="L479" i="23" s="1"/>
  <c r="K488" i="23"/>
  <c r="L488" i="23" s="1"/>
  <c r="K497" i="23"/>
  <c r="L497" i="23" s="1"/>
  <c r="K506" i="23"/>
  <c r="L506" i="23" s="1"/>
  <c r="K511" i="23"/>
  <c r="L511" i="23" s="1"/>
  <c r="K520" i="23"/>
  <c r="L520" i="23" s="1"/>
  <c r="K529" i="23"/>
  <c r="L529" i="23" s="1"/>
  <c r="K538" i="23"/>
  <c r="L538" i="23" s="1"/>
  <c r="K543" i="23"/>
  <c r="L543" i="23" s="1"/>
  <c r="K552" i="23"/>
  <c r="L552" i="23" s="1"/>
  <c r="K561" i="23"/>
  <c r="L561" i="23" s="1"/>
  <c r="K570" i="23"/>
  <c r="L570" i="23" s="1"/>
  <c r="K575" i="23"/>
  <c r="L575" i="23" s="1"/>
  <c r="K584" i="23"/>
  <c r="L584" i="23" s="1"/>
  <c r="K593" i="23"/>
  <c r="L593" i="23" s="1"/>
  <c r="K602" i="23"/>
  <c r="L602" i="23" s="1"/>
  <c r="K606" i="23"/>
  <c r="L606" i="23" s="1"/>
  <c r="K610" i="23"/>
  <c r="L610" i="23" s="1"/>
  <c r="K614" i="23"/>
  <c r="L614" i="23" s="1"/>
  <c r="K618" i="23"/>
  <c r="L618" i="23" s="1"/>
  <c r="K622" i="23"/>
  <c r="L622" i="23" s="1"/>
  <c r="K626" i="23"/>
  <c r="L626" i="23" s="1"/>
  <c r="K630" i="23"/>
  <c r="L630" i="23" s="1"/>
  <c r="K634" i="23"/>
  <c r="L634" i="23" s="1"/>
  <c r="K638" i="23"/>
  <c r="L638" i="23" s="1"/>
  <c r="K99" i="23"/>
  <c r="L99" i="23" s="1"/>
  <c r="K120" i="23"/>
  <c r="L120" i="23" s="1"/>
  <c r="K141" i="23"/>
  <c r="L141" i="23" s="1"/>
  <c r="K163" i="23"/>
  <c r="L163" i="23" s="1"/>
  <c r="K180" i="23"/>
  <c r="L180" i="23" s="1"/>
  <c r="K195" i="23"/>
  <c r="L195" i="23" s="1"/>
  <c r="K223" i="23"/>
  <c r="L223" i="23" s="1"/>
  <c r="K237" i="23"/>
  <c r="L237" i="23" s="1"/>
  <c r="K248" i="23"/>
  <c r="L248" i="23" s="1"/>
  <c r="K256" i="23"/>
  <c r="L256" i="23" s="1"/>
  <c r="K264" i="23"/>
  <c r="L264" i="23" s="1"/>
  <c r="K271" i="23"/>
  <c r="L271" i="23" s="1"/>
  <c r="K278" i="23"/>
  <c r="L278" i="23" s="1"/>
  <c r="K315" i="23"/>
  <c r="L315" i="23" s="1"/>
  <c r="K322" i="23"/>
  <c r="L322" i="23" s="1"/>
  <c r="K329" i="23"/>
  <c r="L329" i="23" s="1"/>
  <c r="K337" i="23"/>
  <c r="L337" i="23" s="1"/>
  <c r="K344" i="23"/>
  <c r="L344" i="23" s="1"/>
  <c r="K359" i="23"/>
  <c r="L359" i="23" s="1"/>
  <c r="K372" i="23"/>
  <c r="L372" i="23" s="1"/>
  <c r="K383" i="23"/>
  <c r="L383" i="23" s="1"/>
  <c r="K388" i="23"/>
  <c r="L388" i="23" s="1"/>
  <c r="K393" i="23"/>
  <c r="L393" i="23" s="1"/>
  <c r="K399" i="23"/>
  <c r="L399" i="23" s="1"/>
  <c r="K404" i="23"/>
  <c r="L404" i="23" s="1"/>
  <c r="K409" i="23"/>
  <c r="L409" i="23" s="1"/>
  <c r="K414" i="23"/>
  <c r="L414" i="23" s="1"/>
  <c r="K429" i="23"/>
  <c r="L429" i="23" s="1"/>
  <c r="K438" i="23"/>
  <c r="L438" i="23" s="1"/>
  <c r="K443" i="23"/>
  <c r="L443" i="23" s="1"/>
  <c r="K452" i="23"/>
  <c r="L452" i="23" s="1"/>
  <c r="K461" i="23"/>
  <c r="L461" i="23" s="1"/>
  <c r="K470" i="23"/>
  <c r="L470" i="23" s="1"/>
  <c r="K475" i="23"/>
  <c r="L475" i="23" s="1"/>
  <c r="K484" i="23"/>
  <c r="L484" i="23" s="1"/>
  <c r="K493" i="23"/>
  <c r="L493" i="23" s="1"/>
  <c r="K502" i="23"/>
  <c r="L502" i="23" s="1"/>
  <c r="K507" i="23"/>
  <c r="L507" i="23" s="1"/>
  <c r="K516" i="23"/>
  <c r="L516" i="23" s="1"/>
  <c r="K525" i="23"/>
  <c r="L525" i="23" s="1"/>
  <c r="K534" i="23"/>
  <c r="L534" i="23" s="1"/>
  <c r="K539" i="23"/>
  <c r="L539" i="23" s="1"/>
  <c r="K548" i="23"/>
  <c r="L548" i="23" s="1"/>
  <c r="K557" i="23"/>
  <c r="L557" i="23" s="1"/>
  <c r="K566" i="23"/>
  <c r="L566" i="23" s="1"/>
  <c r="K571" i="23"/>
  <c r="L571" i="23" s="1"/>
  <c r="K580" i="23"/>
  <c r="L580" i="23" s="1"/>
  <c r="K589" i="23"/>
  <c r="L589" i="23" s="1"/>
  <c r="K598" i="23"/>
  <c r="L598" i="23" s="1"/>
  <c r="K74" i="23"/>
  <c r="L74" i="23" s="1"/>
  <c r="K122" i="23"/>
  <c r="L122" i="23" s="1"/>
  <c r="K196" i="23"/>
  <c r="L196" i="23" s="1"/>
  <c r="K211" i="23"/>
  <c r="L211" i="23" s="1"/>
  <c r="K239" i="23"/>
  <c r="L239" i="23" s="1"/>
  <c r="K249" i="23"/>
  <c r="L249" i="23" s="1"/>
  <c r="K257" i="23"/>
  <c r="L257" i="23" s="1"/>
  <c r="K272" i="23"/>
  <c r="L272" i="23" s="1"/>
  <c r="K279" i="23"/>
  <c r="L279" i="23" s="1"/>
  <c r="K287" i="23"/>
  <c r="L287" i="23" s="1"/>
  <c r="K301" i="23"/>
  <c r="L301" i="23" s="1"/>
  <c r="K330" i="23"/>
  <c r="L330" i="23" s="1"/>
  <c r="K345" i="23"/>
  <c r="L345" i="23" s="1"/>
  <c r="K352" i="23"/>
  <c r="L352" i="23" s="1"/>
  <c r="K360" i="23"/>
  <c r="L360" i="23" s="1"/>
  <c r="K367" i="23"/>
  <c r="L367" i="23" s="1"/>
  <c r="K378" i="23"/>
  <c r="L378" i="23" s="1"/>
  <c r="K394" i="23"/>
  <c r="L394" i="23" s="1"/>
  <c r="K415" i="23"/>
  <c r="L415" i="23" s="1"/>
  <c r="K420" i="23"/>
  <c r="L420" i="23" s="1"/>
  <c r="K425" i="23"/>
  <c r="L425" i="23" s="1"/>
  <c r="K434" i="23"/>
  <c r="L434" i="23" s="1"/>
  <c r="K439" i="23"/>
  <c r="L439" i="23" s="1"/>
  <c r="K448" i="23"/>
  <c r="L448" i="23" s="1"/>
  <c r="K457" i="23"/>
  <c r="L457" i="23" s="1"/>
  <c r="K466" i="23"/>
  <c r="L466" i="23" s="1"/>
  <c r="K471" i="23"/>
  <c r="L471" i="23" s="1"/>
  <c r="K480" i="23"/>
  <c r="L480" i="23" s="1"/>
  <c r="K489" i="23"/>
  <c r="L489" i="23" s="1"/>
  <c r="K498" i="23"/>
  <c r="L498" i="23" s="1"/>
  <c r="K503" i="23"/>
  <c r="L503" i="23" s="1"/>
  <c r="K512" i="23"/>
  <c r="L512" i="23" s="1"/>
  <c r="K521" i="23"/>
  <c r="L521" i="23" s="1"/>
  <c r="K530" i="23"/>
  <c r="L530" i="23" s="1"/>
  <c r="K535" i="23"/>
  <c r="L535" i="23" s="1"/>
  <c r="K544" i="23"/>
  <c r="L544" i="23" s="1"/>
  <c r="K553" i="23"/>
  <c r="L553" i="23" s="1"/>
  <c r="K562" i="23"/>
  <c r="L562" i="23" s="1"/>
  <c r="K567" i="23"/>
  <c r="L567" i="23" s="1"/>
  <c r="K576" i="23"/>
  <c r="L576" i="23" s="1"/>
  <c r="K585" i="23"/>
  <c r="L585" i="23" s="1"/>
  <c r="K594" i="23"/>
  <c r="L594" i="23" s="1"/>
  <c r="K599" i="23"/>
  <c r="L599" i="23" s="1"/>
  <c r="K603" i="23"/>
  <c r="L603" i="23" s="1"/>
  <c r="K607" i="23"/>
  <c r="L607" i="23" s="1"/>
  <c r="K611" i="23"/>
  <c r="L611" i="23" s="1"/>
  <c r="K615" i="23"/>
  <c r="L615" i="23" s="1"/>
  <c r="K619" i="23"/>
  <c r="L619" i="23" s="1"/>
  <c r="K623" i="23"/>
  <c r="L623" i="23" s="1"/>
  <c r="K627" i="23"/>
  <c r="L627" i="23" s="1"/>
  <c r="K631" i="23"/>
  <c r="L631" i="23" s="1"/>
  <c r="K104" i="23"/>
  <c r="L104" i="23" s="1"/>
  <c r="K125" i="23"/>
  <c r="L125" i="23" s="1"/>
  <c r="K147" i="23"/>
  <c r="L147" i="23" s="1"/>
  <c r="K168" i="23"/>
  <c r="L168" i="23" s="1"/>
  <c r="K184" i="23"/>
  <c r="L184" i="23" s="1"/>
  <c r="K212" i="23"/>
  <c r="L212" i="23" s="1"/>
  <c r="K227" i="23"/>
  <c r="L227" i="23" s="1"/>
  <c r="K250" i="23"/>
  <c r="L250" i="23" s="1"/>
  <c r="K258" i="23"/>
  <c r="L258" i="23" s="1"/>
  <c r="K265" i="23"/>
  <c r="L265" i="23" s="1"/>
  <c r="K273" i="23"/>
  <c r="L273" i="23" s="1"/>
  <c r="K280" i="23"/>
  <c r="L280" i="23" s="1"/>
  <c r="K295" i="23"/>
  <c r="L295" i="23" s="1"/>
  <c r="K324" i="23"/>
  <c r="L324" i="23" s="1"/>
  <c r="K338" i="23"/>
  <c r="L338" i="23" s="1"/>
  <c r="K346" i="23"/>
  <c r="L346" i="23" s="1"/>
  <c r="K353" i="23"/>
  <c r="L353" i="23" s="1"/>
  <c r="K379" i="23"/>
  <c r="L379" i="23" s="1"/>
  <c r="K384" i="23"/>
  <c r="L384" i="23" s="1"/>
  <c r="K395" i="23"/>
  <c r="L395" i="23" s="1"/>
  <c r="K400" i="23"/>
  <c r="L400" i="23" s="1"/>
  <c r="K405" i="23"/>
  <c r="L405" i="23" s="1"/>
  <c r="K410" i="23"/>
  <c r="L410" i="23" s="1"/>
  <c r="K430" i="23"/>
  <c r="L430" i="23" s="1"/>
  <c r="K435" i="23"/>
  <c r="L435" i="23" s="1"/>
  <c r="K444" i="23"/>
  <c r="L444" i="23" s="1"/>
  <c r="K453" i="23"/>
  <c r="L453" i="23" s="1"/>
  <c r="K462" i="23"/>
  <c r="L462" i="23" s="1"/>
  <c r="K467" i="23"/>
  <c r="L467" i="23" s="1"/>
  <c r="K476" i="23"/>
  <c r="L476" i="23" s="1"/>
  <c r="K485" i="23"/>
  <c r="L485" i="23" s="1"/>
  <c r="K494" i="23"/>
  <c r="L494" i="23" s="1"/>
  <c r="K499" i="23"/>
  <c r="L499" i="23" s="1"/>
  <c r="K508" i="23"/>
  <c r="L508" i="23" s="1"/>
  <c r="K517" i="23"/>
  <c r="L517" i="23" s="1"/>
  <c r="K526" i="23"/>
  <c r="L526" i="23" s="1"/>
  <c r="K531" i="23"/>
  <c r="L531" i="23" s="1"/>
  <c r="K540" i="23"/>
  <c r="L540" i="23" s="1"/>
  <c r="K549" i="23"/>
  <c r="L549" i="23" s="1"/>
  <c r="K558" i="23"/>
  <c r="L558" i="23" s="1"/>
  <c r="K563" i="23"/>
  <c r="L563" i="23" s="1"/>
  <c r="K572" i="23"/>
  <c r="L572" i="23" s="1"/>
  <c r="K581" i="23"/>
  <c r="L581" i="23" s="1"/>
  <c r="K590" i="23"/>
  <c r="L590" i="23" s="1"/>
  <c r="K595" i="23"/>
  <c r="L595" i="23" s="1"/>
  <c r="K604" i="23"/>
  <c r="L604" i="23" s="1"/>
  <c r="K612" i="23"/>
  <c r="L612" i="23" s="1"/>
  <c r="K620" i="23"/>
  <c r="L620" i="23" s="1"/>
  <c r="K628" i="23"/>
  <c r="L628" i="23" s="1"/>
  <c r="K636" i="23"/>
  <c r="L636" i="23" s="1"/>
  <c r="K644" i="23"/>
  <c r="L644" i="23" s="1"/>
  <c r="K652" i="23"/>
  <c r="L652" i="23" s="1"/>
  <c r="K42" i="23"/>
  <c r="L42" i="23" s="1"/>
  <c r="K106" i="23"/>
  <c r="L106" i="23" s="1"/>
  <c r="K170" i="23"/>
  <c r="L170" i="23" s="1"/>
  <c r="K185" i="23"/>
  <c r="L185" i="23" s="1"/>
  <c r="K200" i="23"/>
  <c r="L200" i="23" s="1"/>
  <c r="K228" i="23"/>
  <c r="L228" i="23" s="1"/>
  <c r="K243" i="23"/>
  <c r="L243" i="23" s="1"/>
  <c r="K251" i="23"/>
  <c r="L251" i="23" s="1"/>
  <c r="K266" i="23"/>
  <c r="L266" i="23" s="1"/>
  <c r="K281" i="23"/>
  <c r="L281" i="23" s="1"/>
  <c r="K288" i="23"/>
  <c r="L288" i="23" s="1"/>
  <c r="K296" i="23"/>
  <c r="L296" i="23" s="1"/>
  <c r="K303" i="23"/>
  <c r="L303" i="23" s="1"/>
  <c r="K310" i="23"/>
  <c r="L310" i="23" s="1"/>
  <c r="K347" i="23"/>
  <c r="L347" i="23" s="1"/>
  <c r="K354" i="23"/>
  <c r="L354" i="23" s="1"/>
  <c r="K361" i="23"/>
  <c r="L361" i="23" s="1"/>
  <c r="K368" i="23"/>
  <c r="L368" i="23" s="1"/>
  <c r="K374" i="23"/>
  <c r="L374" i="23" s="1"/>
  <c r="K385" i="23"/>
  <c r="L385" i="23" s="1"/>
  <c r="K390" i="23"/>
  <c r="L390" i="23" s="1"/>
  <c r="K411" i="23"/>
  <c r="L411" i="23" s="1"/>
  <c r="K416" i="23"/>
  <c r="L416" i="23" s="1"/>
  <c r="K426" i="23"/>
  <c r="L426" i="23" s="1"/>
  <c r="K431" i="23"/>
  <c r="L431" i="23" s="1"/>
  <c r="K440" i="23"/>
  <c r="L440" i="23" s="1"/>
  <c r="K449" i="23"/>
  <c r="L449" i="23" s="1"/>
  <c r="K458" i="23"/>
  <c r="L458" i="23" s="1"/>
  <c r="K463" i="23"/>
  <c r="L463" i="23" s="1"/>
  <c r="K472" i="23"/>
  <c r="L472" i="23" s="1"/>
  <c r="K481" i="23"/>
  <c r="L481" i="23" s="1"/>
  <c r="K490" i="23"/>
  <c r="L490" i="23" s="1"/>
  <c r="K495" i="23"/>
  <c r="L495" i="23" s="1"/>
  <c r="K504" i="23"/>
  <c r="L504" i="23" s="1"/>
  <c r="K513" i="23"/>
  <c r="L513" i="23" s="1"/>
  <c r="K522" i="23"/>
  <c r="L522" i="23" s="1"/>
  <c r="K527" i="23"/>
  <c r="L527" i="23" s="1"/>
  <c r="K536" i="23"/>
  <c r="L536" i="23" s="1"/>
  <c r="K545" i="23"/>
  <c r="L545" i="23" s="1"/>
  <c r="K554" i="23"/>
  <c r="L554" i="23" s="1"/>
  <c r="K559" i="23"/>
  <c r="L559" i="23" s="1"/>
  <c r="K568" i="23"/>
  <c r="L568" i="23" s="1"/>
  <c r="K577" i="23"/>
  <c r="L577" i="23" s="1"/>
  <c r="K586" i="23"/>
  <c r="L586" i="23" s="1"/>
  <c r="K591" i="23"/>
  <c r="L591" i="23" s="1"/>
  <c r="K600" i="23"/>
  <c r="L600" i="23" s="1"/>
  <c r="K608" i="23"/>
  <c r="L608" i="23" s="1"/>
  <c r="K616" i="23"/>
  <c r="L616" i="23" s="1"/>
  <c r="K624" i="23"/>
  <c r="L624" i="23" s="1"/>
  <c r="K632" i="23"/>
  <c r="L632" i="23" s="1"/>
  <c r="K640" i="23"/>
  <c r="L640" i="23" s="1"/>
  <c r="K648" i="23"/>
  <c r="L648" i="23" s="1"/>
  <c r="K827" i="23"/>
  <c r="L827" i="23" s="1"/>
  <c r="K811" i="23"/>
  <c r="L811" i="23" s="1"/>
  <c r="K795" i="23"/>
  <c r="L795" i="23" s="1"/>
  <c r="K779" i="23"/>
  <c r="L779" i="23" s="1"/>
  <c r="K763" i="23"/>
  <c r="L763" i="23" s="1"/>
  <c r="K747" i="23"/>
  <c r="L747" i="23" s="1"/>
  <c r="K731" i="23"/>
  <c r="L731" i="23" s="1"/>
  <c r="K715" i="23"/>
  <c r="L715" i="23" s="1"/>
  <c r="K699" i="23"/>
  <c r="L699" i="23" s="1"/>
  <c r="K683" i="23"/>
  <c r="L683" i="23" s="1"/>
  <c r="K667" i="23"/>
  <c r="L667" i="23" s="1"/>
  <c r="K650" i="23"/>
  <c r="L650" i="23" s="1"/>
  <c r="K637" i="23"/>
  <c r="L637" i="23" s="1"/>
  <c r="K597" i="23"/>
  <c r="L597" i="23" s="1"/>
  <c r="K579" i="23"/>
  <c r="L579" i="23" s="1"/>
  <c r="K542" i="23"/>
  <c r="L542" i="23" s="1"/>
  <c r="K523" i="23"/>
  <c r="L523" i="23" s="1"/>
  <c r="K486" i="23"/>
  <c r="L486" i="23" s="1"/>
  <c r="N170" i="2" l="1"/>
  <c r="K170" i="2"/>
  <c r="N169" i="2"/>
  <c r="K169" i="2"/>
  <c r="N168" i="2"/>
  <c r="K168" i="2"/>
  <c r="N167" i="2"/>
  <c r="K167" i="2"/>
  <c r="N166" i="2"/>
  <c r="K166" i="2"/>
  <c r="N165" i="2"/>
  <c r="K165" i="2"/>
  <c r="N164" i="2"/>
  <c r="K164" i="2"/>
  <c r="N163" i="2"/>
  <c r="K163" i="2"/>
  <c r="N162" i="2"/>
  <c r="K162" i="2"/>
  <c r="N161" i="2"/>
  <c r="K161" i="2"/>
  <c r="N160" i="2"/>
  <c r="K160" i="2"/>
  <c r="N159" i="2"/>
  <c r="K159" i="2"/>
  <c r="N158" i="2"/>
  <c r="K158" i="2"/>
  <c r="N157" i="2"/>
  <c r="K157" i="2"/>
  <c r="N156" i="2"/>
  <c r="K156" i="2"/>
  <c r="N155" i="2"/>
  <c r="K155" i="2"/>
  <c r="N154" i="2"/>
  <c r="K154" i="2"/>
  <c r="N153" i="2"/>
  <c r="K153" i="2"/>
  <c r="N152" i="2"/>
  <c r="K152" i="2"/>
  <c r="N151" i="2"/>
  <c r="K151" i="2"/>
  <c r="N150" i="2"/>
  <c r="K150" i="2"/>
  <c r="N149" i="2"/>
  <c r="K149" i="2"/>
  <c r="N148" i="2"/>
  <c r="K148" i="2"/>
  <c r="N147" i="2"/>
  <c r="K147" i="2"/>
  <c r="N146" i="2"/>
  <c r="K146" i="2"/>
  <c r="N145" i="2"/>
  <c r="K145" i="2"/>
  <c r="N144" i="2"/>
  <c r="K144" i="2"/>
  <c r="N143" i="2"/>
  <c r="K143" i="2"/>
  <c r="N142" i="2"/>
  <c r="K142" i="2"/>
  <c r="N141" i="2"/>
  <c r="K141" i="2"/>
  <c r="N140" i="2"/>
  <c r="K140" i="2"/>
  <c r="N139" i="2"/>
  <c r="K139" i="2"/>
  <c r="N138" i="2"/>
  <c r="K138" i="2"/>
  <c r="N137" i="2"/>
  <c r="K137" i="2"/>
  <c r="N136" i="2"/>
  <c r="K136" i="2"/>
  <c r="N135" i="2"/>
  <c r="K135" i="2"/>
  <c r="N134" i="2"/>
  <c r="K134" i="2"/>
  <c r="N133" i="2"/>
  <c r="K133" i="2"/>
  <c r="N132" i="2"/>
  <c r="K132" i="2"/>
  <c r="N131" i="2"/>
  <c r="K131" i="2"/>
  <c r="N130" i="2"/>
  <c r="K130" i="2"/>
  <c r="N129" i="2"/>
  <c r="K129" i="2"/>
  <c r="N128" i="2"/>
  <c r="K128" i="2"/>
  <c r="N127" i="2"/>
  <c r="K127" i="2"/>
  <c r="N126" i="2"/>
  <c r="K126" i="2"/>
  <c r="N125" i="2"/>
  <c r="K125" i="2"/>
  <c r="N124" i="2"/>
  <c r="K124" i="2"/>
  <c r="N123" i="2"/>
  <c r="K123" i="2"/>
  <c r="N122" i="2"/>
  <c r="K122" i="2"/>
  <c r="N121" i="2"/>
  <c r="K121" i="2"/>
  <c r="N120" i="2"/>
  <c r="K120" i="2"/>
  <c r="N119" i="2"/>
  <c r="K119" i="2"/>
  <c r="N118" i="2"/>
  <c r="K118" i="2"/>
  <c r="N117" i="2"/>
  <c r="K117" i="2"/>
  <c r="N116" i="2"/>
  <c r="K116" i="2"/>
  <c r="N115" i="2"/>
  <c r="K115" i="2"/>
  <c r="N114" i="2"/>
  <c r="K114" i="2"/>
  <c r="N113" i="2"/>
  <c r="K113" i="2"/>
  <c r="N112" i="2"/>
  <c r="K112" i="2"/>
  <c r="N111" i="2"/>
  <c r="K111" i="2"/>
  <c r="N110" i="2"/>
  <c r="K110" i="2"/>
  <c r="N109" i="2"/>
  <c r="K109" i="2"/>
  <c r="N108" i="2"/>
  <c r="K108" i="2"/>
  <c r="N107" i="2"/>
  <c r="K107" i="2"/>
  <c r="N106" i="2"/>
  <c r="K106" i="2"/>
  <c r="N105" i="2"/>
  <c r="K105" i="2"/>
  <c r="N104" i="2"/>
  <c r="K104" i="2"/>
  <c r="N103" i="2"/>
  <c r="K103" i="2"/>
  <c r="N102" i="2"/>
  <c r="K102" i="2"/>
  <c r="N101" i="2"/>
  <c r="K101" i="2"/>
  <c r="N100" i="2"/>
  <c r="K100" i="2"/>
  <c r="N99" i="2"/>
  <c r="K99" i="2"/>
  <c r="N98" i="2"/>
  <c r="K98" i="2"/>
  <c r="N97" i="2"/>
  <c r="K97" i="2"/>
  <c r="N96" i="2"/>
  <c r="K96" i="2"/>
  <c r="N95" i="2"/>
  <c r="K95" i="2"/>
  <c r="N94" i="2"/>
  <c r="K94" i="2"/>
  <c r="N93" i="2"/>
  <c r="K93" i="2"/>
  <c r="N92" i="2"/>
  <c r="K92" i="2"/>
  <c r="N91" i="2"/>
  <c r="K91" i="2"/>
  <c r="N90" i="2"/>
  <c r="K90" i="2"/>
  <c r="N89" i="2"/>
  <c r="K89" i="2"/>
  <c r="N88" i="2"/>
  <c r="K88" i="2"/>
  <c r="N87" i="2"/>
  <c r="K87" i="2"/>
  <c r="N86" i="2"/>
  <c r="K86" i="2"/>
  <c r="N85" i="2"/>
  <c r="K85" i="2"/>
  <c r="N84" i="2"/>
  <c r="K84" i="2"/>
  <c r="N83" i="2"/>
  <c r="K83" i="2"/>
  <c r="N82" i="2"/>
  <c r="K82" i="2"/>
  <c r="N81" i="2"/>
  <c r="K81" i="2"/>
  <c r="N80" i="2"/>
  <c r="K80" i="2"/>
  <c r="N79" i="2"/>
  <c r="K79" i="2"/>
  <c r="N78" i="2"/>
  <c r="K78" i="2"/>
  <c r="N77" i="2"/>
  <c r="K77" i="2"/>
  <c r="N76" i="2"/>
  <c r="K76" i="2"/>
  <c r="N75" i="2"/>
  <c r="K75" i="2"/>
  <c r="N74" i="2"/>
  <c r="K74" i="2"/>
  <c r="N73" i="2"/>
  <c r="K73" i="2"/>
  <c r="N72" i="2"/>
  <c r="K72" i="2"/>
  <c r="N71" i="2"/>
  <c r="K71" i="2"/>
  <c r="N70" i="2"/>
  <c r="K70" i="2"/>
  <c r="D70" i="2"/>
  <c r="N69" i="2"/>
  <c r="K69" i="2"/>
  <c r="D69" i="2"/>
  <c r="N68" i="2"/>
  <c r="K68" i="2"/>
  <c r="D68" i="2"/>
  <c r="N67" i="2"/>
  <c r="K67" i="2"/>
  <c r="D67" i="2"/>
  <c r="N66" i="2"/>
  <c r="K66" i="2"/>
  <c r="D66" i="2"/>
  <c r="N65" i="2"/>
  <c r="K65" i="2"/>
  <c r="D65" i="2"/>
  <c r="N64" i="2"/>
  <c r="K64" i="2"/>
  <c r="D64" i="2"/>
  <c r="N63" i="2"/>
  <c r="K63" i="2"/>
  <c r="D63" i="2"/>
  <c r="N62" i="2"/>
  <c r="K62" i="2"/>
  <c r="D62" i="2"/>
  <c r="N61" i="2"/>
  <c r="K61" i="2"/>
  <c r="D61" i="2"/>
  <c r="N60" i="2"/>
  <c r="K60" i="2"/>
  <c r="D60" i="2"/>
  <c r="N59" i="2"/>
  <c r="K59" i="2"/>
  <c r="D59" i="2"/>
  <c r="N58" i="2"/>
  <c r="K58" i="2"/>
  <c r="D58" i="2"/>
  <c r="N57" i="2"/>
  <c r="K57" i="2"/>
  <c r="D57" i="2"/>
  <c r="N56" i="2"/>
  <c r="K56" i="2"/>
  <c r="D56" i="2"/>
  <c r="N55" i="2"/>
  <c r="K55" i="2"/>
  <c r="D55" i="2"/>
  <c r="N54" i="2"/>
  <c r="K54" i="2"/>
  <c r="D54" i="2"/>
  <c r="N53" i="2"/>
  <c r="K53" i="2"/>
  <c r="D53" i="2"/>
  <c r="N52" i="2"/>
  <c r="K52" i="2"/>
  <c r="D52" i="2"/>
  <c r="N51" i="2"/>
  <c r="D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D25" i="2" s="1"/>
  <c r="N22" i="2"/>
  <c r="N21" i="2"/>
  <c r="D20" i="2"/>
  <c r="C13" i="2"/>
  <c r="C8" i="2"/>
  <c r="C17" i="23"/>
  <c r="C15" i="23"/>
  <c r="C10" i="23"/>
  <c r="C12" i="23" s="1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AD143" i="9"/>
  <c r="AF143" i="9" s="1"/>
  <c r="AH143" i="9" s="1"/>
  <c r="AD144" i="9"/>
  <c r="AF144" i="9" s="1"/>
  <c r="AH144" i="9" s="1"/>
  <c r="AD145" i="9"/>
  <c r="AF145" i="9" s="1"/>
  <c r="AD146" i="9"/>
  <c r="AF146" i="9" s="1"/>
  <c r="AD147" i="9"/>
  <c r="AF147" i="9" s="1"/>
  <c r="AD148" i="9"/>
  <c r="AF148" i="9" s="1"/>
  <c r="AD149" i="9"/>
  <c r="AF149" i="9" s="1"/>
  <c r="AH149" i="9" s="1"/>
  <c r="AD150" i="9"/>
  <c r="AF150" i="9" s="1"/>
  <c r="AH150" i="9" s="1"/>
  <c r="AD151" i="9"/>
  <c r="AF151" i="9" s="1"/>
  <c r="AH151" i="9" s="1"/>
  <c r="AD152" i="9"/>
  <c r="AF152" i="9" s="1"/>
  <c r="AH152" i="9" s="1"/>
  <c r="AD153" i="9"/>
  <c r="AF153" i="9" s="1"/>
  <c r="AD154" i="9"/>
  <c r="AF154" i="9" s="1"/>
  <c r="AD155" i="9"/>
  <c r="AF155" i="9" s="1"/>
  <c r="AD156" i="9"/>
  <c r="AF156" i="9" s="1"/>
  <c r="AD157" i="9"/>
  <c r="AF157" i="9" s="1"/>
  <c r="AD158" i="9"/>
  <c r="AF158" i="9" s="1"/>
  <c r="AH158" i="9" s="1"/>
  <c r="AD159" i="9"/>
  <c r="AF159" i="9" s="1"/>
  <c r="AH159" i="9" s="1"/>
  <c r="AD160" i="9"/>
  <c r="AF160" i="9" s="1"/>
  <c r="AH160" i="9" s="1"/>
  <c r="AD142" i="9"/>
  <c r="AF142" i="9" s="1"/>
  <c r="AB160" i="9"/>
  <c r="AB159" i="9"/>
  <c r="AB158" i="9"/>
  <c r="AB157" i="9"/>
  <c r="AB156" i="9"/>
  <c r="AB155" i="9"/>
  <c r="AB154" i="9"/>
  <c r="AB153" i="9"/>
  <c r="AB152" i="9"/>
  <c r="AB151" i="9"/>
  <c r="AB150" i="9"/>
  <c r="AB149" i="9"/>
  <c r="AB148" i="9"/>
  <c r="AB147" i="9"/>
  <c r="AB146" i="9"/>
  <c r="AB145" i="9"/>
  <c r="AB144" i="9"/>
  <c r="AB143" i="9"/>
  <c r="AB142" i="9"/>
  <c r="F118" i="9"/>
  <c r="AH155" i="9" l="1"/>
  <c r="AH154" i="9"/>
  <c r="AH146" i="9"/>
  <c r="AH142" i="9"/>
  <c r="AH153" i="9"/>
  <c r="AH145" i="9"/>
  <c r="AH147" i="9"/>
  <c r="AH157" i="9"/>
  <c r="AH156" i="9"/>
  <c r="AH148" i="9"/>
  <c r="D23" i="2"/>
  <c r="K33" i="2"/>
  <c r="K38" i="2"/>
  <c r="D41" i="2"/>
  <c r="K30" i="2"/>
  <c r="K23" i="2"/>
  <c r="K36" i="2"/>
  <c r="D39" i="2"/>
  <c r="K44" i="2"/>
  <c r="K47" i="2"/>
  <c r="K22" i="2"/>
  <c r="K29" i="2"/>
  <c r="D31" i="2"/>
  <c r="K32" i="2"/>
  <c r="K35" i="2"/>
  <c r="D38" i="2"/>
  <c r="K43" i="2"/>
  <c r="K46" i="2"/>
  <c r="K50" i="2"/>
  <c r="K21" i="2"/>
  <c r="D24" i="2"/>
  <c r="K26" i="2"/>
  <c r="D30" i="2"/>
  <c r="D34" i="2"/>
  <c r="D37" i="2"/>
  <c r="K42" i="2"/>
  <c r="D48" i="2"/>
  <c r="K49" i="2"/>
  <c r="K37" i="2"/>
  <c r="K51" i="2"/>
  <c r="L51" i="2" s="1"/>
  <c r="D36" i="2"/>
  <c r="D47" i="2"/>
  <c r="D29" i="2"/>
  <c r="D33" i="2"/>
  <c r="D44" i="2"/>
  <c r="D22" i="2"/>
  <c r="D32" i="2"/>
  <c r="D35" i="2"/>
  <c r="K40" i="2"/>
  <c r="D43" i="2"/>
  <c r="D46" i="2"/>
  <c r="K48" i="2"/>
  <c r="D50" i="2"/>
  <c r="K27" i="2"/>
  <c r="D40" i="2"/>
  <c r="D28" i="2"/>
  <c r="K25" i="2"/>
  <c r="K31" i="2"/>
  <c r="K34" i="2"/>
  <c r="K41" i="2"/>
  <c r="K45" i="2"/>
  <c r="D21" i="2"/>
  <c r="K24" i="2"/>
  <c r="D26" i="2"/>
  <c r="K28" i="2"/>
  <c r="K39" i="2"/>
  <c r="D42" i="2"/>
  <c r="D49" i="2"/>
  <c r="D45" i="2"/>
  <c r="D27" i="2"/>
  <c r="C14" i="23"/>
  <c r="C9" i="23"/>
  <c r="C11" i="23"/>
  <c r="F125" i="9"/>
  <c r="F124" i="9"/>
  <c r="F123" i="9"/>
  <c r="F122" i="9"/>
  <c r="F121" i="9"/>
  <c r="F120" i="9"/>
  <c r="F119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02" i="9"/>
  <c r="F101" i="9"/>
  <c r="F100" i="9"/>
  <c r="F99" i="9"/>
  <c r="F98" i="9"/>
  <c r="F97" i="9"/>
  <c r="F96" i="9"/>
  <c r="F95" i="9"/>
  <c r="F94" i="9"/>
  <c r="F93" i="9"/>
  <c r="F92" i="9"/>
  <c r="F91" i="9"/>
  <c r="F126" i="9"/>
  <c r="F90" i="9"/>
  <c r="G91" i="9"/>
  <c r="H91" i="9" s="1"/>
  <c r="G92" i="9"/>
  <c r="H92" i="9" s="1"/>
  <c r="G93" i="9"/>
  <c r="H93" i="9" s="1"/>
  <c r="G94" i="9"/>
  <c r="H94" i="9" s="1"/>
  <c r="G95" i="9"/>
  <c r="H95" i="9" s="1"/>
  <c r="G96" i="9"/>
  <c r="H96" i="9" s="1"/>
  <c r="G97" i="9"/>
  <c r="H97" i="9" s="1"/>
  <c r="G98" i="9"/>
  <c r="H98" i="9" s="1"/>
  <c r="G99" i="9"/>
  <c r="H99" i="9" s="1"/>
  <c r="G100" i="9"/>
  <c r="H100" i="9" s="1"/>
  <c r="G101" i="9"/>
  <c r="H101" i="9" s="1"/>
  <c r="G102" i="9"/>
  <c r="H102" i="9" s="1"/>
  <c r="G103" i="9"/>
  <c r="H103" i="9" s="1"/>
  <c r="G104" i="9"/>
  <c r="H104" i="9" s="1"/>
  <c r="G105" i="9"/>
  <c r="H105" i="9" s="1"/>
  <c r="G106" i="9"/>
  <c r="H106" i="9" s="1"/>
  <c r="G107" i="9"/>
  <c r="H107" i="9" s="1"/>
  <c r="G108" i="9"/>
  <c r="H108" i="9" s="1"/>
  <c r="G109" i="9"/>
  <c r="H109" i="9" s="1"/>
  <c r="G110" i="9"/>
  <c r="H110" i="9" s="1"/>
  <c r="G111" i="9"/>
  <c r="H111" i="9" s="1"/>
  <c r="G112" i="9"/>
  <c r="H112" i="9" s="1"/>
  <c r="G113" i="9"/>
  <c r="H113" i="9" s="1"/>
  <c r="G114" i="9"/>
  <c r="H114" i="9" s="1"/>
  <c r="G115" i="9"/>
  <c r="H115" i="9" s="1"/>
  <c r="G116" i="9"/>
  <c r="H116" i="9" s="1"/>
  <c r="G117" i="9"/>
  <c r="H117" i="9" s="1"/>
  <c r="G118" i="9"/>
  <c r="H118" i="9" s="1"/>
  <c r="T118" i="9" s="1"/>
  <c r="AC118" i="9" s="1"/>
  <c r="G119" i="9"/>
  <c r="H119" i="9" s="1"/>
  <c r="G120" i="9"/>
  <c r="H120" i="9" s="1"/>
  <c r="G121" i="9"/>
  <c r="H121" i="9" s="1"/>
  <c r="G122" i="9"/>
  <c r="H122" i="9" s="1"/>
  <c r="G123" i="9"/>
  <c r="H123" i="9" s="1"/>
  <c r="G124" i="9"/>
  <c r="H124" i="9" s="1"/>
  <c r="G125" i="9"/>
  <c r="H125" i="9" s="1"/>
  <c r="G126" i="9"/>
  <c r="H126" i="9" s="1"/>
  <c r="G127" i="9"/>
  <c r="H127" i="9" s="1"/>
  <c r="G128" i="9"/>
  <c r="H128" i="9" s="1"/>
  <c r="G129" i="9"/>
  <c r="H129" i="9" s="1"/>
  <c r="G130" i="9"/>
  <c r="H130" i="9" s="1"/>
  <c r="G131" i="9"/>
  <c r="H131" i="9" s="1"/>
  <c r="G132" i="9"/>
  <c r="H132" i="9" s="1"/>
  <c r="G133" i="9"/>
  <c r="H133" i="9" s="1"/>
  <c r="G134" i="9"/>
  <c r="H134" i="9" s="1"/>
  <c r="G135" i="9"/>
  <c r="H135" i="9" s="1"/>
  <c r="G136" i="9"/>
  <c r="H136" i="9" s="1"/>
  <c r="G137" i="9"/>
  <c r="H137" i="9" s="1"/>
  <c r="G138" i="9"/>
  <c r="H138" i="9" s="1"/>
  <c r="G139" i="9"/>
  <c r="H139" i="9" s="1"/>
  <c r="G140" i="9"/>
  <c r="H140" i="9" s="1"/>
  <c r="G141" i="9"/>
  <c r="H141" i="9" s="1"/>
  <c r="G90" i="9"/>
  <c r="H90" i="9" s="1"/>
  <c r="D20" i="23"/>
  <c r="F45" i="22"/>
  <c r="M38" i="1" s="1"/>
  <c r="E45" i="22"/>
  <c r="M37" i="1" s="1"/>
  <c r="D45" i="22"/>
  <c r="M36" i="1" s="1"/>
  <c r="C45" i="22"/>
  <c r="M35" i="1" s="1"/>
  <c r="B45" i="22"/>
  <c r="M34" i="1" s="1"/>
  <c r="F44" i="22"/>
  <c r="E44" i="22"/>
  <c r="D44" i="22"/>
  <c r="C44" i="22"/>
  <c r="B44" i="22"/>
  <c r="F43" i="22"/>
  <c r="E43" i="22"/>
  <c r="D43" i="22"/>
  <c r="C43" i="22"/>
  <c r="B43" i="22"/>
  <c r="F42" i="22"/>
  <c r="E42" i="22"/>
  <c r="D42" i="22"/>
  <c r="C42" i="22"/>
  <c r="B42" i="22"/>
  <c r="F41" i="22"/>
  <c r="E41" i="22"/>
  <c r="D41" i="22"/>
  <c r="C41" i="22"/>
  <c r="B41" i="22"/>
  <c r="F40" i="22"/>
  <c r="E40" i="22"/>
  <c r="D40" i="22"/>
  <c r="C40" i="22"/>
  <c r="B40" i="22"/>
  <c r="F39" i="22"/>
  <c r="E39" i="22"/>
  <c r="D39" i="22"/>
  <c r="C39" i="22"/>
  <c r="B39" i="22"/>
  <c r="F34" i="22"/>
  <c r="M33" i="1" s="1"/>
  <c r="E34" i="22"/>
  <c r="M32" i="1" s="1"/>
  <c r="D34" i="22"/>
  <c r="M31" i="1" s="1"/>
  <c r="C34" i="22"/>
  <c r="M30" i="1" s="1"/>
  <c r="B34" i="22"/>
  <c r="M29" i="1" s="1"/>
  <c r="F33" i="22"/>
  <c r="E33" i="22"/>
  <c r="D33" i="22"/>
  <c r="C33" i="22"/>
  <c r="B33" i="22"/>
  <c r="F32" i="22"/>
  <c r="E32" i="22"/>
  <c r="D32" i="22"/>
  <c r="C32" i="22"/>
  <c r="B32" i="22"/>
  <c r="F31" i="22"/>
  <c r="E31" i="22"/>
  <c r="D31" i="22"/>
  <c r="C31" i="22"/>
  <c r="B31" i="22"/>
  <c r="F30" i="22"/>
  <c r="E30" i="22"/>
  <c r="D30" i="22"/>
  <c r="C30" i="22"/>
  <c r="B30" i="22"/>
  <c r="F29" i="22"/>
  <c r="E29" i="22"/>
  <c r="D29" i="22"/>
  <c r="C29" i="22"/>
  <c r="B29" i="22"/>
  <c r="F28" i="22"/>
  <c r="E28" i="22"/>
  <c r="D28" i="22"/>
  <c r="C28" i="22"/>
  <c r="B28" i="22"/>
  <c r="F23" i="22"/>
  <c r="M28" i="1" s="1"/>
  <c r="E23" i="22"/>
  <c r="M27" i="1" s="1"/>
  <c r="D23" i="22"/>
  <c r="M26" i="1" s="1"/>
  <c r="C23" i="22"/>
  <c r="M25" i="1" s="1"/>
  <c r="B23" i="22"/>
  <c r="M24" i="1" s="1"/>
  <c r="F22" i="22"/>
  <c r="E22" i="22"/>
  <c r="D22" i="22"/>
  <c r="C22" i="22"/>
  <c r="B22" i="22"/>
  <c r="F21" i="22"/>
  <c r="E21" i="22"/>
  <c r="D21" i="22"/>
  <c r="C21" i="22"/>
  <c r="B21" i="22"/>
  <c r="F20" i="22"/>
  <c r="E20" i="22"/>
  <c r="D20" i="22"/>
  <c r="C20" i="22"/>
  <c r="B20" i="22"/>
  <c r="F19" i="22"/>
  <c r="E19" i="22"/>
  <c r="D19" i="22"/>
  <c r="C19" i="22"/>
  <c r="B19" i="22"/>
  <c r="F18" i="22"/>
  <c r="E18" i="22"/>
  <c r="D18" i="22"/>
  <c r="C18" i="22"/>
  <c r="B18" i="22"/>
  <c r="F17" i="22"/>
  <c r="E17" i="22"/>
  <c r="D17" i="22"/>
  <c r="C17" i="22"/>
  <c r="B17" i="22"/>
  <c r="F12" i="22"/>
  <c r="M23" i="1" s="1"/>
  <c r="E12" i="22"/>
  <c r="M22" i="1" s="1"/>
  <c r="D12" i="22"/>
  <c r="M21" i="1" s="1"/>
  <c r="C12" i="22"/>
  <c r="M20" i="1" s="1"/>
  <c r="B12" i="22"/>
  <c r="M19" i="1" s="1"/>
  <c r="F11" i="22"/>
  <c r="E11" i="22"/>
  <c r="D11" i="22"/>
  <c r="C11" i="22"/>
  <c r="B11" i="22"/>
  <c r="F10" i="22"/>
  <c r="E10" i="22"/>
  <c r="D10" i="22"/>
  <c r="C10" i="22"/>
  <c r="B10" i="22"/>
  <c r="F9" i="22"/>
  <c r="E9" i="22"/>
  <c r="D9" i="22"/>
  <c r="C9" i="22"/>
  <c r="B9" i="22"/>
  <c r="F8" i="22"/>
  <c r="E8" i="22"/>
  <c r="D8" i="22"/>
  <c r="C8" i="22"/>
  <c r="B8" i="22"/>
  <c r="F7" i="22"/>
  <c r="E7" i="22"/>
  <c r="D7" i="22"/>
  <c r="C7" i="22"/>
  <c r="B7" i="22"/>
  <c r="F6" i="22"/>
  <c r="E6" i="22"/>
  <c r="D6" i="22"/>
  <c r="C6" i="22"/>
  <c r="B6" i="22"/>
  <c r="AY13" i="21"/>
  <c r="AP13" i="21"/>
  <c r="P13" i="21"/>
  <c r="Q13" i="21" s="1"/>
  <c r="N13" i="21"/>
  <c r="K13" i="21"/>
  <c r="I13" i="21"/>
  <c r="AY12" i="21"/>
  <c r="AP12" i="21"/>
  <c r="P12" i="21"/>
  <c r="Q12" i="21" s="1"/>
  <c r="N12" i="21"/>
  <c r="K12" i="21"/>
  <c r="I12" i="21"/>
  <c r="AY11" i="21"/>
  <c r="AP11" i="21"/>
  <c r="P11" i="21"/>
  <c r="Q11" i="21" s="1"/>
  <c r="N11" i="21"/>
  <c r="O11" i="21" s="1"/>
  <c r="K11" i="21"/>
  <c r="I11" i="21"/>
  <c r="AY10" i="21"/>
  <c r="AP10" i="21"/>
  <c r="P10" i="21"/>
  <c r="Q10" i="21" s="1"/>
  <c r="N10" i="21"/>
  <c r="O10" i="21" s="1"/>
  <c r="K10" i="21"/>
  <c r="I10" i="21"/>
  <c r="AY9" i="21"/>
  <c r="AP9" i="21"/>
  <c r="P9" i="21"/>
  <c r="Q9" i="21" s="1"/>
  <c r="N9" i="21"/>
  <c r="K9" i="21"/>
  <c r="I9" i="21"/>
  <c r="AY8" i="21"/>
  <c r="AP8" i="21"/>
  <c r="P8" i="21"/>
  <c r="Q8" i="21" s="1"/>
  <c r="N8" i="21"/>
  <c r="O8" i="21" s="1"/>
  <c r="K8" i="21"/>
  <c r="I8" i="21"/>
  <c r="AY7" i="21"/>
  <c r="AP7" i="21"/>
  <c r="P7" i="21"/>
  <c r="Q7" i="21" s="1"/>
  <c r="N7" i="21"/>
  <c r="K7" i="21"/>
  <c r="I7" i="21"/>
  <c r="F5" i="21"/>
  <c r="F13" i="21" s="1"/>
  <c r="D5" i="21"/>
  <c r="D8" i="21" s="1"/>
  <c r="AE8" i="21" s="1"/>
  <c r="AF8" i="21" s="1"/>
  <c r="C5" i="21"/>
  <c r="AG4" i="21"/>
  <c r="K4" i="21"/>
  <c r="AP13" i="20"/>
  <c r="AH13" i="20"/>
  <c r="P13" i="20"/>
  <c r="Q13" i="20" s="1"/>
  <c r="N13" i="20"/>
  <c r="O13" i="20" s="1"/>
  <c r="K13" i="20"/>
  <c r="I13" i="20"/>
  <c r="AP12" i="20"/>
  <c r="AH12" i="20"/>
  <c r="P12" i="20"/>
  <c r="Q12" i="20" s="1"/>
  <c r="N12" i="20"/>
  <c r="K12" i="20"/>
  <c r="I12" i="20"/>
  <c r="AP11" i="20"/>
  <c r="AH11" i="20"/>
  <c r="P11" i="20"/>
  <c r="Q11" i="20" s="1"/>
  <c r="N11" i="20"/>
  <c r="O11" i="20" s="1"/>
  <c r="K11" i="20"/>
  <c r="I11" i="20"/>
  <c r="AP10" i="20"/>
  <c r="AH10" i="20"/>
  <c r="P10" i="20"/>
  <c r="Q10" i="20" s="1"/>
  <c r="N10" i="20"/>
  <c r="K10" i="20"/>
  <c r="I10" i="20"/>
  <c r="AP9" i="20"/>
  <c r="AH9" i="20"/>
  <c r="P9" i="20"/>
  <c r="Q9" i="20" s="1"/>
  <c r="N9" i="20"/>
  <c r="O9" i="20" s="1"/>
  <c r="K9" i="20"/>
  <c r="I9" i="20"/>
  <c r="AP8" i="20"/>
  <c r="AH8" i="20"/>
  <c r="P8" i="20"/>
  <c r="Q8" i="20" s="1"/>
  <c r="N8" i="20"/>
  <c r="K8" i="20"/>
  <c r="I8" i="20"/>
  <c r="AP7" i="20"/>
  <c r="AH7" i="20"/>
  <c r="P7" i="20"/>
  <c r="Q7" i="20" s="1"/>
  <c r="N7" i="20"/>
  <c r="O7" i="20" s="1"/>
  <c r="K7" i="20"/>
  <c r="I7" i="20"/>
  <c r="F5" i="20"/>
  <c r="D5" i="20"/>
  <c r="D10" i="20" s="1"/>
  <c r="C5" i="20"/>
  <c r="Z4" i="20"/>
  <c r="K4" i="20"/>
  <c r="AO54" i="19"/>
  <c r="AF54" i="19"/>
  <c r="U54" i="19"/>
  <c r="P54" i="19"/>
  <c r="Q54" i="19" s="1"/>
  <c r="N54" i="19"/>
  <c r="O54" i="19" s="1"/>
  <c r="K54" i="19"/>
  <c r="I54" i="19"/>
  <c r="AO53" i="19"/>
  <c r="AF53" i="19"/>
  <c r="U53" i="19"/>
  <c r="P53" i="19"/>
  <c r="Q53" i="19" s="1"/>
  <c r="N53" i="19"/>
  <c r="O53" i="19" s="1"/>
  <c r="K53" i="19"/>
  <c r="I53" i="19"/>
  <c r="AO52" i="19"/>
  <c r="AF52" i="19"/>
  <c r="U52" i="19"/>
  <c r="P52" i="19"/>
  <c r="Q52" i="19" s="1"/>
  <c r="N52" i="19"/>
  <c r="K52" i="19"/>
  <c r="I52" i="19"/>
  <c r="AO51" i="19"/>
  <c r="AF51" i="19"/>
  <c r="U51" i="19"/>
  <c r="P51" i="19"/>
  <c r="Q51" i="19" s="1"/>
  <c r="N51" i="19"/>
  <c r="O51" i="19" s="1"/>
  <c r="K51" i="19"/>
  <c r="I51" i="19"/>
  <c r="AO50" i="19"/>
  <c r="AF50" i="19"/>
  <c r="U50" i="19"/>
  <c r="P50" i="19"/>
  <c r="Q50" i="19" s="1"/>
  <c r="N50" i="19"/>
  <c r="K50" i="19"/>
  <c r="I50" i="19"/>
  <c r="AO49" i="19"/>
  <c r="AF49" i="19"/>
  <c r="U49" i="19"/>
  <c r="P49" i="19"/>
  <c r="Q49" i="19" s="1"/>
  <c r="N49" i="19"/>
  <c r="O49" i="19" s="1"/>
  <c r="K49" i="19"/>
  <c r="I49" i="19"/>
  <c r="AO48" i="19"/>
  <c r="AF48" i="19"/>
  <c r="U48" i="19"/>
  <c r="P48" i="19"/>
  <c r="Q48" i="19" s="1"/>
  <c r="N48" i="19"/>
  <c r="K48" i="19"/>
  <c r="I48" i="19"/>
  <c r="AO47" i="19"/>
  <c r="AF47" i="19"/>
  <c r="U47" i="19"/>
  <c r="P47" i="19"/>
  <c r="Q47" i="19" s="1"/>
  <c r="N47" i="19"/>
  <c r="O47" i="19" s="1"/>
  <c r="K47" i="19"/>
  <c r="I47" i="19"/>
  <c r="AO46" i="19"/>
  <c r="AF46" i="19"/>
  <c r="U46" i="19"/>
  <c r="P46" i="19"/>
  <c r="Q46" i="19" s="1"/>
  <c r="N46" i="19"/>
  <c r="O46" i="19" s="1"/>
  <c r="K46" i="19"/>
  <c r="I46" i="19"/>
  <c r="AO45" i="19"/>
  <c r="AF45" i="19"/>
  <c r="U45" i="19"/>
  <c r="P45" i="19"/>
  <c r="Q45" i="19" s="1"/>
  <c r="N45" i="19"/>
  <c r="O45" i="19" s="1"/>
  <c r="K45" i="19"/>
  <c r="I45" i="19"/>
  <c r="AO44" i="19"/>
  <c r="AF44" i="19"/>
  <c r="U44" i="19"/>
  <c r="P44" i="19"/>
  <c r="Q44" i="19" s="1"/>
  <c r="N44" i="19"/>
  <c r="K44" i="19"/>
  <c r="I44" i="19"/>
  <c r="AO43" i="19"/>
  <c r="AF43" i="19"/>
  <c r="U43" i="19"/>
  <c r="P43" i="19"/>
  <c r="Q43" i="19" s="1"/>
  <c r="N43" i="19"/>
  <c r="O43" i="19" s="1"/>
  <c r="K43" i="19"/>
  <c r="I43" i="19"/>
  <c r="AO42" i="19"/>
  <c r="AF42" i="19"/>
  <c r="U42" i="19"/>
  <c r="P42" i="19"/>
  <c r="Q42" i="19" s="1"/>
  <c r="N42" i="19"/>
  <c r="K42" i="19"/>
  <c r="I42" i="19"/>
  <c r="AO41" i="19"/>
  <c r="AF41" i="19"/>
  <c r="U41" i="19"/>
  <c r="P41" i="19"/>
  <c r="Q41" i="19" s="1"/>
  <c r="N41" i="19"/>
  <c r="O41" i="19" s="1"/>
  <c r="K41" i="19"/>
  <c r="I41" i="19"/>
  <c r="AO40" i="19"/>
  <c r="AF40" i="19"/>
  <c r="U40" i="19"/>
  <c r="P40" i="19"/>
  <c r="Q40" i="19" s="1"/>
  <c r="N40" i="19"/>
  <c r="K40" i="19"/>
  <c r="I40" i="19"/>
  <c r="AO39" i="19"/>
  <c r="AF39" i="19"/>
  <c r="U39" i="19"/>
  <c r="P39" i="19"/>
  <c r="Q39" i="19" s="1"/>
  <c r="N39" i="19"/>
  <c r="O39" i="19" s="1"/>
  <c r="K39" i="19"/>
  <c r="I39" i="19"/>
  <c r="AO38" i="19"/>
  <c r="AF38" i="19"/>
  <c r="U38" i="19"/>
  <c r="P38" i="19"/>
  <c r="Q38" i="19" s="1"/>
  <c r="N38" i="19"/>
  <c r="K38" i="19"/>
  <c r="I38" i="19"/>
  <c r="AO37" i="19"/>
  <c r="AF37" i="19"/>
  <c r="U37" i="19"/>
  <c r="P37" i="19"/>
  <c r="Q37" i="19" s="1"/>
  <c r="N37" i="19"/>
  <c r="O37" i="19" s="1"/>
  <c r="K37" i="19"/>
  <c r="I37" i="19"/>
  <c r="AO36" i="19"/>
  <c r="AF36" i="19"/>
  <c r="U36" i="19"/>
  <c r="P36" i="19"/>
  <c r="Q36" i="19" s="1"/>
  <c r="N36" i="19"/>
  <c r="K36" i="19"/>
  <c r="I36" i="19"/>
  <c r="AO35" i="19"/>
  <c r="AF35" i="19"/>
  <c r="U35" i="19"/>
  <c r="P35" i="19"/>
  <c r="Q35" i="19" s="1"/>
  <c r="N35" i="19"/>
  <c r="O35" i="19" s="1"/>
  <c r="K35" i="19"/>
  <c r="I35" i="19"/>
  <c r="AO34" i="19"/>
  <c r="AF34" i="19"/>
  <c r="U34" i="19"/>
  <c r="P34" i="19"/>
  <c r="Q34" i="19" s="1"/>
  <c r="N34" i="19"/>
  <c r="O34" i="19" s="1"/>
  <c r="K34" i="19"/>
  <c r="I34" i="19"/>
  <c r="AO33" i="19"/>
  <c r="AF33" i="19"/>
  <c r="U33" i="19"/>
  <c r="P33" i="19"/>
  <c r="Q33" i="19" s="1"/>
  <c r="N33" i="19"/>
  <c r="K33" i="19"/>
  <c r="I33" i="19"/>
  <c r="AO32" i="19"/>
  <c r="AF32" i="19"/>
  <c r="U32" i="19"/>
  <c r="P32" i="19"/>
  <c r="Q32" i="19" s="1"/>
  <c r="N32" i="19"/>
  <c r="K32" i="19"/>
  <c r="I32" i="19"/>
  <c r="AO31" i="19"/>
  <c r="AF31" i="19"/>
  <c r="U31" i="19"/>
  <c r="P31" i="19"/>
  <c r="Q31" i="19" s="1"/>
  <c r="N31" i="19"/>
  <c r="O31" i="19" s="1"/>
  <c r="K31" i="19"/>
  <c r="I31" i="19"/>
  <c r="AO30" i="19"/>
  <c r="AF30" i="19"/>
  <c r="U30" i="19"/>
  <c r="P30" i="19"/>
  <c r="Q30" i="19" s="1"/>
  <c r="N30" i="19"/>
  <c r="O30" i="19" s="1"/>
  <c r="K30" i="19"/>
  <c r="I30" i="19"/>
  <c r="AO29" i="19"/>
  <c r="AF29" i="19"/>
  <c r="U29" i="19"/>
  <c r="P29" i="19"/>
  <c r="Q29" i="19" s="1"/>
  <c r="N29" i="19"/>
  <c r="K29" i="19"/>
  <c r="I29" i="19"/>
  <c r="AO28" i="19"/>
  <c r="AF28" i="19"/>
  <c r="U28" i="19"/>
  <c r="P28" i="19"/>
  <c r="Q28" i="19" s="1"/>
  <c r="N28" i="19"/>
  <c r="K28" i="19"/>
  <c r="I28" i="19"/>
  <c r="AO27" i="19"/>
  <c r="AF27" i="19"/>
  <c r="U27" i="19"/>
  <c r="P27" i="19"/>
  <c r="Q27" i="19" s="1"/>
  <c r="N27" i="19"/>
  <c r="O27" i="19" s="1"/>
  <c r="K27" i="19"/>
  <c r="I27" i="19"/>
  <c r="AO26" i="19"/>
  <c r="AF26" i="19"/>
  <c r="U26" i="19"/>
  <c r="P26" i="19"/>
  <c r="Q26" i="19" s="1"/>
  <c r="N26" i="19"/>
  <c r="O26" i="19" s="1"/>
  <c r="K26" i="19"/>
  <c r="I26" i="19"/>
  <c r="AO25" i="19"/>
  <c r="AF25" i="19"/>
  <c r="U25" i="19"/>
  <c r="P25" i="19"/>
  <c r="Q25" i="19" s="1"/>
  <c r="N25" i="19"/>
  <c r="O25" i="19" s="1"/>
  <c r="K25" i="19"/>
  <c r="I25" i="19"/>
  <c r="AO24" i="19"/>
  <c r="AF24" i="19"/>
  <c r="U24" i="19"/>
  <c r="P24" i="19"/>
  <c r="Q24" i="19" s="1"/>
  <c r="N24" i="19"/>
  <c r="K24" i="19"/>
  <c r="I24" i="19"/>
  <c r="AO23" i="19"/>
  <c r="AF23" i="19"/>
  <c r="U23" i="19"/>
  <c r="P23" i="19"/>
  <c r="Q23" i="19" s="1"/>
  <c r="N23" i="19"/>
  <c r="O23" i="19" s="1"/>
  <c r="K23" i="19"/>
  <c r="I23" i="19"/>
  <c r="AO22" i="19"/>
  <c r="AF22" i="19"/>
  <c r="U22" i="19"/>
  <c r="P22" i="19"/>
  <c r="Q22" i="19" s="1"/>
  <c r="N22" i="19"/>
  <c r="O22" i="19" s="1"/>
  <c r="K22" i="19"/>
  <c r="I22" i="19"/>
  <c r="AO21" i="19"/>
  <c r="AF21" i="19"/>
  <c r="U21" i="19"/>
  <c r="P21" i="19"/>
  <c r="Q21" i="19" s="1"/>
  <c r="N21" i="19"/>
  <c r="O21" i="19" s="1"/>
  <c r="K21" i="19"/>
  <c r="I21" i="19"/>
  <c r="AO20" i="19"/>
  <c r="AF20" i="19"/>
  <c r="U20" i="19"/>
  <c r="P20" i="19"/>
  <c r="Q20" i="19" s="1"/>
  <c r="N20" i="19"/>
  <c r="K20" i="19"/>
  <c r="I20" i="19"/>
  <c r="AO19" i="19"/>
  <c r="AF19" i="19"/>
  <c r="U19" i="19"/>
  <c r="P19" i="19"/>
  <c r="Q19" i="19" s="1"/>
  <c r="N19" i="19"/>
  <c r="O19" i="19" s="1"/>
  <c r="K19" i="19"/>
  <c r="I19" i="19"/>
  <c r="AO18" i="19"/>
  <c r="AF18" i="19"/>
  <c r="U18" i="19"/>
  <c r="P18" i="19"/>
  <c r="Q18" i="19" s="1"/>
  <c r="N18" i="19"/>
  <c r="K18" i="19"/>
  <c r="I18" i="19"/>
  <c r="AO17" i="19"/>
  <c r="AF17" i="19"/>
  <c r="U17" i="19"/>
  <c r="P17" i="19"/>
  <c r="Q17" i="19" s="1"/>
  <c r="N17" i="19"/>
  <c r="K17" i="19"/>
  <c r="I17" i="19"/>
  <c r="AO16" i="19"/>
  <c r="AF16" i="19"/>
  <c r="U16" i="19"/>
  <c r="P16" i="19"/>
  <c r="Q16" i="19" s="1"/>
  <c r="N16" i="19"/>
  <c r="K16" i="19"/>
  <c r="I16" i="19"/>
  <c r="AO15" i="19"/>
  <c r="AF15" i="19"/>
  <c r="U15" i="19"/>
  <c r="P15" i="19"/>
  <c r="Q15" i="19" s="1"/>
  <c r="N15" i="19"/>
  <c r="O15" i="19" s="1"/>
  <c r="K15" i="19"/>
  <c r="I15" i="19"/>
  <c r="AO14" i="19"/>
  <c r="AF14" i="19"/>
  <c r="U14" i="19"/>
  <c r="P14" i="19"/>
  <c r="Q14" i="19" s="1"/>
  <c r="N14" i="19"/>
  <c r="O14" i="19" s="1"/>
  <c r="K14" i="19"/>
  <c r="I14" i="19"/>
  <c r="AO13" i="19"/>
  <c r="AF13" i="19"/>
  <c r="U13" i="19"/>
  <c r="P13" i="19"/>
  <c r="Q13" i="19" s="1"/>
  <c r="N13" i="19"/>
  <c r="O13" i="19" s="1"/>
  <c r="K13" i="19"/>
  <c r="I13" i="19"/>
  <c r="AO12" i="19"/>
  <c r="AF12" i="19"/>
  <c r="U12" i="19"/>
  <c r="P12" i="19"/>
  <c r="Q12" i="19" s="1"/>
  <c r="N12" i="19"/>
  <c r="O12" i="19" s="1"/>
  <c r="K12" i="19"/>
  <c r="I12" i="19"/>
  <c r="AO11" i="19"/>
  <c r="AF11" i="19"/>
  <c r="U11" i="19"/>
  <c r="P11" i="19"/>
  <c r="Q11" i="19" s="1"/>
  <c r="N11" i="19"/>
  <c r="K11" i="19"/>
  <c r="I11" i="19"/>
  <c r="AO10" i="19"/>
  <c r="AF10" i="19"/>
  <c r="U10" i="19"/>
  <c r="P10" i="19"/>
  <c r="Q10" i="19" s="1"/>
  <c r="N10" i="19"/>
  <c r="K10" i="19"/>
  <c r="I10" i="19"/>
  <c r="AO9" i="19"/>
  <c r="AF9" i="19"/>
  <c r="U9" i="19"/>
  <c r="P9" i="19"/>
  <c r="Q9" i="19" s="1"/>
  <c r="N9" i="19"/>
  <c r="O9" i="19" s="1"/>
  <c r="K9" i="19"/>
  <c r="I9" i="19"/>
  <c r="AO8" i="19"/>
  <c r="AF8" i="19"/>
  <c r="U8" i="19"/>
  <c r="P8" i="19"/>
  <c r="Q8" i="19" s="1"/>
  <c r="N8" i="19"/>
  <c r="O8" i="19" s="1"/>
  <c r="K8" i="19"/>
  <c r="I8" i="19"/>
  <c r="AO7" i="19"/>
  <c r="AF7" i="19"/>
  <c r="U7" i="19"/>
  <c r="P7" i="19"/>
  <c r="Q7" i="19" s="1"/>
  <c r="N7" i="19"/>
  <c r="O7" i="19" s="1"/>
  <c r="K7" i="19"/>
  <c r="I7" i="19"/>
  <c r="F5" i="19"/>
  <c r="F28" i="19" s="1"/>
  <c r="X28" i="19" s="1"/>
  <c r="Y28" i="19" s="1"/>
  <c r="D5" i="19"/>
  <c r="D18" i="19" s="1"/>
  <c r="C5" i="19"/>
  <c r="D40" i="19" s="1"/>
  <c r="X4" i="19"/>
  <c r="U4" i="19"/>
  <c r="K4" i="19"/>
  <c r="AS54" i="18"/>
  <c r="AJ54" i="18"/>
  <c r="AB54" i="18"/>
  <c r="AC54" i="18" s="1"/>
  <c r="Z54" i="18"/>
  <c r="AA54" i="18" s="1"/>
  <c r="Y54" i="18"/>
  <c r="W54" i="18"/>
  <c r="U54" i="18"/>
  <c r="P54" i="18"/>
  <c r="Q54" i="18" s="1"/>
  <c r="N54" i="18"/>
  <c r="O54" i="18" s="1"/>
  <c r="K54" i="18"/>
  <c r="I54" i="18"/>
  <c r="AS53" i="18"/>
  <c r="AJ53" i="18"/>
  <c r="AB53" i="18"/>
  <c r="AC53" i="18" s="1"/>
  <c r="Z53" i="18"/>
  <c r="AA53" i="18" s="1"/>
  <c r="Y53" i="18"/>
  <c r="W53" i="18"/>
  <c r="U53" i="18"/>
  <c r="P53" i="18"/>
  <c r="Q53" i="18" s="1"/>
  <c r="N53" i="18"/>
  <c r="O53" i="18" s="1"/>
  <c r="K53" i="18"/>
  <c r="I53" i="18"/>
  <c r="AS52" i="18"/>
  <c r="AJ52" i="18"/>
  <c r="AB52" i="18"/>
  <c r="AC52" i="18" s="1"/>
  <c r="Z52" i="18"/>
  <c r="AA52" i="18" s="1"/>
  <c r="Y52" i="18"/>
  <c r="W52" i="18"/>
  <c r="U52" i="18"/>
  <c r="P52" i="18"/>
  <c r="Q52" i="18" s="1"/>
  <c r="N52" i="18"/>
  <c r="O52" i="18" s="1"/>
  <c r="K52" i="18"/>
  <c r="I52" i="18"/>
  <c r="AS51" i="18"/>
  <c r="AJ51" i="18"/>
  <c r="AB51" i="18"/>
  <c r="AC51" i="18" s="1"/>
  <c r="Z51" i="18"/>
  <c r="AA51" i="18" s="1"/>
  <c r="Y51" i="18"/>
  <c r="W51" i="18"/>
  <c r="U51" i="18"/>
  <c r="P51" i="18"/>
  <c r="Q51" i="18" s="1"/>
  <c r="N51" i="18"/>
  <c r="O51" i="18" s="1"/>
  <c r="K51" i="18"/>
  <c r="I51" i="18"/>
  <c r="AS50" i="18"/>
  <c r="AJ50" i="18"/>
  <c r="AB50" i="18"/>
  <c r="AC50" i="18" s="1"/>
  <c r="Z50" i="18"/>
  <c r="AA50" i="18" s="1"/>
  <c r="Y50" i="18"/>
  <c r="W50" i="18"/>
  <c r="U50" i="18"/>
  <c r="P50" i="18"/>
  <c r="Q50" i="18" s="1"/>
  <c r="N50" i="18"/>
  <c r="O50" i="18" s="1"/>
  <c r="K50" i="18"/>
  <c r="I50" i="18"/>
  <c r="AS49" i="18"/>
  <c r="AJ49" i="18"/>
  <c r="AB49" i="18"/>
  <c r="AC49" i="18" s="1"/>
  <c r="Z49" i="18"/>
  <c r="AA49" i="18" s="1"/>
  <c r="Y49" i="18"/>
  <c r="W49" i="18"/>
  <c r="U49" i="18"/>
  <c r="P49" i="18"/>
  <c r="Q49" i="18" s="1"/>
  <c r="N49" i="18"/>
  <c r="O49" i="18" s="1"/>
  <c r="K49" i="18"/>
  <c r="I49" i="18"/>
  <c r="AS48" i="18"/>
  <c r="AJ48" i="18"/>
  <c r="AB48" i="18"/>
  <c r="AC48" i="18" s="1"/>
  <c r="Z48" i="18"/>
  <c r="AA48" i="18" s="1"/>
  <c r="Y48" i="18"/>
  <c r="W48" i="18"/>
  <c r="U48" i="18"/>
  <c r="P48" i="18"/>
  <c r="Q48" i="18" s="1"/>
  <c r="N48" i="18"/>
  <c r="O48" i="18" s="1"/>
  <c r="K48" i="18"/>
  <c r="I48" i="18"/>
  <c r="AS47" i="18"/>
  <c r="AJ47" i="18"/>
  <c r="AB47" i="18"/>
  <c r="AC47" i="18" s="1"/>
  <c r="Z47" i="18"/>
  <c r="AA47" i="18" s="1"/>
  <c r="Y47" i="18"/>
  <c r="W47" i="18"/>
  <c r="U47" i="18"/>
  <c r="P47" i="18"/>
  <c r="Q47" i="18" s="1"/>
  <c r="N47" i="18"/>
  <c r="O47" i="18" s="1"/>
  <c r="K47" i="18"/>
  <c r="I47" i="18"/>
  <c r="AS46" i="18"/>
  <c r="AJ46" i="18"/>
  <c r="AB46" i="18"/>
  <c r="AC46" i="18" s="1"/>
  <c r="Z46" i="18"/>
  <c r="AA46" i="18" s="1"/>
  <c r="Y46" i="18"/>
  <c r="W46" i="18"/>
  <c r="U46" i="18"/>
  <c r="P46" i="18"/>
  <c r="Q46" i="18" s="1"/>
  <c r="N46" i="18"/>
  <c r="O46" i="18" s="1"/>
  <c r="K46" i="18"/>
  <c r="I46" i="18"/>
  <c r="AS45" i="18"/>
  <c r="AJ45" i="18"/>
  <c r="AB45" i="18"/>
  <c r="AC45" i="18" s="1"/>
  <c r="Z45" i="18"/>
  <c r="AA45" i="18" s="1"/>
  <c r="Y45" i="18"/>
  <c r="W45" i="18"/>
  <c r="U45" i="18"/>
  <c r="P45" i="18"/>
  <c r="Q45" i="18" s="1"/>
  <c r="N45" i="18"/>
  <c r="O45" i="18" s="1"/>
  <c r="K45" i="18"/>
  <c r="I45" i="18"/>
  <c r="AS44" i="18"/>
  <c r="AJ44" i="18"/>
  <c r="AB44" i="18"/>
  <c r="AC44" i="18" s="1"/>
  <c r="Z44" i="18"/>
  <c r="AA44" i="18" s="1"/>
  <c r="Y44" i="18"/>
  <c r="W44" i="18"/>
  <c r="U44" i="18"/>
  <c r="P44" i="18"/>
  <c r="Q44" i="18" s="1"/>
  <c r="N44" i="18"/>
  <c r="O44" i="18" s="1"/>
  <c r="K44" i="18"/>
  <c r="I44" i="18"/>
  <c r="AS43" i="18"/>
  <c r="AJ43" i="18"/>
  <c r="AB43" i="18"/>
  <c r="AC43" i="18" s="1"/>
  <c r="Z43" i="18"/>
  <c r="AA43" i="18" s="1"/>
  <c r="Y43" i="18"/>
  <c r="W43" i="18"/>
  <c r="U43" i="18"/>
  <c r="P43" i="18"/>
  <c r="Q43" i="18" s="1"/>
  <c r="N43" i="18"/>
  <c r="O43" i="18" s="1"/>
  <c r="K43" i="18"/>
  <c r="I43" i="18"/>
  <c r="AS42" i="18"/>
  <c r="AJ42" i="18"/>
  <c r="AB42" i="18"/>
  <c r="AC42" i="18" s="1"/>
  <c r="Z42" i="18"/>
  <c r="AA42" i="18" s="1"/>
  <c r="Y42" i="18"/>
  <c r="W42" i="18"/>
  <c r="U42" i="18"/>
  <c r="P42" i="18"/>
  <c r="Q42" i="18" s="1"/>
  <c r="N42" i="18"/>
  <c r="O42" i="18" s="1"/>
  <c r="K42" i="18"/>
  <c r="I42" i="18"/>
  <c r="AS41" i="18"/>
  <c r="AJ41" i="18"/>
  <c r="AB41" i="18"/>
  <c r="AC41" i="18" s="1"/>
  <c r="Z41" i="18"/>
  <c r="AA41" i="18" s="1"/>
  <c r="Y41" i="18"/>
  <c r="W41" i="18"/>
  <c r="U41" i="18"/>
  <c r="P41" i="18"/>
  <c r="Q41" i="18" s="1"/>
  <c r="N41" i="18"/>
  <c r="K41" i="18"/>
  <c r="I41" i="18"/>
  <c r="AS40" i="18"/>
  <c r="AJ40" i="18"/>
  <c r="AB40" i="18"/>
  <c r="AC40" i="18" s="1"/>
  <c r="Z40" i="18"/>
  <c r="AA40" i="18" s="1"/>
  <c r="Y40" i="18"/>
  <c r="W40" i="18"/>
  <c r="U40" i="18"/>
  <c r="P40" i="18"/>
  <c r="Q40" i="18" s="1"/>
  <c r="N40" i="18"/>
  <c r="O40" i="18" s="1"/>
  <c r="K40" i="18"/>
  <c r="I40" i="18"/>
  <c r="AS39" i="18"/>
  <c r="AJ39" i="18"/>
  <c r="AB39" i="18"/>
  <c r="AC39" i="18" s="1"/>
  <c r="Z39" i="18"/>
  <c r="AA39" i="18" s="1"/>
  <c r="Y39" i="18"/>
  <c r="W39" i="18"/>
  <c r="U39" i="18"/>
  <c r="P39" i="18"/>
  <c r="Q39" i="18" s="1"/>
  <c r="N39" i="18"/>
  <c r="O39" i="18" s="1"/>
  <c r="K39" i="18"/>
  <c r="I39" i="18"/>
  <c r="AS38" i="18"/>
  <c r="AJ38" i="18"/>
  <c r="AB38" i="18"/>
  <c r="AC38" i="18" s="1"/>
  <c r="Z38" i="18"/>
  <c r="AA38" i="18" s="1"/>
  <c r="Y38" i="18"/>
  <c r="W38" i="18"/>
  <c r="U38" i="18"/>
  <c r="P38" i="18"/>
  <c r="Q38" i="18" s="1"/>
  <c r="N38" i="18"/>
  <c r="O38" i="18" s="1"/>
  <c r="K38" i="18"/>
  <c r="I38" i="18"/>
  <c r="AS37" i="18"/>
  <c r="AJ37" i="18"/>
  <c r="AB37" i="18"/>
  <c r="AC37" i="18" s="1"/>
  <c r="Z37" i="18"/>
  <c r="AA37" i="18" s="1"/>
  <c r="Y37" i="18"/>
  <c r="W37" i="18"/>
  <c r="U37" i="18"/>
  <c r="P37" i="18"/>
  <c r="Q37" i="18" s="1"/>
  <c r="N37" i="18"/>
  <c r="O37" i="18" s="1"/>
  <c r="K37" i="18"/>
  <c r="I37" i="18"/>
  <c r="AS36" i="18"/>
  <c r="AJ36" i="18"/>
  <c r="AB36" i="18"/>
  <c r="AC36" i="18" s="1"/>
  <c r="Z36" i="18"/>
  <c r="AA36" i="18" s="1"/>
  <c r="Y36" i="18"/>
  <c r="W36" i="18"/>
  <c r="U36" i="18"/>
  <c r="P36" i="18"/>
  <c r="Q36" i="18" s="1"/>
  <c r="N36" i="18"/>
  <c r="K36" i="18"/>
  <c r="I36" i="18"/>
  <c r="AS35" i="18"/>
  <c r="AJ35" i="18"/>
  <c r="AB35" i="18"/>
  <c r="AC35" i="18" s="1"/>
  <c r="Z35" i="18"/>
  <c r="AA35" i="18" s="1"/>
  <c r="Y35" i="18"/>
  <c r="W35" i="18"/>
  <c r="U35" i="18"/>
  <c r="P35" i="18"/>
  <c r="Q35" i="18" s="1"/>
  <c r="N35" i="18"/>
  <c r="O35" i="18" s="1"/>
  <c r="K35" i="18"/>
  <c r="I35" i="18"/>
  <c r="AS34" i="18"/>
  <c r="AJ34" i="18"/>
  <c r="AB34" i="18"/>
  <c r="AC34" i="18" s="1"/>
  <c r="Z34" i="18"/>
  <c r="AA34" i="18" s="1"/>
  <c r="Y34" i="18"/>
  <c r="V34" i="18"/>
  <c r="W34" i="18" s="1"/>
  <c r="U34" i="18"/>
  <c r="P34" i="18"/>
  <c r="Q34" i="18" s="1"/>
  <c r="N34" i="18"/>
  <c r="O34" i="18" s="1"/>
  <c r="K34" i="18"/>
  <c r="I34" i="18"/>
  <c r="AS33" i="18"/>
  <c r="AJ33" i="18"/>
  <c r="AB33" i="18"/>
  <c r="AC33" i="18" s="1"/>
  <c r="Z33" i="18"/>
  <c r="AA33" i="18" s="1"/>
  <c r="Y33" i="18"/>
  <c r="V33" i="18"/>
  <c r="W33" i="18" s="1"/>
  <c r="U33" i="18"/>
  <c r="P33" i="18"/>
  <c r="Q33" i="18" s="1"/>
  <c r="N33" i="18"/>
  <c r="O33" i="18" s="1"/>
  <c r="K33" i="18"/>
  <c r="I33" i="18"/>
  <c r="AS32" i="18"/>
  <c r="AJ32" i="18"/>
  <c r="AB32" i="18"/>
  <c r="AC32" i="18" s="1"/>
  <c r="Z32" i="18"/>
  <c r="AA32" i="18" s="1"/>
  <c r="Y32" i="18"/>
  <c r="V32" i="18"/>
  <c r="W32" i="18" s="1"/>
  <c r="U32" i="18"/>
  <c r="P32" i="18"/>
  <c r="Q32" i="18" s="1"/>
  <c r="N32" i="18"/>
  <c r="O32" i="18" s="1"/>
  <c r="K32" i="18"/>
  <c r="I32" i="18"/>
  <c r="AS31" i="18"/>
  <c r="AJ31" i="18"/>
  <c r="AB31" i="18"/>
  <c r="AC31" i="18" s="1"/>
  <c r="Z31" i="18"/>
  <c r="AA31" i="18" s="1"/>
  <c r="Y31" i="18"/>
  <c r="V31" i="18"/>
  <c r="W31" i="18" s="1"/>
  <c r="U31" i="18"/>
  <c r="P31" i="18"/>
  <c r="Q31" i="18" s="1"/>
  <c r="N31" i="18"/>
  <c r="O31" i="18" s="1"/>
  <c r="K31" i="18"/>
  <c r="I31" i="18"/>
  <c r="AS30" i="18"/>
  <c r="AJ30" i="18"/>
  <c r="AB30" i="18"/>
  <c r="AC30" i="18" s="1"/>
  <c r="Z30" i="18"/>
  <c r="AA30" i="18" s="1"/>
  <c r="Y30" i="18"/>
  <c r="W30" i="18"/>
  <c r="U30" i="18"/>
  <c r="P30" i="18"/>
  <c r="Q30" i="18" s="1"/>
  <c r="N30" i="18"/>
  <c r="K30" i="18"/>
  <c r="I30" i="18"/>
  <c r="AS29" i="18"/>
  <c r="AJ29" i="18"/>
  <c r="AB29" i="18"/>
  <c r="AC29" i="18" s="1"/>
  <c r="Z29" i="18"/>
  <c r="AA29" i="18" s="1"/>
  <c r="Y29" i="18"/>
  <c r="W29" i="18"/>
  <c r="U29" i="18"/>
  <c r="P29" i="18"/>
  <c r="Q29" i="18" s="1"/>
  <c r="N29" i="18"/>
  <c r="K29" i="18"/>
  <c r="I29" i="18"/>
  <c r="AS28" i="18"/>
  <c r="AJ28" i="18"/>
  <c r="AB28" i="18"/>
  <c r="AC28" i="18" s="1"/>
  <c r="Z28" i="18"/>
  <c r="AA28" i="18" s="1"/>
  <c r="Y28" i="18"/>
  <c r="W28" i="18"/>
  <c r="U28" i="18"/>
  <c r="P28" i="18"/>
  <c r="Q28" i="18" s="1"/>
  <c r="N28" i="18"/>
  <c r="K28" i="18"/>
  <c r="I28" i="18"/>
  <c r="AS27" i="18"/>
  <c r="AJ27" i="18"/>
  <c r="AB27" i="18"/>
  <c r="AC27" i="18" s="1"/>
  <c r="Z27" i="18"/>
  <c r="AA27" i="18" s="1"/>
  <c r="Y27" i="18"/>
  <c r="W27" i="18"/>
  <c r="U27" i="18"/>
  <c r="P27" i="18"/>
  <c r="Q27" i="18" s="1"/>
  <c r="N27" i="18"/>
  <c r="K27" i="18"/>
  <c r="I27" i="18"/>
  <c r="AS26" i="18"/>
  <c r="AJ26" i="18"/>
  <c r="AB26" i="18"/>
  <c r="AC26" i="18" s="1"/>
  <c r="Z26" i="18"/>
  <c r="AA26" i="18" s="1"/>
  <c r="Y26" i="18"/>
  <c r="W26" i="18"/>
  <c r="U26" i="18"/>
  <c r="P26" i="18"/>
  <c r="Q26" i="18" s="1"/>
  <c r="N26" i="18"/>
  <c r="K26" i="18"/>
  <c r="I26" i="18"/>
  <c r="AS25" i="18"/>
  <c r="AJ25" i="18"/>
  <c r="AB25" i="18"/>
  <c r="AC25" i="18" s="1"/>
  <c r="Z25" i="18"/>
  <c r="AA25" i="18" s="1"/>
  <c r="Y25" i="18"/>
  <c r="W25" i="18"/>
  <c r="U25" i="18"/>
  <c r="P25" i="18"/>
  <c r="Q25" i="18" s="1"/>
  <c r="N25" i="18"/>
  <c r="O25" i="18" s="1"/>
  <c r="K25" i="18"/>
  <c r="I25" i="18"/>
  <c r="AS24" i="18"/>
  <c r="AJ24" i="18"/>
  <c r="AB24" i="18"/>
  <c r="AC24" i="18" s="1"/>
  <c r="Z24" i="18"/>
  <c r="AA24" i="18" s="1"/>
  <c r="Y24" i="18"/>
  <c r="W24" i="18"/>
  <c r="U24" i="18"/>
  <c r="P24" i="18"/>
  <c r="Q24" i="18" s="1"/>
  <c r="N24" i="18"/>
  <c r="K24" i="18"/>
  <c r="I24" i="18"/>
  <c r="AS23" i="18"/>
  <c r="AJ23" i="18"/>
  <c r="AB23" i="18"/>
  <c r="AC23" i="18" s="1"/>
  <c r="Z23" i="18"/>
  <c r="AA23" i="18" s="1"/>
  <c r="Y23" i="18"/>
  <c r="W23" i="18"/>
  <c r="U23" i="18"/>
  <c r="P23" i="18"/>
  <c r="Q23" i="18" s="1"/>
  <c r="N23" i="18"/>
  <c r="K23" i="18"/>
  <c r="I23" i="18"/>
  <c r="AS22" i="18"/>
  <c r="AJ22" i="18"/>
  <c r="AB22" i="18"/>
  <c r="AC22" i="18" s="1"/>
  <c r="Z22" i="18"/>
  <c r="AA22" i="18" s="1"/>
  <c r="Y22" i="18"/>
  <c r="W22" i="18"/>
  <c r="U22" i="18"/>
  <c r="P22" i="18"/>
  <c r="Q22" i="18" s="1"/>
  <c r="N22" i="18"/>
  <c r="K22" i="18"/>
  <c r="I22" i="18"/>
  <c r="AS21" i="18"/>
  <c r="AJ21" i="18"/>
  <c r="AB21" i="18"/>
  <c r="AC21" i="18" s="1"/>
  <c r="Z21" i="18"/>
  <c r="AA21" i="18" s="1"/>
  <c r="Y21" i="18"/>
  <c r="W21" i="18"/>
  <c r="U21" i="18"/>
  <c r="P21" i="18"/>
  <c r="Q21" i="18" s="1"/>
  <c r="N21" i="18"/>
  <c r="O21" i="18" s="1"/>
  <c r="K21" i="18"/>
  <c r="I21" i="18"/>
  <c r="AS20" i="18"/>
  <c r="AJ20" i="18"/>
  <c r="AB20" i="18"/>
  <c r="AC20" i="18" s="1"/>
  <c r="Z20" i="18"/>
  <c r="AA20" i="18" s="1"/>
  <c r="Y20" i="18"/>
  <c r="W20" i="18"/>
  <c r="U20" i="18"/>
  <c r="P20" i="18"/>
  <c r="Q20" i="18" s="1"/>
  <c r="N20" i="18"/>
  <c r="K20" i="18"/>
  <c r="I20" i="18"/>
  <c r="AS19" i="18"/>
  <c r="AJ19" i="18"/>
  <c r="AB19" i="18"/>
  <c r="AC19" i="18" s="1"/>
  <c r="Z19" i="18"/>
  <c r="AA19" i="18" s="1"/>
  <c r="Y19" i="18"/>
  <c r="W19" i="18"/>
  <c r="U19" i="18"/>
  <c r="P19" i="18"/>
  <c r="Q19" i="18" s="1"/>
  <c r="N19" i="18"/>
  <c r="K19" i="18"/>
  <c r="I19" i="18"/>
  <c r="AS18" i="18"/>
  <c r="AJ18" i="18"/>
  <c r="AB18" i="18"/>
  <c r="AC18" i="18" s="1"/>
  <c r="Z18" i="18"/>
  <c r="AA18" i="18" s="1"/>
  <c r="Y18" i="18"/>
  <c r="W18" i="18"/>
  <c r="U18" i="18"/>
  <c r="P18" i="18"/>
  <c r="Q18" i="18" s="1"/>
  <c r="N18" i="18"/>
  <c r="K18" i="18"/>
  <c r="I18" i="18"/>
  <c r="AS17" i="18"/>
  <c r="AJ17" i="18"/>
  <c r="AB17" i="18"/>
  <c r="AC17" i="18" s="1"/>
  <c r="Z17" i="18"/>
  <c r="AA17" i="18" s="1"/>
  <c r="Y17" i="18"/>
  <c r="W17" i="18"/>
  <c r="U17" i="18"/>
  <c r="P17" i="18"/>
  <c r="Q17" i="18" s="1"/>
  <c r="N17" i="18"/>
  <c r="O17" i="18" s="1"/>
  <c r="K17" i="18"/>
  <c r="I17" i="18"/>
  <c r="AS16" i="18"/>
  <c r="AJ16" i="18"/>
  <c r="AB16" i="18"/>
  <c r="AC16" i="18" s="1"/>
  <c r="Z16" i="18"/>
  <c r="AA16" i="18" s="1"/>
  <c r="Y16" i="18"/>
  <c r="W16" i="18"/>
  <c r="U16" i="18"/>
  <c r="P16" i="18"/>
  <c r="Q16" i="18" s="1"/>
  <c r="N16" i="18"/>
  <c r="K16" i="18"/>
  <c r="I16" i="18"/>
  <c r="AS15" i="18"/>
  <c r="AJ15" i="18"/>
  <c r="AB15" i="18"/>
  <c r="AC15" i="18" s="1"/>
  <c r="Z15" i="18"/>
  <c r="AA15" i="18" s="1"/>
  <c r="Y15" i="18"/>
  <c r="W15" i="18"/>
  <c r="U15" i="18"/>
  <c r="P15" i="18"/>
  <c r="Q15" i="18" s="1"/>
  <c r="N15" i="18"/>
  <c r="K15" i="18"/>
  <c r="I15" i="18"/>
  <c r="AS14" i="18"/>
  <c r="AJ14" i="18"/>
  <c r="AB14" i="18"/>
  <c r="AC14" i="18" s="1"/>
  <c r="Z14" i="18"/>
  <c r="AA14" i="18" s="1"/>
  <c r="Y14" i="18"/>
  <c r="W14" i="18"/>
  <c r="U14" i="18"/>
  <c r="P14" i="18"/>
  <c r="Q14" i="18" s="1"/>
  <c r="N14" i="18"/>
  <c r="K14" i="18"/>
  <c r="I14" i="18"/>
  <c r="AS13" i="18"/>
  <c r="AJ13" i="18"/>
  <c r="AB13" i="18"/>
  <c r="AC13" i="18" s="1"/>
  <c r="Z13" i="18"/>
  <c r="AA13" i="18" s="1"/>
  <c r="Y13" i="18"/>
  <c r="W13" i="18"/>
  <c r="U13" i="18"/>
  <c r="P13" i="18"/>
  <c r="Q13" i="18" s="1"/>
  <c r="N13" i="18"/>
  <c r="O13" i="18" s="1"/>
  <c r="K13" i="18"/>
  <c r="I13" i="18"/>
  <c r="AS12" i="18"/>
  <c r="AJ12" i="18"/>
  <c r="AB12" i="18"/>
  <c r="AC12" i="18" s="1"/>
  <c r="Z12" i="18"/>
  <c r="AA12" i="18" s="1"/>
  <c r="Y12" i="18"/>
  <c r="W12" i="18"/>
  <c r="U12" i="18"/>
  <c r="P12" i="18"/>
  <c r="Q12" i="18" s="1"/>
  <c r="N12" i="18"/>
  <c r="K12" i="18"/>
  <c r="I12" i="18"/>
  <c r="AS11" i="18"/>
  <c r="AJ11" i="18"/>
  <c r="AB11" i="18"/>
  <c r="AC11" i="18" s="1"/>
  <c r="Z11" i="18"/>
  <c r="AA11" i="18" s="1"/>
  <c r="Y11" i="18"/>
  <c r="W11" i="18"/>
  <c r="U11" i="18"/>
  <c r="P11" i="18"/>
  <c r="Q11" i="18" s="1"/>
  <c r="N11" i="18"/>
  <c r="K11" i="18"/>
  <c r="I11" i="18"/>
  <c r="AS10" i="18"/>
  <c r="AJ10" i="18"/>
  <c r="AB10" i="18"/>
  <c r="AC10" i="18" s="1"/>
  <c r="Z10" i="18"/>
  <c r="AA10" i="18" s="1"/>
  <c r="Y10" i="18"/>
  <c r="V10" i="18"/>
  <c r="W10" i="18" s="1"/>
  <c r="U10" i="18"/>
  <c r="P10" i="18"/>
  <c r="Q10" i="18" s="1"/>
  <c r="N10" i="18"/>
  <c r="O10" i="18" s="1"/>
  <c r="K10" i="18"/>
  <c r="I10" i="18"/>
  <c r="AS9" i="18"/>
  <c r="AJ9" i="18"/>
  <c r="AB9" i="18"/>
  <c r="AC9" i="18" s="1"/>
  <c r="Z9" i="18"/>
  <c r="AA9" i="18" s="1"/>
  <c r="Y9" i="18"/>
  <c r="V9" i="18"/>
  <c r="W9" i="18" s="1"/>
  <c r="U9" i="18"/>
  <c r="P9" i="18"/>
  <c r="Q9" i="18" s="1"/>
  <c r="N9" i="18"/>
  <c r="K9" i="18"/>
  <c r="I9" i="18"/>
  <c r="AS8" i="18"/>
  <c r="AJ8" i="18"/>
  <c r="AB8" i="18"/>
  <c r="AC8" i="18" s="1"/>
  <c r="Z8" i="18"/>
  <c r="AA8" i="18" s="1"/>
  <c r="Y8" i="18"/>
  <c r="V8" i="18"/>
  <c r="W8" i="18" s="1"/>
  <c r="U8" i="18"/>
  <c r="P8" i="18"/>
  <c r="Q8" i="18" s="1"/>
  <c r="N8" i="18"/>
  <c r="K8" i="18"/>
  <c r="I8" i="18"/>
  <c r="AS7" i="18"/>
  <c r="AJ7" i="18"/>
  <c r="AB7" i="18"/>
  <c r="AC7" i="18" s="1"/>
  <c r="Z7" i="18"/>
  <c r="AA7" i="18" s="1"/>
  <c r="Y7" i="18"/>
  <c r="V7" i="18"/>
  <c r="W7" i="18" s="1"/>
  <c r="U7" i="18"/>
  <c r="P7" i="18"/>
  <c r="Q7" i="18" s="1"/>
  <c r="N7" i="18"/>
  <c r="K7" i="18"/>
  <c r="I7" i="18"/>
  <c r="F5" i="18"/>
  <c r="D5" i="18"/>
  <c r="D9" i="18" s="1"/>
  <c r="C5" i="18"/>
  <c r="D32" i="18" s="1"/>
  <c r="AB4" i="18"/>
  <c r="Y4" i="18"/>
  <c r="W4" i="18"/>
  <c r="U4" i="18"/>
  <c r="K4" i="18"/>
  <c r="AS54" i="17"/>
  <c r="AJ54" i="17"/>
  <c r="AB54" i="17"/>
  <c r="AC54" i="17" s="1"/>
  <c r="Z54" i="17"/>
  <c r="AA54" i="17" s="1"/>
  <c r="Y54" i="17"/>
  <c r="W54" i="17"/>
  <c r="U54" i="17"/>
  <c r="P54" i="17"/>
  <c r="Q54" i="17" s="1"/>
  <c r="N54" i="17"/>
  <c r="O54" i="17" s="1"/>
  <c r="K54" i="17"/>
  <c r="I54" i="17"/>
  <c r="AS53" i="17"/>
  <c r="AJ53" i="17"/>
  <c r="AB53" i="17"/>
  <c r="AC53" i="17" s="1"/>
  <c r="Z53" i="17"/>
  <c r="AA53" i="17" s="1"/>
  <c r="Y53" i="17"/>
  <c r="W53" i="17"/>
  <c r="U53" i="17"/>
  <c r="P53" i="17"/>
  <c r="Q53" i="17" s="1"/>
  <c r="N53" i="17"/>
  <c r="O53" i="17" s="1"/>
  <c r="K53" i="17"/>
  <c r="I53" i="17"/>
  <c r="AS52" i="17"/>
  <c r="AJ52" i="17"/>
  <c r="AB52" i="17"/>
  <c r="AC52" i="17" s="1"/>
  <c r="Z52" i="17"/>
  <c r="AA52" i="17" s="1"/>
  <c r="Y52" i="17"/>
  <c r="W52" i="17"/>
  <c r="U52" i="17"/>
  <c r="P52" i="17"/>
  <c r="Q52" i="17" s="1"/>
  <c r="N52" i="17"/>
  <c r="O52" i="17" s="1"/>
  <c r="K52" i="17"/>
  <c r="I52" i="17"/>
  <c r="AS51" i="17"/>
  <c r="AJ51" i="17"/>
  <c r="AB51" i="17"/>
  <c r="AC51" i="17" s="1"/>
  <c r="Z51" i="17"/>
  <c r="AA51" i="17" s="1"/>
  <c r="Y51" i="17"/>
  <c r="W51" i="17"/>
  <c r="U51" i="17"/>
  <c r="P51" i="17"/>
  <c r="Q51" i="17" s="1"/>
  <c r="N51" i="17"/>
  <c r="O51" i="17" s="1"/>
  <c r="K51" i="17"/>
  <c r="I51" i="17"/>
  <c r="AS50" i="17"/>
  <c r="AJ50" i="17"/>
  <c r="AB50" i="17"/>
  <c r="AC50" i="17" s="1"/>
  <c r="Z50" i="17"/>
  <c r="AA50" i="17" s="1"/>
  <c r="Y50" i="17"/>
  <c r="W50" i="17"/>
  <c r="U50" i="17"/>
  <c r="P50" i="17"/>
  <c r="Q50" i="17" s="1"/>
  <c r="N50" i="17"/>
  <c r="O50" i="17" s="1"/>
  <c r="K50" i="17"/>
  <c r="I50" i="17"/>
  <c r="AS49" i="17"/>
  <c r="AJ49" i="17"/>
  <c r="AB49" i="17"/>
  <c r="AC49" i="17" s="1"/>
  <c r="Z49" i="17"/>
  <c r="AA49" i="17" s="1"/>
  <c r="Y49" i="17"/>
  <c r="W49" i="17"/>
  <c r="U49" i="17"/>
  <c r="P49" i="17"/>
  <c r="Q49" i="17" s="1"/>
  <c r="N49" i="17"/>
  <c r="O49" i="17" s="1"/>
  <c r="K49" i="17"/>
  <c r="I49" i="17"/>
  <c r="AS48" i="17"/>
  <c r="AJ48" i="17"/>
  <c r="AB48" i="17"/>
  <c r="AC48" i="17" s="1"/>
  <c r="Z48" i="17"/>
  <c r="AA48" i="17" s="1"/>
  <c r="Y48" i="17"/>
  <c r="W48" i="17"/>
  <c r="U48" i="17"/>
  <c r="P48" i="17"/>
  <c r="Q48" i="17" s="1"/>
  <c r="N48" i="17"/>
  <c r="O48" i="17" s="1"/>
  <c r="K48" i="17"/>
  <c r="I48" i="17"/>
  <c r="AS47" i="17"/>
  <c r="AJ47" i="17"/>
  <c r="AB47" i="17"/>
  <c r="AC47" i="17" s="1"/>
  <c r="Z47" i="17"/>
  <c r="AA47" i="17" s="1"/>
  <c r="Y47" i="17"/>
  <c r="W47" i="17"/>
  <c r="U47" i="17"/>
  <c r="P47" i="17"/>
  <c r="Q47" i="17" s="1"/>
  <c r="N47" i="17"/>
  <c r="O47" i="17" s="1"/>
  <c r="K47" i="17"/>
  <c r="I47" i="17"/>
  <c r="AS46" i="17"/>
  <c r="AJ46" i="17"/>
  <c r="AB46" i="17"/>
  <c r="AC46" i="17" s="1"/>
  <c r="Z46" i="17"/>
  <c r="AA46" i="17" s="1"/>
  <c r="Y46" i="17"/>
  <c r="W46" i="17"/>
  <c r="U46" i="17"/>
  <c r="P46" i="17"/>
  <c r="Q46" i="17" s="1"/>
  <c r="N46" i="17"/>
  <c r="O46" i="17" s="1"/>
  <c r="K46" i="17"/>
  <c r="I46" i="17"/>
  <c r="AS45" i="17"/>
  <c r="AJ45" i="17"/>
  <c r="AB45" i="17"/>
  <c r="AC45" i="17" s="1"/>
  <c r="Z45" i="17"/>
  <c r="AA45" i="17" s="1"/>
  <c r="Y45" i="17"/>
  <c r="W45" i="17"/>
  <c r="U45" i="17"/>
  <c r="P45" i="17"/>
  <c r="Q45" i="17" s="1"/>
  <c r="N45" i="17"/>
  <c r="O45" i="17" s="1"/>
  <c r="K45" i="17"/>
  <c r="I45" i="17"/>
  <c r="AS44" i="17"/>
  <c r="AJ44" i="17"/>
  <c r="AB44" i="17"/>
  <c r="AC44" i="17" s="1"/>
  <c r="Z44" i="17"/>
  <c r="AA44" i="17" s="1"/>
  <c r="Y44" i="17"/>
  <c r="W44" i="17"/>
  <c r="U44" i="17"/>
  <c r="P44" i="17"/>
  <c r="Q44" i="17" s="1"/>
  <c r="N44" i="17"/>
  <c r="O44" i="17" s="1"/>
  <c r="K44" i="17"/>
  <c r="I44" i="17"/>
  <c r="AS43" i="17"/>
  <c r="AJ43" i="17"/>
  <c r="AB43" i="17"/>
  <c r="AC43" i="17" s="1"/>
  <c r="Z43" i="17"/>
  <c r="AA43" i="17" s="1"/>
  <c r="Y43" i="17"/>
  <c r="W43" i="17"/>
  <c r="U43" i="17"/>
  <c r="P43" i="17"/>
  <c r="Q43" i="17" s="1"/>
  <c r="N43" i="17"/>
  <c r="K43" i="17"/>
  <c r="I43" i="17"/>
  <c r="AS42" i="17"/>
  <c r="AJ42" i="17"/>
  <c r="AB42" i="17"/>
  <c r="AC42" i="17" s="1"/>
  <c r="Z42" i="17"/>
  <c r="AA42" i="17" s="1"/>
  <c r="Y42" i="17"/>
  <c r="W42" i="17"/>
  <c r="U42" i="17"/>
  <c r="P42" i="17"/>
  <c r="Q42" i="17" s="1"/>
  <c r="N42" i="17"/>
  <c r="O42" i="17" s="1"/>
  <c r="K42" i="17"/>
  <c r="I42" i="17"/>
  <c r="AS41" i="17"/>
  <c r="AJ41" i="17"/>
  <c r="AB41" i="17"/>
  <c r="AC41" i="17" s="1"/>
  <c r="Z41" i="17"/>
  <c r="AA41" i="17" s="1"/>
  <c r="Y41" i="17"/>
  <c r="W41" i="17"/>
  <c r="U41" i="17"/>
  <c r="P41" i="17"/>
  <c r="Q41" i="17" s="1"/>
  <c r="N41" i="17"/>
  <c r="O41" i="17" s="1"/>
  <c r="K41" i="17"/>
  <c r="I41" i="17"/>
  <c r="AS40" i="17"/>
  <c r="AJ40" i="17"/>
  <c r="AB40" i="17"/>
  <c r="AC40" i="17" s="1"/>
  <c r="Z40" i="17"/>
  <c r="AA40" i="17" s="1"/>
  <c r="Y40" i="17"/>
  <c r="W40" i="17"/>
  <c r="U40" i="17"/>
  <c r="P40" i="17"/>
  <c r="Q40" i="17" s="1"/>
  <c r="N40" i="17"/>
  <c r="O40" i="17" s="1"/>
  <c r="K40" i="17"/>
  <c r="I40" i="17"/>
  <c r="AS39" i="17"/>
  <c r="AJ39" i="17"/>
  <c r="AB39" i="17"/>
  <c r="AC39" i="17" s="1"/>
  <c r="Z39" i="17"/>
  <c r="AA39" i="17" s="1"/>
  <c r="Y39" i="17"/>
  <c r="W39" i="17"/>
  <c r="U39" i="17"/>
  <c r="P39" i="17"/>
  <c r="Q39" i="17" s="1"/>
  <c r="N39" i="17"/>
  <c r="O39" i="17" s="1"/>
  <c r="K39" i="17"/>
  <c r="I39" i="17"/>
  <c r="AS38" i="17"/>
  <c r="AJ38" i="17"/>
  <c r="AB38" i="17"/>
  <c r="AC38" i="17" s="1"/>
  <c r="Z38" i="17"/>
  <c r="AA38" i="17" s="1"/>
  <c r="Y38" i="17"/>
  <c r="W38" i="17"/>
  <c r="U38" i="17"/>
  <c r="P38" i="17"/>
  <c r="Q38" i="17" s="1"/>
  <c r="N38" i="17"/>
  <c r="O38" i="17" s="1"/>
  <c r="K38" i="17"/>
  <c r="I38" i="17"/>
  <c r="AS37" i="17"/>
  <c r="AJ37" i="17"/>
  <c r="AB37" i="17"/>
  <c r="AC37" i="17" s="1"/>
  <c r="Z37" i="17"/>
  <c r="AA37" i="17" s="1"/>
  <c r="Y37" i="17"/>
  <c r="W37" i="17"/>
  <c r="U37" i="17"/>
  <c r="P37" i="17"/>
  <c r="Q37" i="17" s="1"/>
  <c r="N37" i="17"/>
  <c r="O37" i="17" s="1"/>
  <c r="K37" i="17"/>
  <c r="I37" i="17"/>
  <c r="AS36" i="17"/>
  <c r="AJ36" i="17"/>
  <c r="AB36" i="17"/>
  <c r="AC36" i="17" s="1"/>
  <c r="Z36" i="17"/>
  <c r="AA36" i="17" s="1"/>
  <c r="Y36" i="17"/>
  <c r="W36" i="17"/>
  <c r="U36" i="17"/>
  <c r="P36" i="17"/>
  <c r="Q36" i="17" s="1"/>
  <c r="N36" i="17"/>
  <c r="O36" i="17" s="1"/>
  <c r="K36" i="17"/>
  <c r="I36" i="17"/>
  <c r="AS35" i="17"/>
  <c r="AJ35" i="17"/>
  <c r="AB35" i="17"/>
  <c r="AC35" i="17" s="1"/>
  <c r="Z35" i="17"/>
  <c r="AA35" i="17" s="1"/>
  <c r="Y35" i="17"/>
  <c r="W35" i="17"/>
  <c r="U35" i="17"/>
  <c r="P35" i="17"/>
  <c r="Q35" i="17" s="1"/>
  <c r="N35" i="17"/>
  <c r="O35" i="17" s="1"/>
  <c r="K35" i="17"/>
  <c r="I35" i="17"/>
  <c r="AS34" i="17"/>
  <c r="AJ34" i="17"/>
  <c r="AB34" i="17"/>
  <c r="AC34" i="17" s="1"/>
  <c r="Z34" i="17"/>
  <c r="AA34" i="17" s="1"/>
  <c r="Y34" i="17"/>
  <c r="V34" i="17"/>
  <c r="W34" i="17" s="1"/>
  <c r="U34" i="17"/>
  <c r="P34" i="17"/>
  <c r="Q34" i="17" s="1"/>
  <c r="N34" i="17"/>
  <c r="K34" i="17"/>
  <c r="I34" i="17"/>
  <c r="AS33" i="17"/>
  <c r="AJ33" i="17"/>
  <c r="AB33" i="17"/>
  <c r="AC33" i="17" s="1"/>
  <c r="Z33" i="17"/>
  <c r="AA33" i="17" s="1"/>
  <c r="Y33" i="17"/>
  <c r="V33" i="17"/>
  <c r="W33" i="17" s="1"/>
  <c r="U33" i="17"/>
  <c r="P33" i="17"/>
  <c r="Q33" i="17" s="1"/>
  <c r="N33" i="17"/>
  <c r="K33" i="17"/>
  <c r="I33" i="17"/>
  <c r="AS32" i="17"/>
  <c r="AJ32" i="17"/>
  <c r="AB32" i="17"/>
  <c r="AC32" i="17" s="1"/>
  <c r="Z32" i="17"/>
  <c r="AA32" i="17" s="1"/>
  <c r="Y32" i="17"/>
  <c r="V32" i="17"/>
  <c r="W32" i="17" s="1"/>
  <c r="U32" i="17"/>
  <c r="P32" i="17"/>
  <c r="Q32" i="17" s="1"/>
  <c r="N32" i="17"/>
  <c r="O32" i="17" s="1"/>
  <c r="K32" i="17"/>
  <c r="I32" i="17"/>
  <c r="AS31" i="17"/>
  <c r="AJ31" i="17"/>
  <c r="AB31" i="17"/>
  <c r="AC31" i="17" s="1"/>
  <c r="Z31" i="17"/>
  <c r="AA31" i="17" s="1"/>
  <c r="Y31" i="17"/>
  <c r="V31" i="17"/>
  <c r="W31" i="17" s="1"/>
  <c r="U31" i="17"/>
  <c r="P31" i="17"/>
  <c r="Q31" i="17" s="1"/>
  <c r="N31" i="17"/>
  <c r="O31" i="17" s="1"/>
  <c r="K31" i="17"/>
  <c r="I31" i="17"/>
  <c r="AS30" i="17"/>
  <c r="AJ30" i="17"/>
  <c r="AB30" i="17"/>
  <c r="AC30" i="17" s="1"/>
  <c r="Z30" i="17"/>
  <c r="AA30" i="17" s="1"/>
  <c r="Y30" i="17"/>
  <c r="W30" i="17"/>
  <c r="U30" i="17"/>
  <c r="P30" i="17"/>
  <c r="Q30" i="17" s="1"/>
  <c r="N30" i="17"/>
  <c r="K30" i="17"/>
  <c r="I30" i="17"/>
  <c r="AS29" i="17"/>
  <c r="AJ29" i="17"/>
  <c r="AB29" i="17"/>
  <c r="AC29" i="17" s="1"/>
  <c r="Z29" i="17"/>
  <c r="AA29" i="17" s="1"/>
  <c r="Y29" i="17"/>
  <c r="W29" i="17"/>
  <c r="U29" i="17"/>
  <c r="P29" i="17"/>
  <c r="Q29" i="17" s="1"/>
  <c r="N29" i="17"/>
  <c r="K29" i="17"/>
  <c r="I29" i="17"/>
  <c r="AS28" i="17"/>
  <c r="AJ28" i="17"/>
  <c r="AB28" i="17"/>
  <c r="AC28" i="17" s="1"/>
  <c r="Z28" i="17"/>
  <c r="AA28" i="17" s="1"/>
  <c r="Y28" i="17"/>
  <c r="W28" i="17"/>
  <c r="U28" i="17"/>
  <c r="P28" i="17"/>
  <c r="Q28" i="17" s="1"/>
  <c r="N28" i="17"/>
  <c r="O28" i="17" s="1"/>
  <c r="K28" i="17"/>
  <c r="I28" i="17"/>
  <c r="AS27" i="17"/>
  <c r="AJ27" i="17"/>
  <c r="AB27" i="17"/>
  <c r="AC27" i="17" s="1"/>
  <c r="Z27" i="17"/>
  <c r="AA27" i="17" s="1"/>
  <c r="Y27" i="17"/>
  <c r="W27" i="17"/>
  <c r="U27" i="17"/>
  <c r="P27" i="17"/>
  <c r="Q27" i="17" s="1"/>
  <c r="N27" i="17"/>
  <c r="K27" i="17"/>
  <c r="I27" i="17"/>
  <c r="AS26" i="17"/>
  <c r="AJ26" i="17"/>
  <c r="AB26" i="17"/>
  <c r="AC26" i="17" s="1"/>
  <c r="Z26" i="17"/>
  <c r="AA26" i="17" s="1"/>
  <c r="Y26" i="17"/>
  <c r="W26" i="17"/>
  <c r="U26" i="17"/>
  <c r="P26" i="17"/>
  <c r="Q26" i="17" s="1"/>
  <c r="N26" i="17"/>
  <c r="K26" i="17"/>
  <c r="I26" i="17"/>
  <c r="AS25" i="17"/>
  <c r="AJ25" i="17"/>
  <c r="AB25" i="17"/>
  <c r="AC25" i="17" s="1"/>
  <c r="Z25" i="17"/>
  <c r="AA25" i="17" s="1"/>
  <c r="Y25" i="17"/>
  <c r="W25" i="17"/>
  <c r="U25" i="17"/>
  <c r="P25" i="17"/>
  <c r="Q25" i="17" s="1"/>
  <c r="N25" i="17"/>
  <c r="O25" i="17" s="1"/>
  <c r="K25" i="17"/>
  <c r="I25" i="17"/>
  <c r="AS24" i="17"/>
  <c r="AJ24" i="17"/>
  <c r="AB24" i="17"/>
  <c r="AC24" i="17" s="1"/>
  <c r="Z24" i="17"/>
  <c r="AA24" i="17" s="1"/>
  <c r="Y24" i="17"/>
  <c r="W24" i="17"/>
  <c r="U24" i="17"/>
  <c r="P24" i="17"/>
  <c r="Q24" i="17" s="1"/>
  <c r="N24" i="17"/>
  <c r="O24" i="17" s="1"/>
  <c r="K24" i="17"/>
  <c r="I24" i="17"/>
  <c r="AS23" i="17"/>
  <c r="AJ23" i="17"/>
  <c r="AB23" i="17"/>
  <c r="AC23" i="17" s="1"/>
  <c r="Z23" i="17"/>
  <c r="AA23" i="17" s="1"/>
  <c r="Y23" i="17"/>
  <c r="W23" i="17"/>
  <c r="U23" i="17"/>
  <c r="P23" i="17"/>
  <c r="Q23" i="17" s="1"/>
  <c r="N23" i="17"/>
  <c r="K23" i="17"/>
  <c r="I23" i="17"/>
  <c r="AS22" i="17"/>
  <c r="AJ22" i="17"/>
  <c r="AB22" i="17"/>
  <c r="AC22" i="17" s="1"/>
  <c r="Z22" i="17"/>
  <c r="AA22" i="17" s="1"/>
  <c r="Y22" i="17"/>
  <c r="W22" i="17"/>
  <c r="U22" i="17"/>
  <c r="P22" i="17"/>
  <c r="Q22" i="17" s="1"/>
  <c r="N22" i="17"/>
  <c r="K22" i="17"/>
  <c r="I22" i="17"/>
  <c r="AS21" i="17"/>
  <c r="AJ21" i="17"/>
  <c r="AB21" i="17"/>
  <c r="AC21" i="17" s="1"/>
  <c r="Z21" i="17"/>
  <c r="AA21" i="17" s="1"/>
  <c r="Y21" i="17"/>
  <c r="W21" i="17"/>
  <c r="U21" i="17"/>
  <c r="P21" i="17"/>
  <c r="Q21" i="17" s="1"/>
  <c r="N21" i="17"/>
  <c r="K21" i="17"/>
  <c r="I21" i="17"/>
  <c r="AS20" i="17"/>
  <c r="AJ20" i="17"/>
  <c r="AB20" i="17"/>
  <c r="AC20" i="17" s="1"/>
  <c r="Z20" i="17"/>
  <c r="AA20" i="17" s="1"/>
  <c r="Y20" i="17"/>
  <c r="W20" i="17"/>
  <c r="U20" i="17"/>
  <c r="P20" i="17"/>
  <c r="Q20" i="17" s="1"/>
  <c r="N20" i="17"/>
  <c r="K20" i="17"/>
  <c r="I20" i="17"/>
  <c r="AS19" i="17"/>
  <c r="AJ19" i="17"/>
  <c r="AB19" i="17"/>
  <c r="AC19" i="17" s="1"/>
  <c r="Z19" i="17"/>
  <c r="AA19" i="17" s="1"/>
  <c r="Y19" i="17"/>
  <c r="W19" i="17"/>
  <c r="U19" i="17"/>
  <c r="P19" i="17"/>
  <c r="Q19" i="17" s="1"/>
  <c r="N19" i="17"/>
  <c r="K19" i="17"/>
  <c r="I19" i="17"/>
  <c r="AS18" i="17"/>
  <c r="AJ18" i="17"/>
  <c r="AB18" i="17"/>
  <c r="AC18" i="17" s="1"/>
  <c r="Z18" i="17"/>
  <c r="AA18" i="17" s="1"/>
  <c r="Y18" i="17"/>
  <c r="W18" i="17"/>
  <c r="U18" i="17"/>
  <c r="P18" i="17"/>
  <c r="Q18" i="17" s="1"/>
  <c r="N18" i="17"/>
  <c r="K18" i="17"/>
  <c r="I18" i="17"/>
  <c r="AS17" i="17"/>
  <c r="AJ17" i="17"/>
  <c r="AB17" i="17"/>
  <c r="AC17" i="17" s="1"/>
  <c r="Z17" i="17"/>
  <c r="AA17" i="17" s="1"/>
  <c r="Y17" i="17"/>
  <c r="W17" i="17"/>
  <c r="U17" i="17"/>
  <c r="P17" i="17"/>
  <c r="Q17" i="17" s="1"/>
  <c r="N17" i="17"/>
  <c r="K17" i="17"/>
  <c r="I17" i="17"/>
  <c r="AS16" i="17"/>
  <c r="AJ16" i="17"/>
  <c r="AB16" i="17"/>
  <c r="AC16" i="17" s="1"/>
  <c r="Z16" i="17"/>
  <c r="AA16" i="17" s="1"/>
  <c r="Y16" i="17"/>
  <c r="W16" i="17"/>
  <c r="U16" i="17"/>
  <c r="P16" i="17"/>
  <c r="Q16" i="17" s="1"/>
  <c r="N16" i="17"/>
  <c r="O16" i="17" s="1"/>
  <c r="K16" i="17"/>
  <c r="I16" i="17"/>
  <c r="AS15" i="17"/>
  <c r="AJ15" i="17"/>
  <c r="AB15" i="17"/>
  <c r="AC15" i="17" s="1"/>
  <c r="Z15" i="17"/>
  <c r="AA15" i="17" s="1"/>
  <c r="Y15" i="17"/>
  <c r="W15" i="17"/>
  <c r="U15" i="17"/>
  <c r="P15" i="17"/>
  <c r="Q15" i="17" s="1"/>
  <c r="N15" i="17"/>
  <c r="K15" i="17"/>
  <c r="I15" i="17"/>
  <c r="AS14" i="17"/>
  <c r="AJ14" i="17"/>
  <c r="AB14" i="17"/>
  <c r="AC14" i="17" s="1"/>
  <c r="Z14" i="17"/>
  <c r="AA14" i="17" s="1"/>
  <c r="Y14" i="17"/>
  <c r="W14" i="17"/>
  <c r="U14" i="17"/>
  <c r="P14" i="17"/>
  <c r="Q14" i="17" s="1"/>
  <c r="N14" i="17"/>
  <c r="K14" i="17"/>
  <c r="I14" i="17"/>
  <c r="AS13" i="17"/>
  <c r="AJ13" i="17"/>
  <c r="AB13" i="17"/>
  <c r="AC13" i="17" s="1"/>
  <c r="Z13" i="17"/>
  <c r="AA13" i="17" s="1"/>
  <c r="Y13" i="17"/>
  <c r="W13" i="17"/>
  <c r="U13" i="17"/>
  <c r="P13" i="17"/>
  <c r="Q13" i="17" s="1"/>
  <c r="N13" i="17"/>
  <c r="O13" i="17" s="1"/>
  <c r="K13" i="17"/>
  <c r="I13" i="17"/>
  <c r="AS12" i="17"/>
  <c r="AJ12" i="17"/>
  <c r="AB12" i="17"/>
  <c r="AC12" i="17" s="1"/>
  <c r="Z12" i="17"/>
  <c r="AA12" i="17" s="1"/>
  <c r="Y12" i="17"/>
  <c r="W12" i="17"/>
  <c r="U12" i="17"/>
  <c r="P12" i="17"/>
  <c r="Q12" i="17" s="1"/>
  <c r="N12" i="17"/>
  <c r="O12" i="17" s="1"/>
  <c r="K12" i="17"/>
  <c r="I12" i="17"/>
  <c r="AS11" i="17"/>
  <c r="AJ11" i="17"/>
  <c r="AB11" i="17"/>
  <c r="AC11" i="17" s="1"/>
  <c r="Z11" i="17"/>
  <c r="AA11" i="17" s="1"/>
  <c r="Y11" i="17"/>
  <c r="W11" i="17"/>
  <c r="U11" i="17"/>
  <c r="P11" i="17"/>
  <c r="Q11" i="17" s="1"/>
  <c r="N11" i="17"/>
  <c r="K11" i="17"/>
  <c r="I11" i="17"/>
  <c r="AS10" i="17"/>
  <c r="AJ10" i="17"/>
  <c r="AB10" i="17"/>
  <c r="AC10" i="17" s="1"/>
  <c r="Z10" i="17"/>
  <c r="AA10" i="17" s="1"/>
  <c r="Y10" i="17"/>
  <c r="V10" i="17"/>
  <c r="W10" i="17" s="1"/>
  <c r="U10" i="17"/>
  <c r="P10" i="17"/>
  <c r="Q10" i="17" s="1"/>
  <c r="N10" i="17"/>
  <c r="O10" i="17" s="1"/>
  <c r="K10" i="17"/>
  <c r="I10" i="17"/>
  <c r="AS9" i="17"/>
  <c r="AJ9" i="17"/>
  <c r="AB9" i="17"/>
  <c r="AC9" i="17" s="1"/>
  <c r="Z9" i="17"/>
  <c r="AA9" i="17" s="1"/>
  <c r="Y9" i="17"/>
  <c r="V9" i="17"/>
  <c r="W9" i="17" s="1"/>
  <c r="U9" i="17"/>
  <c r="P9" i="17"/>
  <c r="Q9" i="17" s="1"/>
  <c r="N9" i="17"/>
  <c r="O9" i="17" s="1"/>
  <c r="K9" i="17"/>
  <c r="I9" i="17"/>
  <c r="AS8" i="17"/>
  <c r="AJ8" i="17"/>
  <c r="AB8" i="17"/>
  <c r="AC8" i="17" s="1"/>
  <c r="Z8" i="17"/>
  <c r="AA8" i="17" s="1"/>
  <c r="Y8" i="17"/>
  <c r="V8" i="17"/>
  <c r="W8" i="17" s="1"/>
  <c r="U8" i="17"/>
  <c r="P8" i="17"/>
  <c r="Q8" i="17" s="1"/>
  <c r="N8" i="17"/>
  <c r="O8" i="17" s="1"/>
  <c r="K8" i="17"/>
  <c r="I8" i="17"/>
  <c r="AS7" i="17"/>
  <c r="AJ7" i="17"/>
  <c r="AB7" i="17"/>
  <c r="AC7" i="17" s="1"/>
  <c r="Z7" i="17"/>
  <c r="AA7" i="17" s="1"/>
  <c r="Y7" i="17"/>
  <c r="V7" i="17"/>
  <c r="W7" i="17" s="1"/>
  <c r="U7" i="17"/>
  <c r="P7" i="17"/>
  <c r="Q7" i="17" s="1"/>
  <c r="N7" i="17"/>
  <c r="O7" i="17" s="1"/>
  <c r="K7" i="17"/>
  <c r="I7" i="17"/>
  <c r="F5" i="17"/>
  <c r="F32" i="17" s="1"/>
  <c r="D5" i="17"/>
  <c r="D14" i="17" s="1"/>
  <c r="C5" i="17"/>
  <c r="D32" i="17" s="1"/>
  <c r="AB4" i="17"/>
  <c r="Y4" i="17"/>
  <c r="W4" i="17"/>
  <c r="U4" i="17"/>
  <c r="K4" i="17"/>
  <c r="AS54" i="16"/>
  <c r="AJ54" i="16"/>
  <c r="AB54" i="16"/>
  <c r="AC54" i="16" s="1"/>
  <c r="Z54" i="16"/>
  <c r="AA54" i="16" s="1"/>
  <c r="Y54" i="16"/>
  <c r="W54" i="16"/>
  <c r="U54" i="16"/>
  <c r="P54" i="16"/>
  <c r="Q54" i="16" s="1"/>
  <c r="N54" i="16"/>
  <c r="K54" i="16"/>
  <c r="I54" i="16"/>
  <c r="AS53" i="16"/>
  <c r="AJ53" i="16"/>
  <c r="AB53" i="16"/>
  <c r="AC53" i="16" s="1"/>
  <c r="Z53" i="16"/>
  <c r="AA53" i="16" s="1"/>
  <c r="Y53" i="16"/>
  <c r="W53" i="16"/>
  <c r="U53" i="16"/>
  <c r="P53" i="16"/>
  <c r="Q53" i="16" s="1"/>
  <c r="N53" i="16"/>
  <c r="O53" i="16" s="1"/>
  <c r="K53" i="16"/>
  <c r="I53" i="16"/>
  <c r="AS52" i="16"/>
  <c r="AJ52" i="16"/>
  <c r="AB52" i="16"/>
  <c r="AC52" i="16" s="1"/>
  <c r="Z52" i="16"/>
  <c r="AA52" i="16" s="1"/>
  <c r="Y52" i="16"/>
  <c r="W52" i="16"/>
  <c r="U52" i="16"/>
  <c r="P52" i="16"/>
  <c r="Q52" i="16" s="1"/>
  <c r="N52" i="16"/>
  <c r="K52" i="16"/>
  <c r="I52" i="16"/>
  <c r="AS51" i="16"/>
  <c r="AJ51" i="16"/>
  <c r="AB51" i="16"/>
  <c r="AC51" i="16" s="1"/>
  <c r="Z51" i="16"/>
  <c r="AA51" i="16" s="1"/>
  <c r="Y51" i="16"/>
  <c r="W51" i="16"/>
  <c r="U51" i="16"/>
  <c r="P51" i="16"/>
  <c r="Q51" i="16" s="1"/>
  <c r="N51" i="16"/>
  <c r="O51" i="16" s="1"/>
  <c r="K51" i="16"/>
  <c r="I51" i="16"/>
  <c r="AS50" i="16"/>
  <c r="AJ50" i="16"/>
  <c r="AB50" i="16"/>
  <c r="AC50" i="16" s="1"/>
  <c r="Z50" i="16"/>
  <c r="AA50" i="16" s="1"/>
  <c r="Y50" i="16"/>
  <c r="W50" i="16"/>
  <c r="U50" i="16"/>
  <c r="P50" i="16"/>
  <c r="Q50" i="16" s="1"/>
  <c r="N50" i="16"/>
  <c r="O50" i="16" s="1"/>
  <c r="K50" i="16"/>
  <c r="I50" i="16"/>
  <c r="AS49" i="16"/>
  <c r="AJ49" i="16"/>
  <c r="AB49" i="16"/>
  <c r="AC49" i="16" s="1"/>
  <c r="Z49" i="16"/>
  <c r="AA49" i="16" s="1"/>
  <c r="Y49" i="16"/>
  <c r="W49" i="16"/>
  <c r="U49" i="16"/>
  <c r="P49" i="16"/>
  <c r="Q49" i="16" s="1"/>
  <c r="N49" i="16"/>
  <c r="O49" i="16" s="1"/>
  <c r="K49" i="16"/>
  <c r="I49" i="16"/>
  <c r="AS48" i="16"/>
  <c r="AJ48" i="16"/>
  <c r="AB48" i="16"/>
  <c r="AC48" i="16" s="1"/>
  <c r="Z48" i="16"/>
  <c r="AA48" i="16" s="1"/>
  <c r="Y48" i="16"/>
  <c r="W48" i="16"/>
  <c r="U48" i="16"/>
  <c r="P48" i="16"/>
  <c r="Q48" i="16" s="1"/>
  <c r="N48" i="16"/>
  <c r="O48" i="16" s="1"/>
  <c r="K48" i="16"/>
  <c r="I48" i="16"/>
  <c r="AS47" i="16"/>
  <c r="AJ47" i="16"/>
  <c r="AB47" i="16"/>
  <c r="AC47" i="16" s="1"/>
  <c r="Z47" i="16"/>
  <c r="AA47" i="16" s="1"/>
  <c r="Y47" i="16"/>
  <c r="W47" i="16"/>
  <c r="U47" i="16"/>
  <c r="P47" i="16"/>
  <c r="Q47" i="16" s="1"/>
  <c r="N47" i="16"/>
  <c r="O47" i="16" s="1"/>
  <c r="K47" i="16"/>
  <c r="I47" i="16"/>
  <c r="AS46" i="16"/>
  <c r="AJ46" i="16"/>
  <c r="AB46" i="16"/>
  <c r="AC46" i="16" s="1"/>
  <c r="Z46" i="16"/>
  <c r="AA46" i="16" s="1"/>
  <c r="Y46" i="16"/>
  <c r="W46" i="16"/>
  <c r="U46" i="16"/>
  <c r="P46" i="16"/>
  <c r="Q46" i="16" s="1"/>
  <c r="N46" i="16"/>
  <c r="K46" i="16"/>
  <c r="I46" i="16"/>
  <c r="AS45" i="16"/>
  <c r="AJ45" i="16"/>
  <c r="AB45" i="16"/>
  <c r="AC45" i="16" s="1"/>
  <c r="Z45" i="16"/>
  <c r="AA45" i="16" s="1"/>
  <c r="Y45" i="16"/>
  <c r="W45" i="16"/>
  <c r="U45" i="16"/>
  <c r="P45" i="16"/>
  <c r="Q45" i="16" s="1"/>
  <c r="N45" i="16"/>
  <c r="O45" i="16" s="1"/>
  <c r="K45" i="16"/>
  <c r="I45" i="16"/>
  <c r="AS44" i="16"/>
  <c r="AJ44" i="16"/>
  <c r="AB44" i="16"/>
  <c r="AC44" i="16" s="1"/>
  <c r="Z44" i="16"/>
  <c r="AA44" i="16" s="1"/>
  <c r="Y44" i="16"/>
  <c r="W44" i="16"/>
  <c r="U44" i="16"/>
  <c r="P44" i="16"/>
  <c r="Q44" i="16" s="1"/>
  <c r="N44" i="16"/>
  <c r="O44" i="16" s="1"/>
  <c r="K44" i="16"/>
  <c r="I44" i="16"/>
  <c r="AS43" i="16"/>
  <c r="AJ43" i="16"/>
  <c r="AB43" i="16"/>
  <c r="AC43" i="16" s="1"/>
  <c r="Z43" i="16"/>
  <c r="AA43" i="16" s="1"/>
  <c r="Y43" i="16"/>
  <c r="W43" i="16"/>
  <c r="U43" i="16"/>
  <c r="P43" i="16"/>
  <c r="Q43" i="16" s="1"/>
  <c r="N43" i="16"/>
  <c r="O43" i="16" s="1"/>
  <c r="K43" i="16"/>
  <c r="I43" i="16"/>
  <c r="AS42" i="16"/>
  <c r="AJ42" i="16"/>
  <c r="AB42" i="16"/>
  <c r="AC42" i="16" s="1"/>
  <c r="Z42" i="16"/>
  <c r="AA42" i="16" s="1"/>
  <c r="Y42" i="16"/>
  <c r="W42" i="16"/>
  <c r="U42" i="16"/>
  <c r="P42" i="16"/>
  <c r="Q42" i="16" s="1"/>
  <c r="N42" i="16"/>
  <c r="O42" i="16" s="1"/>
  <c r="K42" i="16"/>
  <c r="I42" i="16"/>
  <c r="AS41" i="16"/>
  <c r="AJ41" i="16"/>
  <c r="AB41" i="16"/>
  <c r="AC41" i="16" s="1"/>
  <c r="Z41" i="16"/>
  <c r="AA41" i="16" s="1"/>
  <c r="Y41" i="16"/>
  <c r="W41" i="16"/>
  <c r="U41" i="16"/>
  <c r="P41" i="16"/>
  <c r="Q41" i="16" s="1"/>
  <c r="N41" i="16"/>
  <c r="O41" i="16" s="1"/>
  <c r="K41" i="16"/>
  <c r="I41" i="16"/>
  <c r="AS40" i="16"/>
  <c r="AJ40" i="16"/>
  <c r="AB40" i="16"/>
  <c r="AC40" i="16" s="1"/>
  <c r="Z40" i="16"/>
  <c r="AA40" i="16" s="1"/>
  <c r="Y40" i="16"/>
  <c r="W40" i="16"/>
  <c r="U40" i="16"/>
  <c r="P40" i="16"/>
  <c r="Q40" i="16" s="1"/>
  <c r="N40" i="16"/>
  <c r="O40" i="16" s="1"/>
  <c r="K40" i="16"/>
  <c r="I40" i="16"/>
  <c r="AS39" i="16"/>
  <c r="AJ39" i="16"/>
  <c r="AB39" i="16"/>
  <c r="AC39" i="16" s="1"/>
  <c r="Z39" i="16"/>
  <c r="AA39" i="16" s="1"/>
  <c r="Y39" i="16"/>
  <c r="W39" i="16"/>
  <c r="U39" i="16"/>
  <c r="P39" i="16"/>
  <c r="Q39" i="16" s="1"/>
  <c r="N39" i="16"/>
  <c r="O39" i="16" s="1"/>
  <c r="K39" i="16"/>
  <c r="I39" i="16"/>
  <c r="AS38" i="16"/>
  <c r="AJ38" i="16"/>
  <c r="AB38" i="16"/>
  <c r="AC38" i="16" s="1"/>
  <c r="Z38" i="16"/>
  <c r="AA38" i="16" s="1"/>
  <c r="Y38" i="16"/>
  <c r="W38" i="16"/>
  <c r="U38" i="16"/>
  <c r="P38" i="16"/>
  <c r="Q38" i="16" s="1"/>
  <c r="N38" i="16"/>
  <c r="O38" i="16" s="1"/>
  <c r="K38" i="16"/>
  <c r="I38" i="16"/>
  <c r="AS37" i="16"/>
  <c r="AJ37" i="16"/>
  <c r="AB37" i="16"/>
  <c r="AC37" i="16" s="1"/>
  <c r="Z37" i="16"/>
  <c r="AA37" i="16" s="1"/>
  <c r="Y37" i="16"/>
  <c r="W37" i="16"/>
  <c r="U37" i="16"/>
  <c r="P37" i="16"/>
  <c r="Q37" i="16" s="1"/>
  <c r="N37" i="16"/>
  <c r="O37" i="16" s="1"/>
  <c r="K37" i="16"/>
  <c r="I37" i="16"/>
  <c r="AS36" i="16"/>
  <c r="AJ36" i="16"/>
  <c r="AB36" i="16"/>
  <c r="AC36" i="16" s="1"/>
  <c r="Z36" i="16"/>
  <c r="AA36" i="16" s="1"/>
  <c r="Y36" i="16"/>
  <c r="W36" i="16"/>
  <c r="U36" i="16"/>
  <c r="P36" i="16"/>
  <c r="Q36" i="16" s="1"/>
  <c r="N36" i="16"/>
  <c r="O36" i="16" s="1"/>
  <c r="K36" i="16"/>
  <c r="I36" i="16"/>
  <c r="AS35" i="16"/>
  <c r="AJ35" i="16"/>
  <c r="AB35" i="16"/>
  <c r="AC35" i="16" s="1"/>
  <c r="Z35" i="16"/>
  <c r="AA35" i="16" s="1"/>
  <c r="Y35" i="16"/>
  <c r="W35" i="16"/>
  <c r="U35" i="16"/>
  <c r="P35" i="16"/>
  <c r="Q35" i="16" s="1"/>
  <c r="N35" i="16"/>
  <c r="O35" i="16" s="1"/>
  <c r="K35" i="16"/>
  <c r="I35" i="16"/>
  <c r="AS34" i="16"/>
  <c r="AJ34" i="16"/>
  <c r="AB34" i="16"/>
  <c r="AC34" i="16" s="1"/>
  <c r="Z34" i="16"/>
  <c r="AA34" i="16" s="1"/>
  <c r="Y34" i="16"/>
  <c r="W34" i="16"/>
  <c r="U34" i="16"/>
  <c r="P34" i="16"/>
  <c r="Q34" i="16" s="1"/>
  <c r="N34" i="16"/>
  <c r="O34" i="16" s="1"/>
  <c r="K34" i="16"/>
  <c r="I34" i="16"/>
  <c r="AS33" i="16"/>
  <c r="AJ33" i="16"/>
  <c r="AB33" i="16"/>
  <c r="AC33" i="16" s="1"/>
  <c r="Z33" i="16"/>
  <c r="AA33" i="16" s="1"/>
  <c r="Y33" i="16"/>
  <c r="W33" i="16"/>
  <c r="U33" i="16"/>
  <c r="P33" i="16"/>
  <c r="Q33" i="16" s="1"/>
  <c r="N33" i="16"/>
  <c r="O33" i="16" s="1"/>
  <c r="K33" i="16"/>
  <c r="I33" i="16"/>
  <c r="AS32" i="16"/>
  <c r="AJ32" i="16"/>
  <c r="AB32" i="16"/>
  <c r="AC32" i="16" s="1"/>
  <c r="Z32" i="16"/>
  <c r="AA32" i="16" s="1"/>
  <c r="Y32" i="16"/>
  <c r="W32" i="16"/>
  <c r="U32" i="16"/>
  <c r="P32" i="16"/>
  <c r="Q32" i="16" s="1"/>
  <c r="N32" i="16"/>
  <c r="O32" i="16" s="1"/>
  <c r="K32" i="16"/>
  <c r="I32" i="16"/>
  <c r="AS31" i="16"/>
  <c r="AJ31" i="16"/>
  <c r="AB31" i="16"/>
  <c r="AC31" i="16" s="1"/>
  <c r="Z31" i="16"/>
  <c r="AA31" i="16" s="1"/>
  <c r="Y31" i="16"/>
  <c r="W31" i="16"/>
  <c r="U31" i="16"/>
  <c r="P31" i="16"/>
  <c r="Q31" i="16" s="1"/>
  <c r="N31" i="16"/>
  <c r="O31" i="16" s="1"/>
  <c r="K31" i="16"/>
  <c r="I31" i="16"/>
  <c r="AS30" i="16"/>
  <c r="AJ30" i="16"/>
  <c r="AB30" i="16"/>
  <c r="AC30" i="16" s="1"/>
  <c r="Z30" i="16"/>
  <c r="AA30" i="16" s="1"/>
  <c r="Y30" i="16"/>
  <c r="W30" i="16"/>
  <c r="U30" i="16"/>
  <c r="P30" i="16"/>
  <c r="Q30" i="16" s="1"/>
  <c r="N30" i="16"/>
  <c r="O30" i="16" s="1"/>
  <c r="K30" i="16"/>
  <c r="I30" i="16"/>
  <c r="AS29" i="16"/>
  <c r="AJ29" i="16"/>
  <c r="AB29" i="16"/>
  <c r="AC29" i="16" s="1"/>
  <c r="Z29" i="16"/>
  <c r="AA29" i="16" s="1"/>
  <c r="Y29" i="16"/>
  <c r="W29" i="16"/>
  <c r="U29" i="16"/>
  <c r="P29" i="16"/>
  <c r="Q29" i="16" s="1"/>
  <c r="N29" i="16"/>
  <c r="O29" i="16" s="1"/>
  <c r="K29" i="16"/>
  <c r="I29" i="16"/>
  <c r="AS28" i="16"/>
  <c r="AJ28" i="16"/>
  <c r="AB28" i="16"/>
  <c r="AC28" i="16" s="1"/>
  <c r="Z28" i="16"/>
  <c r="AA28" i="16" s="1"/>
  <c r="Y28" i="16"/>
  <c r="W28" i="16"/>
  <c r="U28" i="16"/>
  <c r="P28" i="16"/>
  <c r="Q28" i="16" s="1"/>
  <c r="N28" i="16"/>
  <c r="O28" i="16" s="1"/>
  <c r="K28" i="16"/>
  <c r="I28" i="16"/>
  <c r="AS27" i="16"/>
  <c r="AJ27" i="16"/>
  <c r="AB27" i="16"/>
  <c r="AC27" i="16" s="1"/>
  <c r="Z27" i="16"/>
  <c r="AA27" i="16" s="1"/>
  <c r="Y27" i="16"/>
  <c r="W27" i="16"/>
  <c r="U27" i="16"/>
  <c r="P27" i="16"/>
  <c r="Q27" i="16" s="1"/>
  <c r="N27" i="16"/>
  <c r="O27" i="16" s="1"/>
  <c r="K27" i="16"/>
  <c r="I27" i="16"/>
  <c r="AS26" i="16"/>
  <c r="AJ26" i="16"/>
  <c r="AB26" i="16"/>
  <c r="AC26" i="16" s="1"/>
  <c r="Z26" i="16"/>
  <c r="AA26" i="16" s="1"/>
  <c r="Y26" i="16"/>
  <c r="W26" i="16"/>
  <c r="U26" i="16"/>
  <c r="P26" i="16"/>
  <c r="Q26" i="16" s="1"/>
  <c r="N26" i="16"/>
  <c r="O26" i="16" s="1"/>
  <c r="K26" i="16"/>
  <c r="I26" i="16"/>
  <c r="AS25" i="16"/>
  <c r="AJ25" i="16"/>
  <c r="AB25" i="16"/>
  <c r="AC25" i="16" s="1"/>
  <c r="Z25" i="16"/>
  <c r="AA25" i="16" s="1"/>
  <c r="Y25" i="16"/>
  <c r="W25" i="16"/>
  <c r="U25" i="16"/>
  <c r="P25" i="16"/>
  <c r="Q25" i="16" s="1"/>
  <c r="N25" i="16"/>
  <c r="O25" i="16" s="1"/>
  <c r="K25" i="16"/>
  <c r="I25" i="16"/>
  <c r="AS24" i="16"/>
  <c r="AJ24" i="16"/>
  <c r="AB24" i="16"/>
  <c r="AC24" i="16" s="1"/>
  <c r="Z24" i="16"/>
  <c r="AA24" i="16" s="1"/>
  <c r="Y24" i="16"/>
  <c r="W24" i="16"/>
  <c r="U24" i="16"/>
  <c r="P24" i="16"/>
  <c r="Q24" i="16" s="1"/>
  <c r="N24" i="16"/>
  <c r="O24" i="16" s="1"/>
  <c r="K24" i="16"/>
  <c r="I24" i="16"/>
  <c r="AS23" i="16"/>
  <c r="AJ23" i="16"/>
  <c r="AB23" i="16"/>
  <c r="AC23" i="16" s="1"/>
  <c r="Z23" i="16"/>
  <c r="AA23" i="16" s="1"/>
  <c r="Y23" i="16"/>
  <c r="W23" i="16"/>
  <c r="U23" i="16"/>
  <c r="P23" i="16"/>
  <c r="Q23" i="16" s="1"/>
  <c r="N23" i="16"/>
  <c r="O23" i="16" s="1"/>
  <c r="K23" i="16"/>
  <c r="I23" i="16"/>
  <c r="AS22" i="16"/>
  <c r="AJ22" i="16"/>
  <c r="AB22" i="16"/>
  <c r="AC22" i="16" s="1"/>
  <c r="Z22" i="16"/>
  <c r="AA22" i="16" s="1"/>
  <c r="Y22" i="16"/>
  <c r="W22" i="16"/>
  <c r="U22" i="16"/>
  <c r="P22" i="16"/>
  <c r="Q22" i="16" s="1"/>
  <c r="N22" i="16"/>
  <c r="O22" i="16" s="1"/>
  <c r="K22" i="16"/>
  <c r="I22" i="16"/>
  <c r="AS21" i="16"/>
  <c r="AJ21" i="16"/>
  <c r="AB21" i="16"/>
  <c r="AC21" i="16" s="1"/>
  <c r="Z21" i="16"/>
  <c r="AA21" i="16" s="1"/>
  <c r="Y21" i="16"/>
  <c r="W21" i="16"/>
  <c r="U21" i="16"/>
  <c r="P21" i="16"/>
  <c r="Q21" i="16" s="1"/>
  <c r="N21" i="16"/>
  <c r="O21" i="16" s="1"/>
  <c r="K21" i="16"/>
  <c r="I21" i="16"/>
  <c r="AS20" i="16"/>
  <c r="AJ20" i="16"/>
  <c r="AB20" i="16"/>
  <c r="AC20" i="16" s="1"/>
  <c r="Z20" i="16"/>
  <c r="AA20" i="16" s="1"/>
  <c r="Y20" i="16"/>
  <c r="W20" i="16"/>
  <c r="U20" i="16"/>
  <c r="P20" i="16"/>
  <c r="Q20" i="16" s="1"/>
  <c r="N20" i="16"/>
  <c r="O20" i="16" s="1"/>
  <c r="K20" i="16"/>
  <c r="I20" i="16"/>
  <c r="AS19" i="16"/>
  <c r="AJ19" i="16"/>
  <c r="AB19" i="16"/>
  <c r="AC19" i="16" s="1"/>
  <c r="Z19" i="16"/>
  <c r="AA19" i="16" s="1"/>
  <c r="Y19" i="16"/>
  <c r="W19" i="16"/>
  <c r="U19" i="16"/>
  <c r="P19" i="16"/>
  <c r="Q19" i="16" s="1"/>
  <c r="N19" i="16"/>
  <c r="O19" i="16" s="1"/>
  <c r="K19" i="16"/>
  <c r="I19" i="16"/>
  <c r="AS18" i="16"/>
  <c r="AJ18" i="16"/>
  <c r="AB18" i="16"/>
  <c r="AC18" i="16" s="1"/>
  <c r="Z18" i="16"/>
  <c r="AA18" i="16" s="1"/>
  <c r="Y18" i="16"/>
  <c r="W18" i="16"/>
  <c r="U18" i="16"/>
  <c r="P18" i="16"/>
  <c r="Q18" i="16" s="1"/>
  <c r="N18" i="16"/>
  <c r="O18" i="16" s="1"/>
  <c r="K18" i="16"/>
  <c r="I18" i="16"/>
  <c r="AS17" i="16"/>
  <c r="AJ17" i="16"/>
  <c r="AB17" i="16"/>
  <c r="AC17" i="16" s="1"/>
  <c r="Z17" i="16"/>
  <c r="AA17" i="16" s="1"/>
  <c r="Y17" i="16"/>
  <c r="W17" i="16"/>
  <c r="U17" i="16"/>
  <c r="P17" i="16"/>
  <c r="Q17" i="16" s="1"/>
  <c r="N17" i="16"/>
  <c r="O17" i="16" s="1"/>
  <c r="K17" i="16"/>
  <c r="I17" i="16"/>
  <c r="AS16" i="16"/>
  <c r="AJ16" i="16"/>
  <c r="AB16" i="16"/>
  <c r="AC16" i="16" s="1"/>
  <c r="Z16" i="16"/>
  <c r="AA16" i="16" s="1"/>
  <c r="Y16" i="16"/>
  <c r="W16" i="16"/>
  <c r="U16" i="16"/>
  <c r="P16" i="16"/>
  <c r="Q16" i="16" s="1"/>
  <c r="N16" i="16"/>
  <c r="O16" i="16" s="1"/>
  <c r="K16" i="16"/>
  <c r="I16" i="16"/>
  <c r="AS15" i="16"/>
  <c r="AJ15" i="16"/>
  <c r="AB15" i="16"/>
  <c r="AC15" i="16" s="1"/>
  <c r="Z15" i="16"/>
  <c r="AA15" i="16" s="1"/>
  <c r="Y15" i="16"/>
  <c r="W15" i="16"/>
  <c r="U15" i="16"/>
  <c r="P15" i="16"/>
  <c r="Q15" i="16" s="1"/>
  <c r="N15" i="16"/>
  <c r="O15" i="16" s="1"/>
  <c r="K15" i="16"/>
  <c r="I15" i="16"/>
  <c r="AS14" i="16"/>
  <c r="AJ14" i="16"/>
  <c r="AB14" i="16"/>
  <c r="AC14" i="16" s="1"/>
  <c r="Z14" i="16"/>
  <c r="AA14" i="16" s="1"/>
  <c r="Y14" i="16"/>
  <c r="W14" i="16"/>
  <c r="U14" i="16"/>
  <c r="P14" i="16"/>
  <c r="Q14" i="16" s="1"/>
  <c r="N14" i="16"/>
  <c r="O14" i="16" s="1"/>
  <c r="K14" i="16"/>
  <c r="I14" i="16"/>
  <c r="AS13" i="16"/>
  <c r="AJ13" i="16"/>
  <c r="AB13" i="16"/>
  <c r="AC13" i="16" s="1"/>
  <c r="Z13" i="16"/>
  <c r="AA13" i="16" s="1"/>
  <c r="Y13" i="16"/>
  <c r="W13" i="16"/>
  <c r="U13" i="16"/>
  <c r="P13" i="16"/>
  <c r="Q13" i="16" s="1"/>
  <c r="N13" i="16"/>
  <c r="O13" i="16" s="1"/>
  <c r="K13" i="16"/>
  <c r="I13" i="16"/>
  <c r="AS12" i="16"/>
  <c r="AJ12" i="16"/>
  <c r="AB12" i="16"/>
  <c r="AC12" i="16" s="1"/>
  <c r="Z12" i="16"/>
  <c r="AA12" i="16" s="1"/>
  <c r="Y12" i="16"/>
  <c r="W12" i="16"/>
  <c r="U12" i="16"/>
  <c r="P12" i="16"/>
  <c r="Q12" i="16" s="1"/>
  <c r="N12" i="16"/>
  <c r="O12" i="16" s="1"/>
  <c r="K12" i="16"/>
  <c r="I12" i="16"/>
  <c r="AS11" i="16"/>
  <c r="AJ11" i="16"/>
  <c r="AB11" i="16"/>
  <c r="AC11" i="16" s="1"/>
  <c r="Z11" i="16"/>
  <c r="AA11" i="16" s="1"/>
  <c r="Y11" i="16"/>
  <c r="W11" i="16"/>
  <c r="U11" i="16"/>
  <c r="P11" i="16"/>
  <c r="Q11" i="16" s="1"/>
  <c r="N11" i="16"/>
  <c r="O11" i="16" s="1"/>
  <c r="K11" i="16"/>
  <c r="I11" i="16"/>
  <c r="AS10" i="16"/>
  <c r="AJ10" i="16"/>
  <c r="AB10" i="16"/>
  <c r="AC10" i="16" s="1"/>
  <c r="Z10" i="16"/>
  <c r="AA10" i="16" s="1"/>
  <c r="Y10" i="16"/>
  <c r="W10" i="16"/>
  <c r="U10" i="16"/>
  <c r="P10" i="16"/>
  <c r="Q10" i="16" s="1"/>
  <c r="N10" i="16"/>
  <c r="O10" i="16" s="1"/>
  <c r="K10" i="16"/>
  <c r="I10" i="16"/>
  <c r="AS9" i="16"/>
  <c r="AJ9" i="16"/>
  <c r="AB9" i="16"/>
  <c r="AC9" i="16" s="1"/>
  <c r="Z9" i="16"/>
  <c r="AA9" i="16" s="1"/>
  <c r="Y9" i="16"/>
  <c r="W9" i="16"/>
  <c r="U9" i="16"/>
  <c r="P9" i="16"/>
  <c r="Q9" i="16" s="1"/>
  <c r="N9" i="16"/>
  <c r="O9" i="16" s="1"/>
  <c r="K9" i="16"/>
  <c r="I9" i="16"/>
  <c r="AS8" i="16"/>
  <c r="AJ8" i="16"/>
  <c r="AB8" i="16"/>
  <c r="AC8" i="16" s="1"/>
  <c r="Z8" i="16"/>
  <c r="AA8" i="16" s="1"/>
  <c r="Y8" i="16"/>
  <c r="W8" i="16"/>
  <c r="U8" i="16"/>
  <c r="P8" i="16"/>
  <c r="Q8" i="16" s="1"/>
  <c r="N8" i="16"/>
  <c r="O8" i="16" s="1"/>
  <c r="K8" i="16"/>
  <c r="I8" i="16"/>
  <c r="AS7" i="16"/>
  <c r="AJ7" i="16"/>
  <c r="AB7" i="16"/>
  <c r="AC7" i="16" s="1"/>
  <c r="Z7" i="16"/>
  <c r="AA7" i="16" s="1"/>
  <c r="Y7" i="16"/>
  <c r="W7" i="16"/>
  <c r="U7" i="16"/>
  <c r="P7" i="16"/>
  <c r="Q7" i="16" s="1"/>
  <c r="N7" i="16"/>
  <c r="O7" i="16" s="1"/>
  <c r="K7" i="16"/>
  <c r="I7" i="16"/>
  <c r="W5" i="16"/>
  <c r="F5" i="16"/>
  <c r="F45" i="16" s="1"/>
  <c r="D5" i="16"/>
  <c r="D29" i="16" s="1"/>
  <c r="C5" i="16"/>
  <c r="D43" i="16" s="1"/>
  <c r="AB4" i="16"/>
  <c r="W4" i="16"/>
  <c r="U4" i="16"/>
  <c r="K4" i="16"/>
  <c r="AS54" i="15"/>
  <c r="AJ54" i="15"/>
  <c r="AB54" i="15"/>
  <c r="AC54" i="15" s="1"/>
  <c r="Z54" i="15"/>
  <c r="AA54" i="15" s="1"/>
  <c r="Y54" i="15"/>
  <c r="W54" i="15"/>
  <c r="U54" i="15"/>
  <c r="P54" i="15"/>
  <c r="Q54" i="15" s="1"/>
  <c r="N54" i="15"/>
  <c r="K54" i="15"/>
  <c r="I54" i="15"/>
  <c r="AS53" i="15"/>
  <c r="AJ53" i="15"/>
  <c r="AB53" i="15"/>
  <c r="AC53" i="15" s="1"/>
  <c r="Z53" i="15"/>
  <c r="AA53" i="15" s="1"/>
  <c r="Y53" i="15"/>
  <c r="W53" i="15"/>
  <c r="U53" i="15"/>
  <c r="P53" i="15"/>
  <c r="Q53" i="15" s="1"/>
  <c r="N53" i="15"/>
  <c r="K53" i="15"/>
  <c r="I53" i="15"/>
  <c r="AS52" i="15"/>
  <c r="AJ52" i="15"/>
  <c r="AB52" i="15"/>
  <c r="AC52" i="15" s="1"/>
  <c r="Z52" i="15"/>
  <c r="AA52" i="15" s="1"/>
  <c r="Y52" i="15"/>
  <c r="W52" i="15"/>
  <c r="U52" i="15"/>
  <c r="P52" i="15"/>
  <c r="Q52" i="15" s="1"/>
  <c r="N52" i="15"/>
  <c r="K52" i="15"/>
  <c r="I52" i="15"/>
  <c r="AS51" i="15"/>
  <c r="AJ51" i="15"/>
  <c r="AB51" i="15"/>
  <c r="AC51" i="15" s="1"/>
  <c r="Z51" i="15"/>
  <c r="AA51" i="15" s="1"/>
  <c r="Y51" i="15"/>
  <c r="W51" i="15"/>
  <c r="U51" i="15"/>
  <c r="P51" i="15"/>
  <c r="Q51" i="15" s="1"/>
  <c r="N51" i="15"/>
  <c r="O51" i="15" s="1"/>
  <c r="K51" i="15"/>
  <c r="I51" i="15"/>
  <c r="AS50" i="15"/>
  <c r="AJ50" i="15"/>
  <c r="AB50" i="15"/>
  <c r="AC50" i="15" s="1"/>
  <c r="Z50" i="15"/>
  <c r="AA50" i="15" s="1"/>
  <c r="Y50" i="15"/>
  <c r="W50" i="15"/>
  <c r="U50" i="15"/>
  <c r="P50" i="15"/>
  <c r="Q50" i="15" s="1"/>
  <c r="N50" i="15"/>
  <c r="K50" i="15"/>
  <c r="I50" i="15"/>
  <c r="AS49" i="15"/>
  <c r="AJ49" i="15"/>
  <c r="AB49" i="15"/>
  <c r="AC49" i="15" s="1"/>
  <c r="Z49" i="15"/>
  <c r="AA49" i="15" s="1"/>
  <c r="Y49" i="15"/>
  <c r="W49" i="15"/>
  <c r="U49" i="15"/>
  <c r="P49" i="15"/>
  <c r="Q49" i="15" s="1"/>
  <c r="N49" i="15"/>
  <c r="O49" i="15" s="1"/>
  <c r="K49" i="15"/>
  <c r="I49" i="15"/>
  <c r="AS48" i="15"/>
  <c r="AJ48" i="15"/>
  <c r="AB48" i="15"/>
  <c r="AC48" i="15" s="1"/>
  <c r="Z48" i="15"/>
  <c r="AA48" i="15" s="1"/>
  <c r="Y48" i="15"/>
  <c r="W48" i="15"/>
  <c r="U48" i="15"/>
  <c r="P48" i="15"/>
  <c r="Q48" i="15" s="1"/>
  <c r="N48" i="15"/>
  <c r="K48" i="15"/>
  <c r="I48" i="15"/>
  <c r="AS47" i="15"/>
  <c r="AJ47" i="15"/>
  <c r="AB47" i="15"/>
  <c r="AC47" i="15" s="1"/>
  <c r="Z47" i="15"/>
  <c r="AA47" i="15" s="1"/>
  <c r="Y47" i="15"/>
  <c r="W47" i="15"/>
  <c r="U47" i="15"/>
  <c r="P47" i="15"/>
  <c r="Q47" i="15" s="1"/>
  <c r="N47" i="15"/>
  <c r="K47" i="15"/>
  <c r="I47" i="15"/>
  <c r="AS46" i="15"/>
  <c r="AJ46" i="15"/>
  <c r="AB46" i="15"/>
  <c r="AC46" i="15" s="1"/>
  <c r="Z46" i="15"/>
  <c r="AA46" i="15" s="1"/>
  <c r="Y46" i="15"/>
  <c r="W46" i="15"/>
  <c r="U46" i="15"/>
  <c r="P46" i="15"/>
  <c r="Q46" i="15" s="1"/>
  <c r="N46" i="15"/>
  <c r="K46" i="15"/>
  <c r="I46" i="15"/>
  <c r="AS45" i="15"/>
  <c r="AJ45" i="15"/>
  <c r="AB45" i="15"/>
  <c r="AC45" i="15" s="1"/>
  <c r="Z45" i="15"/>
  <c r="AA45" i="15" s="1"/>
  <c r="Y45" i="15"/>
  <c r="W45" i="15"/>
  <c r="U45" i="15"/>
  <c r="P45" i="15"/>
  <c r="Q45" i="15" s="1"/>
  <c r="N45" i="15"/>
  <c r="K45" i="15"/>
  <c r="I45" i="15"/>
  <c r="AS44" i="15"/>
  <c r="AJ44" i="15"/>
  <c r="AB44" i="15"/>
  <c r="AC44" i="15" s="1"/>
  <c r="Z44" i="15"/>
  <c r="AA44" i="15" s="1"/>
  <c r="Y44" i="15"/>
  <c r="W44" i="15"/>
  <c r="U44" i="15"/>
  <c r="P44" i="15"/>
  <c r="Q44" i="15" s="1"/>
  <c r="N44" i="15"/>
  <c r="K44" i="15"/>
  <c r="I44" i="15"/>
  <c r="AS43" i="15"/>
  <c r="AJ43" i="15"/>
  <c r="AB43" i="15"/>
  <c r="AC43" i="15" s="1"/>
  <c r="Z43" i="15"/>
  <c r="AA43" i="15" s="1"/>
  <c r="Y43" i="15"/>
  <c r="W43" i="15"/>
  <c r="U43" i="15"/>
  <c r="P43" i="15"/>
  <c r="Q43" i="15" s="1"/>
  <c r="N43" i="15"/>
  <c r="O43" i="15" s="1"/>
  <c r="K43" i="15"/>
  <c r="I43" i="15"/>
  <c r="AS42" i="15"/>
  <c r="AJ42" i="15"/>
  <c r="AB42" i="15"/>
  <c r="AC42" i="15" s="1"/>
  <c r="Z42" i="15"/>
  <c r="AA42" i="15" s="1"/>
  <c r="Y42" i="15"/>
  <c r="W42" i="15"/>
  <c r="U42" i="15"/>
  <c r="P42" i="15"/>
  <c r="Q42" i="15" s="1"/>
  <c r="N42" i="15"/>
  <c r="O42" i="15" s="1"/>
  <c r="K42" i="15"/>
  <c r="I42" i="15"/>
  <c r="AS41" i="15"/>
  <c r="AJ41" i="15"/>
  <c r="AB41" i="15"/>
  <c r="AC41" i="15" s="1"/>
  <c r="Z41" i="15"/>
  <c r="AA41" i="15" s="1"/>
  <c r="Y41" i="15"/>
  <c r="W41" i="15"/>
  <c r="U41" i="15"/>
  <c r="P41" i="15"/>
  <c r="Q41" i="15" s="1"/>
  <c r="N41" i="15"/>
  <c r="O41" i="15" s="1"/>
  <c r="K41" i="15"/>
  <c r="I41" i="15"/>
  <c r="AS40" i="15"/>
  <c r="AJ40" i="15"/>
  <c r="AB40" i="15"/>
  <c r="AC40" i="15" s="1"/>
  <c r="Z40" i="15"/>
  <c r="AA40" i="15" s="1"/>
  <c r="Y40" i="15"/>
  <c r="W40" i="15"/>
  <c r="U40" i="15"/>
  <c r="P40" i="15"/>
  <c r="Q40" i="15" s="1"/>
  <c r="N40" i="15"/>
  <c r="O40" i="15" s="1"/>
  <c r="K40" i="15"/>
  <c r="I40" i="15"/>
  <c r="AS39" i="15"/>
  <c r="AJ39" i="15"/>
  <c r="AB39" i="15"/>
  <c r="AC39" i="15" s="1"/>
  <c r="Z39" i="15"/>
  <c r="AA39" i="15" s="1"/>
  <c r="Y39" i="15"/>
  <c r="W39" i="15"/>
  <c r="U39" i="15"/>
  <c r="P39" i="15"/>
  <c r="Q39" i="15" s="1"/>
  <c r="N39" i="15"/>
  <c r="K39" i="15"/>
  <c r="I39" i="15"/>
  <c r="AS38" i="15"/>
  <c r="AJ38" i="15"/>
  <c r="AB38" i="15"/>
  <c r="AC38" i="15" s="1"/>
  <c r="Z38" i="15"/>
  <c r="AA38" i="15" s="1"/>
  <c r="Y38" i="15"/>
  <c r="W38" i="15"/>
  <c r="U38" i="15"/>
  <c r="P38" i="15"/>
  <c r="Q38" i="15" s="1"/>
  <c r="N38" i="15"/>
  <c r="K38" i="15"/>
  <c r="I38" i="15"/>
  <c r="AS37" i="15"/>
  <c r="AJ37" i="15"/>
  <c r="AB37" i="15"/>
  <c r="AC37" i="15" s="1"/>
  <c r="Z37" i="15"/>
  <c r="AA37" i="15" s="1"/>
  <c r="Y37" i="15"/>
  <c r="W37" i="15"/>
  <c r="U37" i="15"/>
  <c r="P37" i="15"/>
  <c r="Q37" i="15" s="1"/>
  <c r="N37" i="15"/>
  <c r="K37" i="15"/>
  <c r="I37" i="15"/>
  <c r="AS36" i="15"/>
  <c r="AJ36" i="15"/>
  <c r="AB36" i="15"/>
  <c r="AC36" i="15" s="1"/>
  <c r="Z36" i="15"/>
  <c r="AA36" i="15" s="1"/>
  <c r="Y36" i="15"/>
  <c r="W36" i="15"/>
  <c r="U36" i="15"/>
  <c r="P36" i="15"/>
  <c r="Q36" i="15" s="1"/>
  <c r="N36" i="15"/>
  <c r="O36" i="15" s="1"/>
  <c r="K36" i="15"/>
  <c r="I36" i="15"/>
  <c r="AS35" i="15"/>
  <c r="AJ35" i="15"/>
  <c r="AB35" i="15"/>
  <c r="AC35" i="15" s="1"/>
  <c r="Z35" i="15"/>
  <c r="AA35" i="15" s="1"/>
  <c r="Y35" i="15"/>
  <c r="W35" i="15"/>
  <c r="U35" i="15"/>
  <c r="P35" i="15"/>
  <c r="Q35" i="15" s="1"/>
  <c r="N35" i="15"/>
  <c r="K35" i="15"/>
  <c r="I35" i="15"/>
  <c r="AS34" i="15"/>
  <c r="AJ34" i="15"/>
  <c r="AB34" i="15"/>
  <c r="AC34" i="15" s="1"/>
  <c r="Z34" i="15"/>
  <c r="AA34" i="15" s="1"/>
  <c r="Y34" i="15"/>
  <c r="W34" i="15"/>
  <c r="U34" i="15"/>
  <c r="P34" i="15"/>
  <c r="Q34" i="15" s="1"/>
  <c r="N34" i="15"/>
  <c r="O34" i="15" s="1"/>
  <c r="K34" i="15"/>
  <c r="I34" i="15"/>
  <c r="AS33" i="15"/>
  <c r="AJ33" i="15"/>
  <c r="AB33" i="15"/>
  <c r="AC33" i="15" s="1"/>
  <c r="Z33" i="15"/>
  <c r="AA33" i="15" s="1"/>
  <c r="Y33" i="15"/>
  <c r="W33" i="15"/>
  <c r="U33" i="15"/>
  <c r="P33" i="15"/>
  <c r="Q33" i="15" s="1"/>
  <c r="N33" i="15"/>
  <c r="K33" i="15"/>
  <c r="I33" i="15"/>
  <c r="AS32" i="15"/>
  <c r="AJ32" i="15"/>
  <c r="AB32" i="15"/>
  <c r="AC32" i="15" s="1"/>
  <c r="Z32" i="15"/>
  <c r="AA32" i="15" s="1"/>
  <c r="Y32" i="15"/>
  <c r="W32" i="15"/>
  <c r="U32" i="15"/>
  <c r="P32" i="15"/>
  <c r="Q32" i="15" s="1"/>
  <c r="N32" i="15"/>
  <c r="K32" i="15"/>
  <c r="I32" i="15"/>
  <c r="AS31" i="15"/>
  <c r="AJ31" i="15"/>
  <c r="AB31" i="15"/>
  <c r="AC31" i="15" s="1"/>
  <c r="Z31" i="15"/>
  <c r="AA31" i="15" s="1"/>
  <c r="Y31" i="15"/>
  <c r="W31" i="15"/>
  <c r="U31" i="15"/>
  <c r="P31" i="15"/>
  <c r="Q31" i="15" s="1"/>
  <c r="N31" i="15"/>
  <c r="K31" i="15"/>
  <c r="I31" i="15"/>
  <c r="AS30" i="15"/>
  <c r="AJ30" i="15"/>
  <c r="AB30" i="15"/>
  <c r="AC30" i="15" s="1"/>
  <c r="Z30" i="15"/>
  <c r="AA30" i="15" s="1"/>
  <c r="Y30" i="15"/>
  <c r="W30" i="15"/>
  <c r="U30" i="15"/>
  <c r="P30" i="15"/>
  <c r="Q30" i="15" s="1"/>
  <c r="N30" i="15"/>
  <c r="K30" i="15"/>
  <c r="I30" i="15"/>
  <c r="AS29" i="15"/>
  <c r="AJ29" i="15"/>
  <c r="AB29" i="15"/>
  <c r="AC29" i="15" s="1"/>
  <c r="Z29" i="15"/>
  <c r="AA29" i="15" s="1"/>
  <c r="Y29" i="15"/>
  <c r="W29" i="15"/>
  <c r="U29" i="15"/>
  <c r="P29" i="15"/>
  <c r="Q29" i="15" s="1"/>
  <c r="N29" i="15"/>
  <c r="K29" i="15"/>
  <c r="I29" i="15"/>
  <c r="AS28" i="15"/>
  <c r="AJ28" i="15"/>
  <c r="AB28" i="15"/>
  <c r="AC28" i="15" s="1"/>
  <c r="Z28" i="15"/>
  <c r="AA28" i="15" s="1"/>
  <c r="Y28" i="15"/>
  <c r="W28" i="15"/>
  <c r="U28" i="15"/>
  <c r="P28" i="15"/>
  <c r="Q28" i="15" s="1"/>
  <c r="N28" i="15"/>
  <c r="O28" i="15" s="1"/>
  <c r="K28" i="15"/>
  <c r="I28" i="15"/>
  <c r="AS27" i="15"/>
  <c r="AJ27" i="15"/>
  <c r="AB27" i="15"/>
  <c r="AC27" i="15" s="1"/>
  <c r="Z27" i="15"/>
  <c r="AA27" i="15" s="1"/>
  <c r="Y27" i="15"/>
  <c r="W27" i="15"/>
  <c r="U27" i="15"/>
  <c r="P27" i="15"/>
  <c r="Q27" i="15" s="1"/>
  <c r="N27" i="15"/>
  <c r="K27" i="15"/>
  <c r="I27" i="15"/>
  <c r="AS26" i="15"/>
  <c r="AJ26" i="15"/>
  <c r="AB26" i="15"/>
  <c r="AC26" i="15" s="1"/>
  <c r="Z26" i="15"/>
  <c r="AA26" i="15" s="1"/>
  <c r="Y26" i="15"/>
  <c r="W26" i="15"/>
  <c r="U26" i="15"/>
  <c r="P26" i="15"/>
  <c r="Q26" i="15" s="1"/>
  <c r="N26" i="15"/>
  <c r="O26" i="15" s="1"/>
  <c r="K26" i="15"/>
  <c r="I26" i="15"/>
  <c r="AS25" i="15"/>
  <c r="AJ25" i="15"/>
  <c r="AB25" i="15"/>
  <c r="AC25" i="15" s="1"/>
  <c r="Z25" i="15"/>
  <c r="AA25" i="15" s="1"/>
  <c r="Y25" i="15"/>
  <c r="W25" i="15"/>
  <c r="U25" i="15"/>
  <c r="P25" i="15"/>
  <c r="Q25" i="15" s="1"/>
  <c r="N25" i="15"/>
  <c r="O25" i="15" s="1"/>
  <c r="K25" i="15"/>
  <c r="I25" i="15"/>
  <c r="AS24" i="15"/>
  <c r="AJ24" i="15"/>
  <c r="AB24" i="15"/>
  <c r="AC24" i="15" s="1"/>
  <c r="Z24" i="15"/>
  <c r="AA24" i="15" s="1"/>
  <c r="Y24" i="15"/>
  <c r="W24" i="15"/>
  <c r="U24" i="15"/>
  <c r="P24" i="15"/>
  <c r="Q24" i="15" s="1"/>
  <c r="N24" i="15"/>
  <c r="O24" i="15" s="1"/>
  <c r="K24" i="15"/>
  <c r="I24" i="15"/>
  <c r="AS23" i="15"/>
  <c r="AJ23" i="15"/>
  <c r="AB23" i="15"/>
  <c r="AC23" i="15" s="1"/>
  <c r="Z23" i="15"/>
  <c r="AA23" i="15" s="1"/>
  <c r="Y23" i="15"/>
  <c r="W23" i="15"/>
  <c r="U23" i="15"/>
  <c r="P23" i="15"/>
  <c r="Q23" i="15" s="1"/>
  <c r="N23" i="15"/>
  <c r="O23" i="15" s="1"/>
  <c r="K23" i="15"/>
  <c r="I23" i="15"/>
  <c r="AS22" i="15"/>
  <c r="AJ22" i="15"/>
  <c r="AB22" i="15"/>
  <c r="AC22" i="15" s="1"/>
  <c r="Z22" i="15"/>
  <c r="AA22" i="15" s="1"/>
  <c r="Y22" i="15"/>
  <c r="W22" i="15"/>
  <c r="U22" i="15"/>
  <c r="P22" i="15"/>
  <c r="Q22" i="15" s="1"/>
  <c r="N22" i="15"/>
  <c r="K22" i="15"/>
  <c r="I22" i="15"/>
  <c r="AS21" i="15"/>
  <c r="AJ21" i="15"/>
  <c r="AB21" i="15"/>
  <c r="AC21" i="15" s="1"/>
  <c r="Z21" i="15"/>
  <c r="AA21" i="15" s="1"/>
  <c r="Y21" i="15"/>
  <c r="W21" i="15"/>
  <c r="U21" i="15"/>
  <c r="P21" i="15"/>
  <c r="Q21" i="15" s="1"/>
  <c r="N21" i="15"/>
  <c r="O21" i="15" s="1"/>
  <c r="K21" i="15"/>
  <c r="I21" i="15"/>
  <c r="AS20" i="15"/>
  <c r="AJ20" i="15"/>
  <c r="AB20" i="15"/>
  <c r="AC20" i="15" s="1"/>
  <c r="Z20" i="15"/>
  <c r="AA20" i="15" s="1"/>
  <c r="Y20" i="15"/>
  <c r="W20" i="15"/>
  <c r="U20" i="15"/>
  <c r="P20" i="15"/>
  <c r="Q20" i="15" s="1"/>
  <c r="N20" i="15"/>
  <c r="K20" i="15"/>
  <c r="I20" i="15"/>
  <c r="AS19" i="15"/>
  <c r="AJ19" i="15"/>
  <c r="AB19" i="15"/>
  <c r="AC19" i="15" s="1"/>
  <c r="Z19" i="15"/>
  <c r="AA19" i="15" s="1"/>
  <c r="Y19" i="15"/>
  <c r="W19" i="15"/>
  <c r="U19" i="15"/>
  <c r="P19" i="15"/>
  <c r="Q19" i="15" s="1"/>
  <c r="N19" i="15"/>
  <c r="O19" i="15" s="1"/>
  <c r="K19" i="15"/>
  <c r="I19" i="15"/>
  <c r="AS18" i="15"/>
  <c r="AJ18" i="15"/>
  <c r="AB18" i="15"/>
  <c r="AC18" i="15" s="1"/>
  <c r="Z18" i="15"/>
  <c r="AA18" i="15" s="1"/>
  <c r="Y18" i="15"/>
  <c r="W18" i="15"/>
  <c r="U18" i="15"/>
  <c r="P18" i="15"/>
  <c r="Q18" i="15" s="1"/>
  <c r="N18" i="15"/>
  <c r="O18" i="15" s="1"/>
  <c r="K18" i="15"/>
  <c r="I18" i="15"/>
  <c r="AS17" i="15"/>
  <c r="AJ17" i="15"/>
  <c r="AB17" i="15"/>
  <c r="AC17" i="15" s="1"/>
  <c r="Z17" i="15"/>
  <c r="AA17" i="15" s="1"/>
  <c r="Y17" i="15"/>
  <c r="W17" i="15"/>
  <c r="U17" i="15"/>
  <c r="P17" i="15"/>
  <c r="Q17" i="15" s="1"/>
  <c r="N17" i="15"/>
  <c r="O17" i="15" s="1"/>
  <c r="K17" i="15"/>
  <c r="I17" i="15"/>
  <c r="AS16" i="15"/>
  <c r="AJ16" i="15"/>
  <c r="AB16" i="15"/>
  <c r="AC16" i="15" s="1"/>
  <c r="Z16" i="15"/>
  <c r="AA16" i="15" s="1"/>
  <c r="Y16" i="15"/>
  <c r="W16" i="15"/>
  <c r="U16" i="15"/>
  <c r="P16" i="15"/>
  <c r="Q16" i="15" s="1"/>
  <c r="N16" i="15"/>
  <c r="O16" i="15" s="1"/>
  <c r="K16" i="15"/>
  <c r="I16" i="15"/>
  <c r="AS15" i="15"/>
  <c r="AJ15" i="15"/>
  <c r="AB15" i="15"/>
  <c r="AC15" i="15" s="1"/>
  <c r="Z15" i="15"/>
  <c r="AA15" i="15" s="1"/>
  <c r="Y15" i="15"/>
  <c r="W15" i="15"/>
  <c r="U15" i="15"/>
  <c r="P15" i="15"/>
  <c r="Q15" i="15" s="1"/>
  <c r="N15" i="15"/>
  <c r="O15" i="15" s="1"/>
  <c r="K15" i="15"/>
  <c r="I15" i="15"/>
  <c r="AS14" i="15"/>
  <c r="AJ14" i="15"/>
  <c r="AB14" i="15"/>
  <c r="AC14" i="15" s="1"/>
  <c r="Z14" i="15"/>
  <c r="AA14" i="15" s="1"/>
  <c r="Y14" i="15"/>
  <c r="W14" i="15"/>
  <c r="U14" i="15"/>
  <c r="P14" i="15"/>
  <c r="Q14" i="15" s="1"/>
  <c r="N14" i="15"/>
  <c r="K14" i="15"/>
  <c r="I14" i="15"/>
  <c r="AS13" i="15"/>
  <c r="AJ13" i="15"/>
  <c r="AB13" i="15"/>
  <c r="AC13" i="15" s="1"/>
  <c r="Z13" i="15"/>
  <c r="AA13" i="15" s="1"/>
  <c r="Y13" i="15"/>
  <c r="W13" i="15"/>
  <c r="U13" i="15"/>
  <c r="P13" i="15"/>
  <c r="Q13" i="15" s="1"/>
  <c r="N13" i="15"/>
  <c r="O13" i="15" s="1"/>
  <c r="K13" i="15"/>
  <c r="I13" i="15"/>
  <c r="AS12" i="15"/>
  <c r="AJ12" i="15"/>
  <c r="AB12" i="15"/>
  <c r="AC12" i="15" s="1"/>
  <c r="Z12" i="15"/>
  <c r="AA12" i="15" s="1"/>
  <c r="Y12" i="15"/>
  <c r="W12" i="15"/>
  <c r="U12" i="15"/>
  <c r="P12" i="15"/>
  <c r="Q12" i="15" s="1"/>
  <c r="N12" i="15"/>
  <c r="K12" i="15"/>
  <c r="I12" i="15"/>
  <c r="AS11" i="15"/>
  <c r="AJ11" i="15"/>
  <c r="AB11" i="15"/>
  <c r="AC11" i="15" s="1"/>
  <c r="Z11" i="15"/>
  <c r="AA11" i="15" s="1"/>
  <c r="Y11" i="15"/>
  <c r="W11" i="15"/>
  <c r="U11" i="15"/>
  <c r="P11" i="15"/>
  <c r="Q11" i="15" s="1"/>
  <c r="N11" i="15"/>
  <c r="O11" i="15" s="1"/>
  <c r="K11" i="15"/>
  <c r="I11" i="15"/>
  <c r="AS10" i="15"/>
  <c r="AJ10" i="15"/>
  <c r="AB10" i="15"/>
  <c r="AC10" i="15" s="1"/>
  <c r="Z10" i="15"/>
  <c r="AA10" i="15" s="1"/>
  <c r="Y10" i="15"/>
  <c r="W10" i="15"/>
  <c r="U10" i="15"/>
  <c r="P10" i="15"/>
  <c r="Q10" i="15" s="1"/>
  <c r="N10" i="15"/>
  <c r="O10" i="15" s="1"/>
  <c r="K10" i="15"/>
  <c r="I10" i="15"/>
  <c r="AS9" i="15"/>
  <c r="AJ9" i="15"/>
  <c r="AB9" i="15"/>
  <c r="AC9" i="15" s="1"/>
  <c r="Z9" i="15"/>
  <c r="AA9" i="15" s="1"/>
  <c r="Y9" i="15"/>
  <c r="W9" i="15"/>
  <c r="U9" i="15"/>
  <c r="P9" i="15"/>
  <c r="Q9" i="15" s="1"/>
  <c r="N9" i="15"/>
  <c r="O9" i="15" s="1"/>
  <c r="K9" i="15"/>
  <c r="I9" i="15"/>
  <c r="AS8" i="15"/>
  <c r="AJ8" i="15"/>
  <c r="AB8" i="15"/>
  <c r="AC8" i="15" s="1"/>
  <c r="Z8" i="15"/>
  <c r="AA8" i="15" s="1"/>
  <c r="Y8" i="15"/>
  <c r="W8" i="15"/>
  <c r="U8" i="15"/>
  <c r="P8" i="15"/>
  <c r="Q8" i="15" s="1"/>
  <c r="N8" i="15"/>
  <c r="O8" i="15" s="1"/>
  <c r="K8" i="15"/>
  <c r="I8" i="15"/>
  <c r="AS7" i="15"/>
  <c r="AJ7" i="15"/>
  <c r="AT7" i="15" s="1"/>
  <c r="AU7" i="15" s="1"/>
  <c r="AB7" i="15"/>
  <c r="AC7" i="15" s="1"/>
  <c r="Z7" i="15"/>
  <c r="AA7" i="15" s="1"/>
  <c r="Y7" i="15"/>
  <c r="W7" i="15"/>
  <c r="U7" i="15"/>
  <c r="P7" i="15"/>
  <c r="Q7" i="15" s="1"/>
  <c r="N7" i="15"/>
  <c r="O7" i="15" s="1"/>
  <c r="K7" i="15"/>
  <c r="I7" i="15"/>
  <c r="W5" i="15"/>
  <c r="F5" i="15"/>
  <c r="F13" i="15" s="1"/>
  <c r="D5" i="15"/>
  <c r="D29" i="15" s="1"/>
  <c r="C5" i="15"/>
  <c r="D38" i="15" s="1"/>
  <c r="AB4" i="15"/>
  <c r="Y4" i="15"/>
  <c r="W4" i="15"/>
  <c r="U4" i="15"/>
  <c r="K4" i="15"/>
  <c r="AS54" i="14"/>
  <c r="AJ54" i="14"/>
  <c r="AB54" i="14"/>
  <c r="AC54" i="14" s="1"/>
  <c r="Z54" i="14"/>
  <c r="AA54" i="14" s="1"/>
  <c r="Y54" i="14"/>
  <c r="W54" i="14"/>
  <c r="U54" i="14"/>
  <c r="P54" i="14"/>
  <c r="Q54" i="14" s="1"/>
  <c r="N54" i="14"/>
  <c r="O54" i="14" s="1"/>
  <c r="K54" i="14"/>
  <c r="I54" i="14"/>
  <c r="AS53" i="14"/>
  <c r="AJ53" i="14"/>
  <c r="AB53" i="14"/>
  <c r="AC53" i="14" s="1"/>
  <c r="Z53" i="14"/>
  <c r="AA53" i="14" s="1"/>
  <c r="Y53" i="14"/>
  <c r="W53" i="14"/>
  <c r="U53" i="14"/>
  <c r="P53" i="14"/>
  <c r="Q53" i="14" s="1"/>
  <c r="N53" i="14"/>
  <c r="O53" i="14" s="1"/>
  <c r="K53" i="14"/>
  <c r="I53" i="14"/>
  <c r="AS52" i="14"/>
  <c r="AJ52" i="14"/>
  <c r="AB52" i="14"/>
  <c r="AC52" i="14" s="1"/>
  <c r="Z52" i="14"/>
  <c r="AA52" i="14" s="1"/>
  <c r="Y52" i="14"/>
  <c r="W52" i="14"/>
  <c r="U52" i="14"/>
  <c r="P52" i="14"/>
  <c r="Q52" i="14" s="1"/>
  <c r="N52" i="14"/>
  <c r="O52" i="14" s="1"/>
  <c r="K52" i="14"/>
  <c r="I52" i="14"/>
  <c r="AS51" i="14"/>
  <c r="AJ51" i="14"/>
  <c r="AB51" i="14"/>
  <c r="AC51" i="14" s="1"/>
  <c r="Z51" i="14"/>
  <c r="AA51" i="14" s="1"/>
  <c r="Y51" i="14"/>
  <c r="W51" i="14"/>
  <c r="U51" i="14"/>
  <c r="P51" i="14"/>
  <c r="Q51" i="14" s="1"/>
  <c r="N51" i="14"/>
  <c r="O51" i="14" s="1"/>
  <c r="K51" i="14"/>
  <c r="I51" i="14"/>
  <c r="AS50" i="14"/>
  <c r="AJ50" i="14"/>
  <c r="AB50" i="14"/>
  <c r="AC50" i="14" s="1"/>
  <c r="Z50" i="14"/>
  <c r="AA50" i="14" s="1"/>
  <c r="Y50" i="14"/>
  <c r="W50" i="14"/>
  <c r="U50" i="14"/>
  <c r="P50" i="14"/>
  <c r="Q50" i="14" s="1"/>
  <c r="N50" i="14"/>
  <c r="O50" i="14" s="1"/>
  <c r="K50" i="14"/>
  <c r="I50" i="14"/>
  <c r="AS49" i="14"/>
  <c r="AJ49" i="14"/>
  <c r="AB49" i="14"/>
  <c r="AC49" i="14" s="1"/>
  <c r="Z49" i="14"/>
  <c r="AA49" i="14" s="1"/>
  <c r="Y49" i="14"/>
  <c r="W49" i="14"/>
  <c r="U49" i="14"/>
  <c r="P49" i="14"/>
  <c r="Q49" i="14" s="1"/>
  <c r="N49" i="14"/>
  <c r="O49" i="14" s="1"/>
  <c r="K49" i="14"/>
  <c r="I49" i="14"/>
  <c r="AS48" i="14"/>
  <c r="AJ48" i="14"/>
  <c r="AB48" i="14"/>
  <c r="AC48" i="14" s="1"/>
  <c r="Z48" i="14"/>
  <c r="AA48" i="14" s="1"/>
  <c r="Y48" i="14"/>
  <c r="W48" i="14"/>
  <c r="U48" i="14"/>
  <c r="P48" i="14"/>
  <c r="Q48" i="14" s="1"/>
  <c r="N48" i="14"/>
  <c r="O48" i="14" s="1"/>
  <c r="K48" i="14"/>
  <c r="I48" i="14"/>
  <c r="AS47" i="14"/>
  <c r="AJ47" i="14"/>
  <c r="AB47" i="14"/>
  <c r="AC47" i="14" s="1"/>
  <c r="Z47" i="14"/>
  <c r="AA47" i="14" s="1"/>
  <c r="Y47" i="14"/>
  <c r="W47" i="14"/>
  <c r="U47" i="14"/>
  <c r="P47" i="14"/>
  <c r="Q47" i="14" s="1"/>
  <c r="N47" i="14"/>
  <c r="K47" i="14"/>
  <c r="I47" i="14"/>
  <c r="AS46" i="14"/>
  <c r="AJ46" i="14"/>
  <c r="AB46" i="14"/>
  <c r="AC46" i="14" s="1"/>
  <c r="Z46" i="14"/>
  <c r="AA46" i="14" s="1"/>
  <c r="Y46" i="14"/>
  <c r="W46" i="14"/>
  <c r="U46" i="14"/>
  <c r="P46" i="14"/>
  <c r="Q46" i="14" s="1"/>
  <c r="N46" i="14"/>
  <c r="K46" i="14"/>
  <c r="I46" i="14"/>
  <c r="AS45" i="14"/>
  <c r="AJ45" i="14"/>
  <c r="AB45" i="14"/>
  <c r="AC45" i="14" s="1"/>
  <c r="Z45" i="14"/>
  <c r="AA45" i="14" s="1"/>
  <c r="Y45" i="14"/>
  <c r="W45" i="14"/>
  <c r="U45" i="14"/>
  <c r="P45" i="14"/>
  <c r="Q45" i="14" s="1"/>
  <c r="N45" i="14"/>
  <c r="O45" i="14" s="1"/>
  <c r="K45" i="14"/>
  <c r="I45" i="14"/>
  <c r="AS44" i="14"/>
  <c r="AJ44" i="14"/>
  <c r="AB44" i="14"/>
  <c r="AC44" i="14" s="1"/>
  <c r="Z44" i="14"/>
  <c r="AA44" i="14" s="1"/>
  <c r="Y44" i="14"/>
  <c r="W44" i="14"/>
  <c r="U44" i="14"/>
  <c r="P44" i="14"/>
  <c r="Q44" i="14" s="1"/>
  <c r="N44" i="14"/>
  <c r="K44" i="14"/>
  <c r="I44" i="14"/>
  <c r="AS43" i="14"/>
  <c r="AJ43" i="14"/>
  <c r="AB43" i="14"/>
  <c r="AC43" i="14" s="1"/>
  <c r="Z43" i="14"/>
  <c r="AA43" i="14" s="1"/>
  <c r="Y43" i="14"/>
  <c r="W43" i="14"/>
  <c r="U43" i="14"/>
  <c r="P43" i="14"/>
  <c r="Q43" i="14" s="1"/>
  <c r="N43" i="14"/>
  <c r="O43" i="14" s="1"/>
  <c r="K43" i="14"/>
  <c r="I43" i="14"/>
  <c r="AS42" i="14"/>
  <c r="AJ42" i="14"/>
  <c r="AB42" i="14"/>
  <c r="AC42" i="14" s="1"/>
  <c r="Z42" i="14"/>
  <c r="AA42" i="14" s="1"/>
  <c r="Y42" i="14"/>
  <c r="W42" i="14"/>
  <c r="U42" i="14"/>
  <c r="P42" i="14"/>
  <c r="Q42" i="14" s="1"/>
  <c r="N42" i="14"/>
  <c r="O42" i="14" s="1"/>
  <c r="K42" i="14"/>
  <c r="I42" i="14"/>
  <c r="AS41" i="14"/>
  <c r="AJ41" i="14"/>
  <c r="AB41" i="14"/>
  <c r="AC41" i="14" s="1"/>
  <c r="Z41" i="14"/>
  <c r="AA41" i="14" s="1"/>
  <c r="Y41" i="14"/>
  <c r="W41" i="14"/>
  <c r="U41" i="14"/>
  <c r="P41" i="14"/>
  <c r="Q41" i="14" s="1"/>
  <c r="N41" i="14"/>
  <c r="O41" i="14" s="1"/>
  <c r="K41" i="14"/>
  <c r="I41" i="14"/>
  <c r="AS40" i="14"/>
  <c r="AJ40" i="14"/>
  <c r="AB40" i="14"/>
  <c r="AC40" i="14" s="1"/>
  <c r="Z40" i="14"/>
  <c r="AA40" i="14" s="1"/>
  <c r="Y40" i="14"/>
  <c r="W40" i="14"/>
  <c r="U40" i="14"/>
  <c r="P40" i="14"/>
  <c r="Q40" i="14" s="1"/>
  <c r="N40" i="14"/>
  <c r="O40" i="14" s="1"/>
  <c r="K40" i="14"/>
  <c r="I40" i="14"/>
  <c r="AS39" i="14"/>
  <c r="AJ39" i="14"/>
  <c r="AB39" i="14"/>
  <c r="AC39" i="14" s="1"/>
  <c r="Z39" i="14"/>
  <c r="AA39" i="14" s="1"/>
  <c r="Y39" i="14"/>
  <c r="W39" i="14"/>
  <c r="U39" i="14"/>
  <c r="P39" i="14"/>
  <c r="Q39" i="14" s="1"/>
  <c r="N39" i="14"/>
  <c r="K39" i="14"/>
  <c r="I39" i="14"/>
  <c r="AS38" i="14"/>
  <c r="AJ38" i="14"/>
  <c r="AB38" i="14"/>
  <c r="AC38" i="14" s="1"/>
  <c r="Z38" i="14"/>
  <c r="AA38" i="14" s="1"/>
  <c r="Y38" i="14"/>
  <c r="W38" i="14"/>
  <c r="U38" i="14"/>
  <c r="P38" i="14"/>
  <c r="Q38" i="14" s="1"/>
  <c r="N38" i="14"/>
  <c r="O38" i="14" s="1"/>
  <c r="K38" i="14"/>
  <c r="I38" i="14"/>
  <c r="AS37" i="14"/>
  <c r="AJ37" i="14"/>
  <c r="AB37" i="14"/>
  <c r="AC37" i="14" s="1"/>
  <c r="Z37" i="14"/>
  <c r="AA37" i="14" s="1"/>
  <c r="Y37" i="14"/>
  <c r="W37" i="14"/>
  <c r="U37" i="14"/>
  <c r="P37" i="14"/>
  <c r="Q37" i="14" s="1"/>
  <c r="N37" i="14"/>
  <c r="O37" i="14" s="1"/>
  <c r="K37" i="14"/>
  <c r="I37" i="14"/>
  <c r="AS36" i="14"/>
  <c r="AJ36" i="14"/>
  <c r="AB36" i="14"/>
  <c r="AC36" i="14" s="1"/>
  <c r="Z36" i="14"/>
  <c r="AA36" i="14" s="1"/>
  <c r="Y36" i="14"/>
  <c r="W36" i="14"/>
  <c r="U36" i="14"/>
  <c r="P36" i="14"/>
  <c r="Q36" i="14" s="1"/>
  <c r="N36" i="14"/>
  <c r="O36" i="14" s="1"/>
  <c r="K36" i="14"/>
  <c r="I36" i="14"/>
  <c r="AS35" i="14"/>
  <c r="AJ35" i="14"/>
  <c r="AB35" i="14"/>
  <c r="AC35" i="14" s="1"/>
  <c r="Z35" i="14"/>
  <c r="AA35" i="14" s="1"/>
  <c r="Y35" i="14"/>
  <c r="W35" i="14"/>
  <c r="U35" i="14"/>
  <c r="P35" i="14"/>
  <c r="Q35" i="14" s="1"/>
  <c r="N35" i="14"/>
  <c r="O35" i="14" s="1"/>
  <c r="K35" i="14"/>
  <c r="I35" i="14"/>
  <c r="AS34" i="14"/>
  <c r="AJ34" i="14"/>
  <c r="AB34" i="14"/>
  <c r="AC34" i="14" s="1"/>
  <c r="Z34" i="14"/>
  <c r="AA34" i="14" s="1"/>
  <c r="Y34" i="14"/>
  <c r="W34" i="14"/>
  <c r="U34" i="14"/>
  <c r="P34" i="14"/>
  <c r="Q34" i="14" s="1"/>
  <c r="N34" i="14"/>
  <c r="O34" i="14" s="1"/>
  <c r="K34" i="14"/>
  <c r="I34" i="14"/>
  <c r="AS33" i="14"/>
  <c r="AJ33" i="14"/>
  <c r="AB33" i="14"/>
  <c r="AC33" i="14" s="1"/>
  <c r="Z33" i="14"/>
  <c r="AA33" i="14" s="1"/>
  <c r="Y33" i="14"/>
  <c r="W33" i="14"/>
  <c r="U33" i="14"/>
  <c r="P33" i="14"/>
  <c r="Q33" i="14" s="1"/>
  <c r="N33" i="14"/>
  <c r="O33" i="14" s="1"/>
  <c r="K33" i="14"/>
  <c r="I33" i="14"/>
  <c r="AS32" i="14"/>
  <c r="AJ32" i="14"/>
  <c r="AB32" i="14"/>
  <c r="AC32" i="14" s="1"/>
  <c r="Z32" i="14"/>
  <c r="AA32" i="14" s="1"/>
  <c r="Y32" i="14"/>
  <c r="W32" i="14"/>
  <c r="U32" i="14"/>
  <c r="P32" i="14"/>
  <c r="Q32" i="14" s="1"/>
  <c r="N32" i="14"/>
  <c r="O32" i="14" s="1"/>
  <c r="K32" i="14"/>
  <c r="I32" i="14"/>
  <c r="AS31" i="14"/>
  <c r="AJ31" i="14"/>
  <c r="AB31" i="14"/>
  <c r="AC31" i="14" s="1"/>
  <c r="Z31" i="14"/>
  <c r="AA31" i="14" s="1"/>
  <c r="Y31" i="14"/>
  <c r="W31" i="14"/>
  <c r="U31" i="14"/>
  <c r="P31" i="14"/>
  <c r="Q31" i="14" s="1"/>
  <c r="N31" i="14"/>
  <c r="K31" i="14"/>
  <c r="I31" i="14"/>
  <c r="AS30" i="14"/>
  <c r="AJ30" i="14"/>
  <c r="AB30" i="14"/>
  <c r="AC30" i="14" s="1"/>
  <c r="Z30" i="14"/>
  <c r="AA30" i="14" s="1"/>
  <c r="Y30" i="14"/>
  <c r="W30" i="14"/>
  <c r="U30" i="14"/>
  <c r="P30" i="14"/>
  <c r="Q30" i="14" s="1"/>
  <c r="N30" i="14"/>
  <c r="K30" i="14"/>
  <c r="I30" i="14"/>
  <c r="AS29" i="14"/>
  <c r="AJ29" i="14"/>
  <c r="AB29" i="14"/>
  <c r="AC29" i="14" s="1"/>
  <c r="Z29" i="14"/>
  <c r="AA29" i="14" s="1"/>
  <c r="Y29" i="14"/>
  <c r="W29" i="14"/>
  <c r="U29" i="14"/>
  <c r="P29" i="14"/>
  <c r="Q29" i="14" s="1"/>
  <c r="N29" i="14"/>
  <c r="O29" i="14" s="1"/>
  <c r="K29" i="14"/>
  <c r="I29" i="14"/>
  <c r="AS28" i="14"/>
  <c r="AJ28" i="14"/>
  <c r="AB28" i="14"/>
  <c r="AC28" i="14" s="1"/>
  <c r="Z28" i="14"/>
  <c r="AA28" i="14" s="1"/>
  <c r="Y28" i="14"/>
  <c r="W28" i="14"/>
  <c r="U28" i="14"/>
  <c r="P28" i="14"/>
  <c r="Q28" i="14" s="1"/>
  <c r="N28" i="14"/>
  <c r="O28" i="14" s="1"/>
  <c r="K28" i="14"/>
  <c r="I28" i="14"/>
  <c r="AS27" i="14"/>
  <c r="AJ27" i="14"/>
  <c r="AB27" i="14"/>
  <c r="AC27" i="14" s="1"/>
  <c r="Z27" i="14"/>
  <c r="AA27" i="14" s="1"/>
  <c r="Y27" i="14"/>
  <c r="W27" i="14"/>
  <c r="U27" i="14"/>
  <c r="P27" i="14"/>
  <c r="Q27" i="14" s="1"/>
  <c r="N27" i="14"/>
  <c r="O27" i="14" s="1"/>
  <c r="K27" i="14"/>
  <c r="I27" i="14"/>
  <c r="AS26" i="14"/>
  <c r="AJ26" i="14"/>
  <c r="AB26" i="14"/>
  <c r="AC26" i="14" s="1"/>
  <c r="Z26" i="14"/>
  <c r="AA26" i="14" s="1"/>
  <c r="Y26" i="14"/>
  <c r="W26" i="14"/>
  <c r="U26" i="14"/>
  <c r="P26" i="14"/>
  <c r="Q26" i="14" s="1"/>
  <c r="N26" i="14"/>
  <c r="O26" i="14" s="1"/>
  <c r="K26" i="14"/>
  <c r="I26" i="14"/>
  <c r="AS25" i="14"/>
  <c r="AJ25" i="14"/>
  <c r="AB25" i="14"/>
  <c r="AC25" i="14" s="1"/>
  <c r="Z25" i="14"/>
  <c r="AA25" i="14" s="1"/>
  <c r="Y25" i="14"/>
  <c r="W25" i="14"/>
  <c r="U25" i="14"/>
  <c r="P25" i="14"/>
  <c r="Q25" i="14" s="1"/>
  <c r="N25" i="14"/>
  <c r="O25" i="14" s="1"/>
  <c r="K25" i="14"/>
  <c r="I25" i="14"/>
  <c r="AS24" i="14"/>
  <c r="AJ24" i="14"/>
  <c r="AB24" i="14"/>
  <c r="AC24" i="14" s="1"/>
  <c r="Z24" i="14"/>
  <c r="AA24" i="14" s="1"/>
  <c r="Y24" i="14"/>
  <c r="W24" i="14"/>
  <c r="U24" i="14"/>
  <c r="P24" i="14"/>
  <c r="Q24" i="14" s="1"/>
  <c r="N24" i="14"/>
  <c r="K24" i="14"/>
  <c r="I24" i="14"/>
  <c r="AS23" i="14"/>
  <c r="AJ23" i="14"/>
  <c r="AB23" i="14"/>
  <c r="AC23" i="14" s="1"/>
  <c r="Z23" i="14"/>
  <c r="AA23" i="14" s="1"/>
  <c r="Y23" i="14"/>
  <c r="W23" i="14"/>
  <c r="U23" i="14"/>
  <c r="P23" i="14"/>
  <c r="Q23" i="14" s="1"/>
  <c r="N23" i="14"/>
  <c r="K23" i="14"/>
  <c r="I23" i="14"/>
  <c r="AS22" i="14"/>
  <c r="AJ22" i="14"/>
  <c r="AB22" i="14"/>
  <c r="AC22" i="14" s="1"/>
  <c r="Z22" i="14"/>
  <c r="AA22" i="14" s="1"/>
  <c r="Y22" i="14"/>
  <c r="W22" i="14"/>
  <c r="U22" i="14"/>
  <c r="P22" i="14"/>
  <c r="Q22" i="14" s="1"/>
  <c r="N22" i="14"/>
  <c r="K22" i="14"/>
  <c r="I22" i="14"/>
  <c r="AS21" i="14"/>
  <c r="AJ21" i="14"/>
  <c r="AB21" i="14"/>
  <c r="AC21" i="14" s="1"/>
  <c r="Z21" i="14"/>
  <c r="AA21" i="14" s="1"/>
  <c r="Y21" i="14"/>
  <c r="W21" i="14"/>
  <c r="U21" i="14"/>
  <c r="P21" i="14"/>
  <c r="Q21" i="14" s="1"/>
  <c r="N21" i="14"/>
  <c r="O21" i="14" s="1"/>
  <c r="K21" i="14"/>
  <c r="I21" i="14"/>
  <c r="AS20" i="14"/>
  <c r="AJ20" i="14"/>
  <c r="AB20" i="14"/>
  <c r="AC20" i="14" s="1"/>
  <c r="Z20" i="14"/>
  <c r="AA20" i="14" s="1"/>
  <c r="Y20" i="14"/>
  <c r="W20" i="14"/>
  <c r="U20" i="14"/>
  <c r="P20" i="14"/>
  <c r="Q20" i="14" s="1"/>
  <c r="N20" i="14"/>
  <c r="O20" i="14" s="1"/>
  <c r="K20" i="14"/>
  <c r="I20" i="14"/>
  <c r="AS19" i="14"/>
  <c r="AJ19" i="14"/>
  <c r="AB19" i="14"/>
  <c r="AC19" i="14" s="1"/>
  <c r="Z19" i="14"/>
  <c r="AA19" i="14" s="1"/>
  <c r="Y19" i="14"/>
  <c r="W19" i="14"/>
  <c r="U19" i="14"/>
  <c r="P19" i="14"/>
  <c r="Q19" i="14" s="1"/>
  <c r="N19" i="14"/>
  <c r="K19" i="14"/>
  <c r="I19" i="14"/>
  <c r="AS18" i="14"/>
  <c r="AJ18" i="14"/>
  <c r="AB18" i="14"/>
  <c r="AC18" i="14" s="1"/>
  <c r="Z18" i="14"/>
  <c r="AA18" i="14" s="1"/>
  <c r="Y18" i="14"/>
  <c r="W18" i="14"/>
  <c r="U18" i="14"/>
  <c r="P18" i="14"/>
  <c r="Q18" i="14" s="1"/>
  <c r="N18" i="14"/>
  <c r="K18" i="14"/>
  <c r="I18" i="14"/>
  <c r="AS17" i="14"/>
  <c r="AJ17" i="14"/>
  <c r="AB17" i="14"/>
  <c r="AC17" i="14" s="1"/>
  <c r="Z17" i="14"/>
  <c r="AA17" i="14" s="1"/>
  <c r="Y17" i="14"/>
  <c r="W17" i="14"/>
  <c r="U17" i="14"/>
  <c r="P17" i="14"/>
  <c r="Q17" i="14" s="1"/>
  <c r="N17" i="14"/>
  <c r="K17" i="14"/>
  <c r="I17" i="14"/>
  <c r="AS16" i="14"/>
  <c r="AJ16" i="14"/>
  <c r="AB16" i="14"/>
  <c r="AC16" i="14" s="1"/>
  <c r="Z16" i="14"/>
  <c r="AA16" i="14" s="1"/>
  <c r="Y16" i="14"/>
  <c r="W16" i="14"/>
  <c r="U16" i="14"/>
  <c r="P16" i="14"/>
  <c r="Q16" i="14" s="1"/>
  <c r="N16" i="14"/>
  <c r="K16" i="14"/>
  <c r="I16" i="14"/>
  <c r="AS15" i="14"/>
  <c r="AJ15" i="14"/>
  <c r="AB15" i="14"/>
  <c r="AC15" i="14" s="1"/>
  <c r="Z15" i="14"/>
  <c r="AA15" i="14" s="1"/>
  <c r="Y15" i="14"/>
  <c r="W15" i="14"/>
  <c r="U15" i="14"/>
  <c r="P15" i="14"/>
  <c r="Q15" i="14" s="1"/>
  <c r="N15" i="14"/>
  <c r="K15" i="14"/>
  <c r="I15" i="14"/>
  <c r="AS14" i="14"/>
  <c r="AJ14" i="14"/>
  <c r="AB14" i="14"/>
  <c r="AC14" i="14" s="1"/>
  <c r="Z14" i="14"/>
  <c r="AA14" i="14" s="1"/>
  <c r="Y14" i="14"/>
  <c r="W14" i="14"/>
  <c r="U14" i="14"/>
  <c r="P14" i="14"/>
  <c r="Q14" i="14" s="1"/>
  <c r="N14" i="14"/>
  <c r="K14" i="14"/>
  <c r="I14" i="14"/>
  <c r="AS13" i="14"/>
  <c r="AJ13" i="14"/>
  <c r="AB13" i="14"/>
  <c r="AC13" i="14" s="1"/>
  <c r="Z13" i="14"/>
  <c r="AA13" i="14" s="1"/>
  <c r="Y13" i="14"/>
  <c r="W13" i="14"/>
  <c r="U13" i="14"/>
  <c r="P13" i="14"/>
  <c r="Q13" i="14" s="1"/>
  <c r="N13" i="14"/>
  <c r="O13" i="14" s="1"/>
  <c r="K13" i="14"/>
  <c r="I13" i="14"/>
  <c r="AS12" i="14"/>
  <c r="AJ12" i="14"/>
  <c r="AB12" i="14"/>
  <c r="AC12" i="14" s="1"/>
  <c r="Z12" i="14"/>
  <c r="AA12" i="14" s="1"/>
  <c r="Y12" i="14"/>
  <c r="W12" i="14"/>
  <c r="U12" i="14"/>
  <c r="P12" i="14"/>
  <c r="Q12" i="14" s="1"/>
  <c r="N12" i="14"/>
  <c r="O12" i="14" s="1"/>
  <c r="K12" i="14"/>
  <c r="I12" i="14"/>
  <c r="AS11" i="14"/>
  <c r="AJ11" i="14"/>
  <c r="AB11" i="14"/>
  <c r="AC11" i="14" s="1"/>
  <c r="Z11" i="14"/>
  <c r="AA11" i="14" s="1"/>
  <c r="Y11" i="14"/>
  <c r="W11" i="14"/>
  <c r="U11" i="14"/>
  <c r="P11" i="14"/>
  <c r="Q11" i="14" s="1"/>
  <c r="N11" i="14"/>
  <c r="K11" i="14"/>
  <c r="I11" i="14"/>
  <c r="AS10" i="14"/>
  <c r="AJ10" i="14"/>
  <c r="AB10" i="14"/>
  <c r="AC10" i="14" s="1"/>
  <c r="Z10" i="14"/>
  <c r="AA10" i="14" s="1"/>
  <c r="Y10" i="14"/>
  <c r="W10" i="14"/>
  <c r="U10" i="14"/>
  <c r="P10" i="14"/>
  <c r="Q10" i="14" s="1"/>
  <c r="N10" i="14"/>
  <c r="O10" i="14" s="1"/>
  <c r="K10" i="14"/>
  <c r="I10" i="14"/>
  <c r="AS9" i="14"/>
  <c r="AJ9" i="14"/>
  <c r="AB9" i="14"/>
  <c r="AC9" i="14" s="1"/>
  <c r="Z9" i="14"/>
  <c r="AA9" i="14" s="1"/>
  <c r="Y9" i="14"/>
  <c r="W9" i="14"/>
  <c r="U9" i="14"/>
  <c r="P9" i="14"/>
  <c r="Q9" i="14" s="1"/>
  <c r="N9" i="14"/>
  <c r="K9" i="14"/>
  <c r="I9" i="14"/>
  <c r="AS8" i="14"/>
  <c r="AJ8" i="14"/>
  <c r="AB8" i="14"/>
  <c r="AC8" i="14" s="1"/>
  <c r="Z8" i="14"/>
  <c r="AA8" i="14" s="1"/>
  <c r="Y8" i="14"/>
  <c r="W8" i="14"/>
  <c r="U8" i="14"/>
  <c r="P8" i="14"/>
  <c r="Q8" i="14" s="1"/>
  <c r="N8" i="14"/>
  <c r="O8" i="14" s="1"/>
  <c r="K8" i="14"/>
  <c r="I8" i="14"/>
  <c r="AS7" i="14"/>
  <c r="AJ7" i="14"/>
  <c r="AB7" i="14"/>
  <c r="AC7" i="14" s="1"/>
  <c r="Z7" i="14"/>
  <c r="AA7" i="14" s="1"/>
  <c r="Y7" i="14"/>
  <c r="W7" i="14"/>
  <c r="U7" i="14"/>
  <c r="P7" i="14"/>
  <c r="Q7" i="14" s="1"/>
  <c r="N7" i="14"/>
  <c r="O7" i="14" s="1"/>
  <c r="K7" i="14"/>
  <c r="I7" i="14"/>
  <c r="W5" i="14"/>
  <c r="F5" i="14"/>
  <c r="F13" i="14" s="1"/>
  <c r="D5" i="14"/>
  <c r="D13" i="14" s="1"/>
  <c r="C5" i="14"/>
  <c r="D48" i="14" s="1"/>
  <c r="AB4" i="14"/>
  <c r="W4" i="14"/>
  <c r="U4" i="14"/>
  <c r="K4" i="14"/>
  <c r="AN54" i="13"/>
  <c r="AE54" i="13"/>
  <c r="AO54" i="13" s="1"/>
  <c r="AP54" i="13" s="1"/>
  <c r="AS54" i="13" s="1"/>
  <c r="AU54" i="13" s="1"/>
  <c r="M475" i="1" s="1"/>
  <c r="U54" i="13"/>
  <c r="P54" i="13"/>
  <c r="Q54" i="13" s="1"/>
  <c r="N54" i="13"/>
  <c r="K54" i="13"/>
  <c r="I54" i="13"/>
  <c r="AN53" i="13"/>
  <c r="AE53" i="13"/>
  <c r="U53" i="13"/>
  <c r="P53" i="13"/>
  <c r="Q53" i="13" s="1"/>
  <c r="N53" i="13"/>
  <c r="K53" i="13"/>
  <c r="I53" i="13"/>
  <c r="AN52" i="13"/>
  <c r="AE52" i="13"/>
  <c r="U52" i="13"/>
  <c r="P52" i="13"/>
  <c r="Q52" i="13" s="1"/>
  <c r="N52" i="13"/>
  <c r="K52" i="13"/>
  <c r="I52" i="13"/>
  <c r="AN51" i="13"/>
  <c r="AE51" i="13"/>
  <c r="U51" i="13"/>
  <c r="P51" i="13"/>
  <c r="Q51" i="13" s="1"/>
  <c r="N51" i="13"/>
  <c r="O51" i="13" s="1"/>
  <c r="K51" i="13"/>
  <c r="I51" i="13"/>
  <c r="AN50" i="13"/>
  <c r="AE50" i="13"/>
  <c r="U50" i="13"/>
  <c r="P50" i="13"/>
  <c r="Q50" i="13" s="1"/>
  <c r="N50" i="13"/>
  <c r="K50" i="13"/>
  <c r="I50" i="13"/>
  <c r="AN49" i="13"/>
  <c r="AE49" i="13"/>
  <c r="U49" i="13"/>
  <c r="P49" i="13"/>
  <c r="Q49" i="13" s="1"/>
  <c r="N49" i="13"/>
  <c r="O49" i="13" s="1"/>
  <c r="K49" i="13"/>
  <c r="I49" i="13"/>
  <c r="AN48" i="13"/>
  <c r="AE48" i="13"/>
  <c r="U48" i="13"/>
  <c r="P48" i="13"/>
  <c r="Q48" i="13" s="1"/>
  <c r="N48" i="13"/>
  <c r="K48" i="13"/>
  <c r="I48" i="13"/>
  <c r="AN47" i="13"/>
  <c r="AE47" i="13"/>
  <c r="U47" i="13"/>
  <c r="P47" i="13"/>
  <c r="Q47" i="13" s="1"/>
  <c r="N47" i="13"/>
  <c r="O47" i="13" s="1"/>
  <c r="K47" i="13"/>
  <c r="I47" i="13"/>
  <c r="AN46" i="13"/>
  <c r="AE46" i="13"/>
  <c r="U46" i="13"/>
  <c r="P46" i="13"/>
  <c r="Q46" i="13" s="1"/>
  <c r="N46" i="13"/>
  <c r="K46" i="13"/>
  <c r="I46" i="13"/>
  <c r="AN45" i="13"/>
  <c r="AE45" i="13"/>
  <c r="U45" i="13"/>
  <c r="P45" i="13"/>
  <c r="Q45" i="13" s="1"/>
  <c r="N45" i="13"/>
  <c r="O45" i="13" s="1"/>
  <c r="K45" i="13"/>
  <c r="I45" i="13"/>
  <c r="AN44" i="13"/>
  <c r="AE44" i="13"/>
  <c r="U44" i="13"/>
  <c r="P44" i="13"/>
  <c r="Q44" i="13" s="1"/>
  <c r="N44" i="13"/>
  <c r="K44" i="13"/>
  <c r="I44" i="13"/>
  <c r="AN43" i="13"/>
  <c r="AE43" i="13"/>
  <c r="U43" i="13"/>
  <c r="P43" i="13"/>
  <c r="Q43" i="13" s="1"/>
  <c r="N43" i="13"/>
  <c r="O43" i="13" s="1"/>
  <c r="K43" i="13"/>
  <c r="I43" i="13"/>
  <c r="AN42" i="13"/>
  <c r="AE42" i="13"/>
  <c r="U42" i="13"/>
  <c r="P42" i="13"/>
  <c r="Q42" i="13" s="1"/>
  <c r="N42" i="13"/>
  <c r="O42" i="13" s="1"/>
  <c r="K42" i="13"/>
  <c r="I42" i="13"/>
  <c r="AN41" i="13"/>
  <c r="AE41" i="13"/>
  <c r="U41" i="13"/>
  <c r="P41" i="13"/>
  <c r="Q41" i="13" s="1"/>
  <c r="N41" i="13"/>
  <c r="O41" i="13" s="1"/>
  <c r="K41" i="13"/>
  <c r="I41" i="13"/>
  <c r="AN40" i="13"/>
  <c r="AE40" i="13"/>
  <c r="U40" i="13"/>
  <c r="P40" i="13"/>
  <c r="Q40" i="13" s="1"/>
  <c r="N40" i="13"/>
  <c r="K40" i="13"/>
  <c r="I40" i="13"/>
  <c r="AN39" i="13"/>
  <c r="AE39" i="13"/>
  <c r="U39" i="13"/>
  <c r="P39" i="13"/>
  <c r="Q39" i="13" s="1"/>
  <c r="N39" i="13"/>
  <c r="O39" i="13" s="1"/>
  <c r="K39" i="13"/>
  <c r="I39" i="13"/>
  <c r="AN38" i="13"/>
  <c r="AE38" i="13"/>
  <c r="U38" i="13"/>
  <c r="P38" i="13"/>
  <c r="Q38" i="13" s="1"/>
  <c r="N38" i="13"/>
  <c r="K38" i="13"/>
  <c r="I38" i="13"/>
  <c r="AN37" i="13"/>
  <c r="AE37" i="13"/>
  <c r="U37" i="13"/>
  <c r="P37" i="13"/>
  <c r="Q37" i="13" s="1"/>
  <c r="N37" i="13"/>
  <c r="O37" i="13" s="1"/>
  <c r="K37" i="13"/>
  <c r="I37" i="13"/>
  <c r="AN36" i="13"/>
  <c r="AE36" i="13"/>
  <c r="U36" i="13"/>
  <c r="P36" i="13"/>
  <c r="Q36" i="13" s="1"/>
  <c r="N36" i="13"/>
  <c r="K36" i="13"/>
  <c r="I36" i="13"/>
  <c r="AN35" i="13"/>
  <c r="AE35" i="13"/>
  <c r="U35" i="13"/>
  <c r="P35" i="13"/>
  <c r="Q35" i="13" s="1"/>
  <c r="N35" i="13"/>
  <c r="O35" i="13" s="1"/>
  <c r="K35" i="13"/>
  <c r="I35" i="13"/>
  <c r="AN34" i="13"/>
  <c r="AE34" i="13"/>
  <c r="U34" i="13"/>
  <c r="P34" i="13"/>
  <c r="Q34" i="13" s="1"/>
  <c r="N34" i="13"/>
  <c r="K34" i="13"/>
  <c r="I34" i="13"/>
  <c r="AN33" i="13"/>
  <c r="AE33" i="13"/>
  <c r="U33" i="13"/>
  <c r="P33" i="13"/>
  <c r="Q33" i="13" s="1"/>
  <c r="N33" i="13"/>
  <c r="K33" i="13"/>
  <c r="I33" i="13"/>
  <c r="AN32" i="13"/>
  <c r="AE32" i="13"/>
  <c r="U32" i="13"/>
  <c r="P32" i="13"/>
  <c r="Q32" i="13" s="1"/>
  <c r="N32" i="13"/>
  <c r="K32" i="13"/>
  <c r="I32" i="13"/>
  <c r="AN31" i="13"/>
  <c r="AE31" i="13"/>
  <c r="U31" i="13"/>
  <c r="P31" i="13"/>
  <c r="Q31" i="13" s="1"/>
  <c r="N31" i="13"/>
  <c r="K31" i="13"/>
  <c r="I31" i="13"/>
  <c r="AN30" i="13"/>
  <c r="AE30" i="13"/>
  <c r="U30" i="13"/>
  <c r="P30" i="13"/>
  <c r="Q30" i="13" s="1"/>
  <c r="N30" i="13"/>
  <c r="O30" i="13" s="1"/>
  <c r="K30" i="13"/>
  <c r="I30" i="13"/>
  <c r="AN29" i="13"/>
  <c r="AE29" i="13"/>
  <c r="U29" i="13"/>
  <c r="P29" i="13"/>
  <c r="Q29" i="13" s="1"/>
  <c r="N29" i="13"/>
  <c r="K29" i="13"/>
  <c r="I29" i="13"/>
  <c r="AN28" i="13"/>
  <c r="AE28" i="13"/>
  <c r="U28" i="13"/>
  <c r="P28" i="13"/>
  <c r="Q28" i="13" s="1"/>
  <c r="N28" i="13"/>
  <c r="O28" i="13" s="1"/>
  <c r="K28" i="13"/>
  <c r="I28" i="13"/>
  <c r="AN27" i="13"/>
  <c r="AE27" i="13"/>
  <c r="U27" i="13"/>
  <c r="P27" i="13"/>
  <c r="Q27" i="13" s="1"/>
  <c r="N27" i="13"/>
  <c r="O27" i="13" s="1"/>
  <c r="K27" i="13"/>
  <c r="I27" i="13"/>
  <c r="AN26" i="13"/>
  <c r="AE26" i="13"/>
  <c r="U26" i="13"/>
  <c r="P26" i="13"/>
  <c r="Q26" i="13" s="1"/>
  <c r="N26" i="13"/>
  <c r="O26" i="13" s="1"/>
  <c r="K26" i="13"/>
  <c r="I26" i="13"/>
  <c r="AN25" i="13"/>
  <c r="AE25" i="13"/>
  <c r="U25" i="13"/>
  <c r="P25" i="13"/>
  <c r="Q25" i="13" s="1"/>
  <c r="N25" i="13"/>
  <c r="O25" i="13" s="1"/>
  <c r="K25" i="13"/>
  <c r="I25" i="13"/>
  <c r="AN24" i="13"/>
  <c r="AE24" i="13"/>
  <c r="U24" i="13"/>
  <c r="P24" i="13"/>
  <c r="Q24" i="13" s="1"/>
  <c r="N24" i="13"/>
  <c r="K24" i="13"/>
  <c r="I24" i="13"/>
  <c r="AN23" i="13"/>
  <c r="AE23" i="13"/>
  <c r="U23" i="13"/>
  <c r="P23" i="13"/>
  <c r="Q23" i="13" s="1"/>
  <c r="N23" i="13"/>
  <c r="K23" i="13"/>
  <c r="I23" i="13"/>
  <c r="AN22" i="13"/>
  <c r="AE22" i="13"/>
  <c r="U22" i="13"/>
  <c r="P22" i="13"/>
  <c r="Q22" i="13" s="1"/>
  <c r="N22" i="13"/>
  <c r="O22" i="13" s="1"/>
  <c r="K22" i="13"/>
  <c r="I22" i="13"/>
  <c r="AN21" i="13"/>
  <c r="AE21" i="13"/>
  <c r="U21" i="13"/>
  <c r="P21" i="13"/>
  <c r="Q21" i="13" s="1"/>
  <c r="N21" i="13"/>
  <c r="K21" i="13"/>
  <c r="I21" i="13"/>
  <c r="AN20" i="13"/>
  <c r="AE20" i="13"/>
  <c r="U20" i="13"/>
  <c r="P20" i="13"/>
  <c r="Q20" i="13" s="1"/>
  <c r="N20" i="13"/>
  <c r="O20" i="13" s="1"/>
  <c r="K20" i="13"/>
  <c r="I20" i="13"/>
  <c r="AN19" i="13"/>
  <c r="AE19" i="13"/>
  <c r="U19" i="13"/>
  <c r="P19" i="13"/>
  <c r="Q19" i="13" s="1"/>
  <c r="N19" i="13"/>
  <c r="O19" i="13" s="1"/>
  <c r="K19" i="13"/>
  <c r="I19" i="13"/>
  <c r="AN18" i="13"/>
  <c r="AE18" i="13"/>
  <c r="U18" i="13"/>
  <c r="P18" i="13"/>
  <c r="Q18" i="13" s="1"/>
  <c r="N18" i="13"/>
  <c r="K18" i="13"/>
  <c r="I18" i="13"/>
  <c r="AN17" i="13"/>
  <c r="AE17" i="13"/>
  <c r="U17" i="13"/>
  <c r="P17" i="13"/>
  <c r="Q17" i="13" s="1"/>
  <c r="N17" i="13"/>
  <c r="K17" i="13"/>
  <c r="I17" i="13"/>
  <c r="AN16" i="13"/>
  <c r="AE16" i="13"/>
  <c r="U16" i="13"/>
  <c r="P16" i="13"/>
  <c r="Q16" i="13" s="1"/>
  <c r="N16" i="13"/>
  <c r="K16" i="13"/>
  <c r="I16" i="13"/>
  <c r="AN15" i="13"/>
  <c r="AE15" i="13"/>
  <c r="U15" i="13"/>
  <c r="P15" i="13"/>
  <c r="Q15" i="13" s="1"/>
  <c r="N15" i="13"/>
  <c r="K15" i="13"/>
  <c r="I15" i="13"/>
  <c r="AN14" i="13"/>
  <c r="AE14" i="13"/>
  <c r="U14" i="13"/>
  <c r="P14" i="13"/>
  <c r="Q14" i="13" s="1"/>
  <c r="N14" i="13"/>
  <c r="O14" i="13" s="1"/>
  <c r="K14" i="13"/>
  <c r="I14" i="13"/>
  <c r="AN13" i="13"/>
  <c r="AE13" i="13"/>
  <c r="U13" i="13"/>
  <c r="P13" i="13"/>
  <c r="Q13" i="13" s="1"/>
  <c r="N13" i="13"/>
  <c r="K13" i="13"/>
  <c r="I13" i="13"/>
  <c r="AN12" i="13"/>
  <c r="AE12" i="13"/>
  <c r="U12" i="13"/>
  <c r="P12" i="13"/>
  <c r="Q12" i="13" s="1"/>
  <c r="N12" i="13"/>
  <c r="K12" i="13"/>
  <c r="I12" i="13"/>
  <c r="AN11" i="13"/>
  <c r="AE11" i="13"/>
  <c r="U11" i="13"/>
  <c r="P11" i="13"/>
  <c r="Q11" i="13" s="1"/>
  <c r="N11" i="13"/>
  <c r="O11" i="13" s="1"/>
  <c r="K11" i="13"/>
  <c r="I11" i="13"/>
  <c r="AN10" i="13"/>
  <c r="AE10" i="13"/>
  <c r="U10" i="13"/>
  <c r="P10" i="13"/>
  <c r="Q10" i="13" s="1"/>
  <c r="N10" i="13"/>
  <c r="K10" i="13"/>
  <c r="I10" i="13"/>
  <c r="AN9" i="13"/>
  <c r="AE9" i="13"/>
  <c r="U9" i="13"/>
  <c r="P9" i="13"/>
  <c r="Q9" i="13" s="1"/>
  <c r="N9" i="13"/>
  <c r="O9" i="13" s="1"/>
  <c r="K9" i="13"/>
  <c r="I9" i="13"/>
  <c r="AN8" i="13"/>
  <c r="AE8" i="13"/>
  <c r="U8" i="13"/>
  <c r="P8" i="13"/>
  <c r="Q8" i="13" s="1"/>
  <c r="N8" i="13"/>
  <c r="K8" i="13"/>
  <c r="I8" i="13"/>
  <c r="AN7" i="13"/>
  <c r="AE7" i="13"/>
  <c r="U7" i="13"/>
  <c r="P7" i="13"/>
  <c r="Q7" i="13" s="1"/>
  <c r="N7" i="13"/>
  <c r="O7" i="13" s="1"/>
  <c r="K7" i="13"/>
  <c r="I7" i="13"/>
  <c r="F5" i="13"/>
  <c r="F15" i="13" s="1"/>
  <c r="D5" i="13"/>
  <c r="D27" i="13" s="1"/>
  <c r="C5" i="13"/>
  <c r="D49" i="13" s="1"/>
  <c r="X4" i="13"/>
  <c r="U4" i="13"/>
  <c r="K4" i="13"/>
  <c r="AC54" i="12"/>
  <c r="W54" i="12"/>
  <c r="Q54" i="12"/>
  <c r="N54" i="12"/>
  <c r="O54" i="12" s="1"/>
  <c r="L54" i="12"/>
  <c r="M54" i="12" s="1"/>
  <c r="K54" i="12"/>
  <c r="I54" i="12"/>
  <c r="AC53" i="12"/>
  <c r="W53" i="12"/>
  <c r="Q53" i="12"/>
  <c r="N53" i="12"/>
  <c r="O53" i="12" s="1"/>
  <c r="L53" i="12"/>
  <c r="M53" i="12" s="1"/>
  <c r="K53" i="12"/>
  <c r="I53" i="12"/>
  <c r="AC52" i="12"/>
  <c r="W52" i="12"/>
  <c r="Q52" i="12"/>
  <c r="N52" i="12"/>
  <c r="O52" i="12" s="1"/>
  <c r="L52" i="12"/>
  <c r="M52" i="12" s="1"/>
  <c r="K52" i="12"/>
  <c r="I52" i="12"/>
  <c r="AC51" i="12"/>
  <c r="W51" i="12"/>
  <c r="Q51" i="12"/>
  <c r="N51" i="12"/>
  <c r="O51" i="12" s="1"/>
  <c r="L51" i="12"/>
  <c r="M51" i="12" s="1"/>
  <c r="K51" i="12"/>
  <c r="I51" i="12"/>
  <c r="AC50" i="12"/>
  <c r="W50" i="12"/>
  <c r="Q50" i="12"/>
  <c r="N50" i="12"/>
  <c r="O50" i="12" s="1"/>
  <c r="L50" i="12"/>
  <c r="M50" i="12" s="1"/>
  <c r="K50" i="12"/>
  <c r="I50" i="12"/>
  <c r="AC49" i="12"/>
  <c r="W49" i="12"/>
  <c r="Q49" i="12"/>
  <c r="N49" i="12"/>
  <c r="O49" i="12" s="1"/>
  <c r="L49" i="12"/>
  <c r="M49" i="12" s="1"/>
  <c r="K49" i="12"/>
  <c r="I49" i="12"/>
  <c r="AC48" i="12"/>
  <c r="W48" i="12"/>
  <c r="Q48" i="12"/>
  <c r="N48" i="12"/>
  <c r="O48" i="12" s="1"/>
  <c r="L48" i="12"/>
  <c r="M48" i="12" s="1"/>
  <c r="K48" i="12"/>
  <c r="I48" i="12"/>
  <c r="AC47" i="12"/>
  <c r="W47" i="12"/>
  <c r="Q47" i="12"/>
  <c r="N47" i="12"/>
  <c r="O47" i="12" s="1"/>
  <c r="L47" i="12"/>
  <c r="M47" i="12" s="1"/>
  <c r="K47" i="12"/>
  <c r="I47" i="12"/>
  <c r="AC46" i="12"/>
  <c r="W46" i="12"/>
  <c r="Q46" i="12"/>
  <c r="N46" i="12"/>
  <c r="O46" i="12" s="1"/>
  <c r="L46" i="12"/>
  <c r="M46" i="12" s="1"/>
  <c r="K46" i="12"/>
  <c r="I46" i="12"/>
  <c r="AC45" i="12"/>
  <c r="W45" i="12"/>
  <c r="Q45" i="12"/>
  <c r="N45" i="12"/>
  <c r="O45" i="12" s="1"/>
  <c r="L45" i="12"/>
  <c r="M45" i="12" s="1"/>
  <c r="K45" i="12"/>
  <c r="I45" i="12"/>
  <c r="AC44" i="12"/>
  <c r="W44" i="12"/>
  <c r="Q44" i="12"/>
  <c r="N44" i="12"/>
  <c r="O44" i="12" s="1"/>
  <c r="L44" i="12"/>
  <c r="M44" i="12" s="1"/>
  <c r="K44" i="12"/>
  <c r="I44" i="12"/>
  <c r="AC43" i="12"/>
  <c r="W43" i="12"/>
  <c r="Q43" i="12"/>
  <c r="N43" i="12"/>
  <c r="O43" i="12" s="1"/>
  <c r="L43" i="12"/>
  <c r="M43" i="12" s="1"/>
  <c r="K43" i="12"/>
  <c r="I43" i="12"/>
  <c r="AC42" i="12"/>
  <c r="W42" i="12"/>
  <c r="Q42" i="12"/>
  <c r="N42" i="12"/>
  <c r="O42" i="12" s="1"/>
  <c r="L42" i="12"/>
  <c r="M42" i="12" s="1"/>
  <c r="K42" i="12"/>
  <c r="I42" i="12"/>
  <c r="AC41" i="12"/>
  <c r="W41" i="12"/>
  <c r="Q41" i="12"/>
  <c r="N41" i="12"/>
  <c r="O41" i="12" s="1"/>
  <c r="L41" i="12"/>
  <c r="M41" i="12" s="1"/>
  <c r="K41" i="12"/>
  <c r="I41" i="12"/>
  <c r="AC40" i="12"/>
  <c r="W40" i="12"/>
  <c r="Q40" i="12"/>
  <c r="N40" i="12"/>
  <c r="O40" i="12" s="1"/>
  <c r="L40" i="12"/>
  <c r="M40" i="12" s="1"/>
  <c r="K40" i="12"/>
  <c r="I40" i="12"/>
  <c r="AC39" i="12"/>
  <c r="W39" i="12"/>
  <c r="Q39" i="12"/>
  <c r="N39" i="12"/>
  <c r="O39" i="12" s="1"/>
  <c r="L39" i="12"/>
  <c r="M39" i="12" s="1"/>
  <c r="K39" i="12"/>
  <c r="I39" i="12"/>
  <c r="AC38" i="12"/>
  <c r="W38" i="12"/>
  <c r="Q38" i="12"/>
  <c r="N38" i="12"/>
  <c r="O38" i="12" s="1"/>
  <c r="L38" i="12"/>
  <c r="M38" i="12" s="1"/>
  <c r="K38" i="12"/>
  <c r="I38" i="12"/>
  <c r="AC37" i="12"/>
  <c r="W37" i="12"/>
  <c r="Q37" i="12"/>
  <c r="N37" i="12"/>
  <c r="O37" i="12" s="1"/>
  <c r="L37" i="12"/>
  <c r="M37" i="12" s="1"/>
  <c r="K37" i="12"/>
  <c r="I37" i="12"/>
  <c r="AC36" i="12"/>
  <c r="W36" i="12"/>
  <c r="Q36" i="12"/>
  <c r="N36" i="12"/>
  <c r="O36" i="12" s="1"/>
  <c r="L36" i="12"/>
  <c r="M36" i="12" s="1"/>
  <c r="K36" i="12"/>
  <c r="I36" i="12"/>
  <c r="AC35" i="12"/>
  <c r="W35" i="12"/>
  <c r="Q35" i="12"/>
  <c r="N35" i="12"/>
  <c r="O35" i="12" s="1"/>
  <c r="L35" i="12"/>
  <c r="M35" i="12" s="1"/>
  <c r="K35" i="12"/>
  <c r="I35" i="12"/>
  <c r="AC34" i="12"/>
  <c r="W34" i="12"/>
  <c r="Q34" i="12"/>
  <c r="N34" i="12"/>
  <c r="O34" i="12" s="1"/>
  <c r="L34" i="12"/>
  <c r="M34" i="12" s="1"/>
  <c r="K34" i="12"/>
  <c r="I34" i="12"/>
  <c r="AC33" i="12"/>
  <c r="W33" i="12"/>
  <c r="Q33" i="12"/>
  <c r="N33" i="12"/>
  <c r="O33" i="12" s="1"/>
  <c r="L33" i="12"/>
  <c r="M33" i="12" s="1"/>
  <c r="K33" i="12"/>
  <c r="AC32" i="12"/>
  <c r="W32" i="12"/>
  <c r="Q32" i="12"/>
  <c r="N32" i="12"/>
  <c r="O32" i="12" s="1"/>
  <c r="L32" i="12"/>
  <c r="M32" i="12" s="1"/>
  <c r="K32" i="12"/>
  <c r="I32" i="12"/>
  <c r="AC31" i="12"/>
  <c r="W31" i="12"/>
  <c r="Q31" i="12"/>
  <c r="N31" i="12"/>
  <c r="O31" i="12" s="1"/>
  <c r="L31" i="12"/>
  <c r="M31" i="12" s="1"/>
  <c r="K31" i="12"/>
  <c r="I31" i="12"/>
  <c r="AC30" i="12"/>
  <c r="W30" i="12"/>
  <c r="Q30" i="12"/>
  <c r="N30" i="12"/>
  <c r="O30" i="12" s="1"/>
  <c r="L30" i="12"/>
  <c r="M30" i="12" s="1"/>
  <c r="K30" i="12"/>
  <c r="I30" i="12"/>
  <c r="AC29" i="12"/>
  <c r="W29" i="12"/>
  <c r="Q29" i="12"/>
  <c r="N29" i="12"/>
  <c r="O29" i="12" s="1"/>
  <c r="L29" i="12"/>
  <c r="M29" i="12" s="1"/>
  <c r="K29" i="12"/>
  <c r="I29" i="12"/>
  <c r="AC28" i="12"/>
  <c r="W28" i="12"/>
  <c r="Q28" i="12"/>
  <c r="N28" i="12"/>
  <c r="O28" i="12" s="1"/>
  <c r="L28" i="12"/>
  <c r="M28" i="12" s="1"/>
  <c r="K28" i="12"/>
  <c r="I28" i="12"/>
  <c r="AC27" i="12"/>
  <c r="W27" i="12"/>
  <c r="Q27" i="12"/>
  <c r="N27" i="12"/>
  <c r="O27" i="12" s="1"/>
  <c r="L27" i="12"/>
  <c r="M27" i="12" s="1"/>
  <c r="K27" i="12"/>
  <c r="I27" i="12"/>
  <c r="AC26" i="12"/>
  <c r="W26" i="12"/>
  <c r="Q26" i="12"/>
  <c r="N26" i="12"/>
  <c r="O26" i="12" s="1"/>
  <c r="L26" i="12"/>
  <c r="M26" i="12" s="1"/>
  <c r="K26" i="12"/>
  <c r="I26" i="12"/>
  <c r="AC25" i="12"/>
  <c r="W25" i="12"/>
  <c r="Q25" i="12"/>
  <c r="N25" i="12"/>
  <c r="O25" i="12" s="1"/>
  <c r="L25" i="12"/>
  <c r="M25" i="12" s="1"/>
  <c r="K25" i="12"/>
  <c r="I25" i="12"/>
  <c r="AC24" i="12"/>
  <c r="W24" i="12"/>
  <c r="Q24" i="12"/>
  <c r="N24" i="12"/>
  <c r="O24" i="12" s="1"/>
  <c r="L24" i="12"/>
  <c r="M24" i="12" s="1"/>
  <c r="K24" i="12"/>
  <c r="I24" i="12"/>
  <c r="AC23" i="12"/>
  <c r="W23" i="12"/>
  <c r="Q23" i="12"/>
  <c r="N23" i="12"/>
  <c r="O23" i="12" s="1"/>
  <c r="L23" i="12"/>
  <c r="M23" i="12" s="1"/>
  <c r="K23" i="12"/>
  <c r="I23" i="12"/>
  <c r="AC22" i="12"/>
  <c r="W22" i="12"/>
  <c r="Q22" i="12"/>
  <c r="N22" i="12"/>
  <c r="O22" i="12" s="1"/>
  <c r="L22" i="12"/>
  <c r="M22" i="12" s="1"/>
  <c r="K22" i="12"/>
  <c r="I22" i="12"/>
  <c r="AC21" i="12"/>
  <c r="W21" i="12"/>
  <c r="Q21" i="12"/>
  <c r="N21" i="12"/>
  <c r="O21" i="12" s="1"/>
  <c r="L21" i="12"/>
  <c r="M21" i="12" s="1"/>
  <c r="K21" i="12"/>
  <c r="I21" i="12"/>
  <c r="AC20" i="12"/>
  <c r="W20" i="12"/>
  <c r="Q20" i="12"/>
  <c r="N20" i="12"/>
  <c r="O20" i="12" s="1"/>
  <c r="L20" i="12"/>
  <c r="M20" i="12" s="1"/>
  <c r="K20" i="12"/>
  <c r="I20" i="12"/>
  <c r="AC19" i="12"/>
  <c r="W19" i="12"/>
  <c r="Q19" i="12"/>
  <c r="N19" i="12"/>
  <c r="O19" i="12" s="1"/>
  <c r="L19" i="12"/>
  <c r="M19" i="12" s="1"/>
  <c r="K19" i="12"/>
  <c r="I19" i="12"/>
  <c r="AC18" i="12"/>
  <c r="W18" i="12"/>
  <c r="Q18" i="12"/>
  <c r="N18" i="12"/>
  <c r="O18" i="12" s="1"/>
  <c r="L18" i="12"/>
  <c r="M18" i="12" s="1"/>
  <c r="K18" i="12"/>
  <c r="I18" i="12"/>
  <c r="AC17" i="12"/>
  <c r="W17" i="12"/>
  <c r="Q17" i="12"/>
  <c r="N17" i="12"/>
  <c r="O17" i="12" s="1"/>
  <c r="L17" i="12"/>
  <c r="M17" i="12" s="1"/>
  <c r="K17" i="12"/>
  <c r="I17" i="12"/>
  <c r="AC16" i="12"/>
  <c r="W16" i="12"/>
  <c r="Q16" i="12"/>
  <c r="N16" i="12"/>
  <c r="O16" i="12" s="1"/>
  <c r="L16" i="12"/>
  <c r="M16" i="12" s="1"/>
  <c r="K16" i="12"/>
  <c r="I16" i="12"/>
  <c r="AC15" i="12"/>
  <c r="W15" i="12"/>
  <c r="Q15" i="12"/>
  <c r="N15" i="12"/>
  <c r="O15" i="12" s="1"/>
  <c r="L15" i="12"/>
  <c r="M15" i="12" s="1"/>
  <c r="K15" i="12"/>
  <c r="I15" i="12"/>
  <c r="AC14" i="12"/>
  <c r="W14" i="12"/>
  <c r="Q14" i="12"/>
  <c r="N14" i="12"/>
  <c r="O14" i="12" s="1"/>
  <c r="L14" i="12"/>
  <c r="M14" i="12" s="1"/>
  <c r="K14" i="12"/>
  <c r="I14" i="12"/>
  <c r="AC13" i="12"/>
  <c r="W13" i="12"/>
  <c r="Q13" i="12"/>
  <c r="N13" i="12"/>
  <c r="O13" i="12" s="1"/>
  <c r="L13" i="12"/>
  <c r="M13" i="12" s="1"/>
  <c r="K13" i="12"/>
  <c r="I13" i="12"/>
  <c r="AC12" i="12"/>
  <c r="W12" i="12"/>
  <c r="Q12" i="12"/>
  <c r="N12" i="12"/>
  <c r="O12" i="12" s="1"/>
  <c r="L12" i="12"/>
  <c r="M12" i="12" s="1"/>
  <c r="K12" i="12"/>
  <c r="I12" i="12"/>
  <c r="AC11" i="12"/>
  <c r="W11" i="12"/>
  <c r="Q11" i="12"/>
  <c r="N11" i="12"/>
  <c r="O11" i="12" s="1"/>
  <c r="L11" i="12"/>
  <c r="M11" i="12" s="1"/>
  <c r="K11" i="12"/>
  <c r="I11" i="12"/>
  <c r="AC10" i="12"/>
  <c r="W10" i="12"/>
  <c r="Q10" i="12"/>
  <c r="N10" i="12"/>
  <c r="O10" i="12" s="1"/>
  <c r="L10" i="12"/>
  <c r="M10" i="12" s="1"/>
  <c r="K10" i="12"/>
  <c r="I10" i="12"/>
  <c r="AC9" i="12"/>
  <c r="W9" i="12"/>
  <c r="Q9" i="12"/>
  <c r="N9" i="12"/>
  <c r="O9" i="12" s="1"/>
  <c r="L9" i="12"/>
  <c r="M9" i="12" s="1"/>
  <c r="K9" i="12"/>
  <c r="I9" i="12"/>
  <c r="AC8" i="12"/>
  <c r="W8" i="12"/>
  <c r="Q8" i="12"/>
  <c r="N8" i="12"/>
  <c r="O8" i="12" s="1"/>
  <c r="L8" i="12"/>
  <c r="M8" i="12" s="1"/>
  <c r="K8" i="12"/>
  <c r="I8" i="12"/>
  <c r="AC7" i="12"/>
  <c r="W7" i="12"/>
  <c r="Q7" i="12"/>
  <c r="N7" i="12"/>
  <c r="O7" i="12" s="1"/>
  <c r="L7" i="12"/>
  <c r="M7" i="12" s="1"/>
  <c r="K7" i="12"/>
  <c r="I7" i="12"/>
  <c r="F5" i="12"/>
  <c r="F32" i="12" s="1"/>
  <c r="D5" i="12"/>
  <c r="D23" i="12" s="1"/>
  <c r="C5" i="12"/>
  <c r="D36" i="12" s="1"/>
  <c r="Q4" i="12"/>
  <c r="J4" i="12"/>
  <c r="BK104" i="11"/>
  <c r="BB104" i="11"/>
  <c r="AX104" i="11"/>
  <c r="AO104" i="11"/>
  <c r="AK104" i="11"/>
  <c r="AB104" i="11"/>
  <c r="O104" i="11"/>
  <c r="L104" i="11"/>
  <c r="M104" i="11" s="1"/>
  <c r="J104" i="11"/>
  <c r="K104" i="11" s="1"/>
  <c r="I104" i="11"/>
  <c r="G104" i="11"/>
  <c r="D104" i="11"/>
  <c r="BK103" i="11"/>
  <c r="BB103" i="11"/>
  <c r="AX103" i="11"/>
  <c r="AO103" i="11"/>
  <c r="AK103" i="11"/>
  <c r="AB103" i="11"/>
  <c r="O103" i="11"/>
  <c r="L103" i="11"/>
  <c r="M103" i="11" s="1"/>
  <c r="J103" i="11"/>
  <c r="K103" i="11" s="1"/>
  <c r="I103" i="11"/>
  <c r="G103" i="11"/>
  <c r="D103" i="11"/>
  <c r="BK102" i="11"/>
  <c r="BB102" i="11"/>
  <c r="AX102" i="11"/>
  <c r="AO102" i="11"/>
  <c r="AK102" i="11"/>
  <c r="AB102" i="11"/>
  <c r="O102" i="11"/>
  <c r="L102" i="11"/>
  <c r="M102" i="11" s="1"/>
  <c r="J102" i="11"/>
  <c r="K102" i="11" s="1"/>
  <c r="I102" i="11"/>
  <c r="G102" i="11"/>
  <c r="D102" i="11"/>
  <c r="BK101" i="11"/>
  <c r="BB101" i="11"/>
  <c r="AX101" i="11"/>
  <c r="AO101" i="11"/>
  <c r="AK101" i="11"/>
  <c r="AB101" i="11"/>
  <c r="O101" i="11"/>
  <c r="L101" i="11"/>
  <c r="M101" i="11" s="1"/>
  <c r="J101" i="11"/>
  <c r="K101" i="11" s="1"/>
  <c r="I101" i="11"/>
  <c r="G101" i="11"/>
  <c r="D101" i="11"/>
  <c r="BK100" i="11"/>
  <c r="BB100" i="11"/>
  <c r="AX100" i="11"/>
  <c r="AO100" i="11"/>
  <c r="AK100" i="11"/>
  <c r="AB100" i="11"/>
  <c r="O100" i="11"/>
  <c r="L100" i="11"/>
  <c r="M100" i="11" s="1"/>
  <c r="J100" i="11"/>
  <c r="K100" i="11" s="1"/>
  <c r="I100" i="11"/>
  <c r="G100" i="11"/>
  <c r="D100" i="11"/>
  <c r="BK99" i="11"/>
  <c r="BB99" i="11"/>
  <c r="AX99" i="11"/>
  <c r="AO99" i="11"/>
  <c r="AK99" i="11"/>
  <c r="AB99" i="11"/>
  <c r="O99" i="11"/>
  <c r="L99" i="11"/>
  <c r="M99" i="11" s="1"/>
  <c r="J99" i="11"/>
  <c r="K99" i="11" s="1"/>
  <c r="I99" i="11"/>
  <c r="G99" i="11"/>
  <c r="D99" i="11"/>
  <c r="BK98" i="11"/>
  <c r="BB98" i="11"/>
  <c r="AX98" i="11"/>
  <c r="AO98" i="11"/>
  <c r="AK98" i="11"/>
  <c r="AB98" i="11"/>
  <c r="O98" i="11"/>
  <c r="L98" i="11"/>
  <c r="M98" i="11" s="1"/>
  <c r="J98" i="11"/>
  <c r="K98" i="11" s="1"/>
  <c r="I98" i="11"/>
  <c r="G98" i="11"/>
  <c r="D98" i="11"/>
  <c r="BK97" i="11"/>
  <c r="BB97" i="11"/>
  <c r="AX97" i="11"/>
  <c r="AO97" i="11"/>
  <c r="AK97" i="11"/>
  <c r="AB97" i="11"/>
  <c r="O97" i="11"/>
  <c r="L97" i="11"/>
  <c r="M97" i="11" s="1"/>
  <c r="J97" i="11"/>
  <c r="K97" i="11" s="1"/>
  <c r="I97" i="11"/>
  <c r="G97" i="11"/>
  <c r="D97" i="11"/>
  <c r="BK96" i="11"/>
  <c r="BB96" i="11"/>
  <c r="AX96" i="11"/>
  <c r="AO96" i="11"/>
  <c r="AK96" i="11"/>
  <c r="AB96" i="11"/>
  <c r="O96" i="11"/>
  <c r="L96" i="11"/>
  <c r="M96" i="11" s="1"/>
  <c r="J96" i="11"/>
  <c r="K96" i="11" s="1"/>
  <c r="I96" i="11"/>
  <c r="G96" i="11"/>
  <c r="D96" i="11"/>
  <c r="BK95" i="11"/>
  <c r="BB95" i="11"/>
  <c r="AX95" i="11"/>
  <c r="AO95" i="11"/>
  <c r="AK95" i="11"/>
  <c r="AB95" i="11"/>
  <c r="O95" i="11"/>
  <c r="L95" i="11"/>
  <c r="M95" i="11" s="1"/>
  <c r="J95" i="11"/>
  <c r="K95" i="11" s="1"/>
  <c r="I95" i="11"/>
  <c r="G95" i="11"/>
  <c r="D95" i="11"/>
  <c r="BK94" i="11"/>
  <c r="BB94" i="11"/>
  <c r="AX94" i="11"/>
  <c r="AO94" i="11"/>
  <c r="AK94" i="11"/>
  <c r="AB94" i="11"/>
  <c r="O94" i="11"/>
  <c r="L94" i="11"/>
  <c r="M94" i="11" s="1"/>
  <c r="J94" i="11"/>
  <c r="K94" i="11" s="1"/>
  <c r="I94" i="11"/>
  <c r="G94" i="11"/>
  <c r="D94" i="11"/>
  <c r="BK93" i="11"/>
  <c r="BB93" i="11"/>
  <c r="AX93" i="11"/>
  <c r="AO93" i="11"/>
  <c r="AK93" i="11"/>
  <c r="AB93" i="11"/>
  <c r="O93" i="11"/>
  <c r="L93" i="11"/>
  <c r="M93" i="11" s="1"/>
  <c r="J93" i="11"/>
  <c r="K93" i="11" s="1"/>
  <c r="I93" i="11"/>
  <c r="G93" i="11"/>
  <c r="D93" i="11"/>
  <c r="BK92" i="11"/>
  <c r="BB92" i="11"/>
  <c r="AX92" i="11"/>
  <c r="AO92" i="11"/>
  <c r="AK92" i="11"/>
  <c r="AB92" i="11"/>
  <c r="O92" i="11"/>
  <c r="L92" i="11"/>
  <c r="M92" i="11" s="1"/>
  <c r="J92" i="11"/>
  <c r="K92" i="11" s="1"/>
  <c r="I92" i="11"/>
  <c r="G92" i="11"/>
  <c r="D92" i="11"/>
  <c r="BK91" i="11"/>
  <c r="BB91" i="11"/>
  <c r="AX91" i="11"/>
  <c r="AO91" i="11"/>
  <c r="AK91" i="11"/>
  <c r="AB91" i="11"/>
  <c r="O91" i="11"/>
  <c r="L91" i="11"/>
  <c r="M91" i="11" s="1"/>
  <c r="J91" i="11"/>
  <c r="K91" i="11" s="1"/>
  <c r="I91" i="11"/>
  <c r="G91" i="11"/>
  <c r="D91" i="11"/>
  <c r="BK90" i="11"/>
  <c r="BB90" i="11"/>
  <c r="AX90" i="11"/>
  <c r="AO90" i="11"/>
  <c r="AK90" i="11"/>
  <c r="AB90" i="11"/>
  <c r="O90" i="11"/>
  <c r="L90" i="11"/>
  <c r="M90" i="11" s="1"/>
  <c r="J90" i="11"/>
  <c r="K90" i="11" s="1"/>
  <c r="I90" i="11"/>
  <c r="G90" i="11"/>
  <c r="D90" i="11"/>
  <c r="BK89" i="11"/>
  <c r="BB89" i="11"/>
  <c r="AX89" i="11"/>
  <c r="AO89" i="11"/>
  <c r="AK89" i="11"/>
  <c r="AB89" i="11"/>
  <c r="O89" i="11"/>
  <c r="L89" i="11"/>
  <c r="M89" i="11" s="1"/>
  <c r="J89" i="11"/>
  <c r="K89" i="11" s="1"/>
  <c r="I89" i="11"/>
  <c r="G89" i="11"/>
  <c r="D89" i="11"/>
  <c r="BK88" i="11"/>
  <c r="BB88" i="11"/>
  <c r="AX88" i="11"/>
  <c r="AO88" i="11"/>
  <c r="AK88" i="11"/>
  <c r="AB88" i="11"/>
  <c r="O88" i="11"/>
  <c r="L88" i="11"/>
  <c r="M88" i="11" s="1"/>
  <c r="J88" i="11"/>
  <c r="K88" i="11" s="1"/>
  <c r="I88" i="11"/>
  <c r="G88" i="11"/>
  <c r="D88" i="11"/>
  <c r="BK87" i="11"/>
  <c r="BB87" i="11"/>
  <c r="AX87" i="11"/>
  <c r="AO87" i="11"/>
  <c r="AK87" i="11"/>
  <c r="AB87" i="11"/>
  <c r="O87" i="11"/>
  <c r="L87" i="11"/>
  <c r="M87" i="11" s="1"/>
  <c r="J87" i="11"/>
  <c r="K87" i="11" s="1"/>
  <c r="I87" i="11"/>
  <c r="G87" i="11"/>
  <c r="D87" i="11"/>
  <c r="BK86" i="11"/>
  <c r="BB86" i="11"/>
  <c r="AX86" i="11"/>
  <c r="AO86" i="11"/>
  <c r="AK86" i="11"/>
  <c r="AB86" i="11"/>
  <c r="O86" i="11"/>
  <c r="L86" i="11"/>
  <c r="M86" i="11" s="1"/>
  <c r="J86" i="11"/>
  <c r="K86" i="11" s="1"/>
  <c r="I86" i="11"/>
  <c r="G86" i="11"/>
  <c r="D86" i="11"/>
  <c r="BK85" i="11"/>
  <c r="BB85" i="11"/>
  <c r="AX85" i="11"/>
  <c r="AO85" i="11"/>
  <c r="AK85" i="11"/>
  <c r="AB85" i="11"/>
  <c r="O85" i="11"/>
  <c r="L85" i="11"/>
  <c r="M85" i="11" s="1"/>
  <c r="J85" i="11"/>
  <c r="K85" i="11" s="1"/>
  <c r="I85" i="11"/>
  <c r="G85" i="11"/>
  <c r="D85" i="11"/>
  <c r="BK84" i="11"/>
  <c r="BB84" i="11"/>
  <c r="AX84" i="11"/>
  <c r="AO84" i="11"/>
  <c r="AK84" i="11"/>
  <c r="AB84" i="11"/>
  <c r="O84" i="11"/>
  <c r="L84" i="11"/>
  <c r="M84" i="11" s="1"/>
  <c r="J84" i="11"/>
  <c r="K84" i="11" s="1"/>
  <c r="I84" i="11"/>
  <c r="G84" i="11"/>
  <c r="D84" i="11"/>
  <c r="BK83" i="11"/>
  <c r="BB83" i="11"/>
  <c r="AX83" i="11"/>
  <c r="AO83" i="11"/>
  <c r="AK83" i="11"/>
  <c r="AB83" i="11"/>
  <c r="O83" i="11"/>
  <c r="L83" i="11"/>
  <c r="M83" i="11" s="1"/>
  <c r="J83" i="11"/>
  <c r="K83" i="11" s="1"/>
  <c r="I83" i="11"/>
  <c r="G83" i="11"/>
  <c r="D83" i="11"/>
  <c r="BK82" i="11"/>
  <c r="BB82" i="11"/>
  <c r="AX82" i="11"/>
  <c r="AO82" i="11"/>
  <c r="AK82" i="11"/>
  <c r="AB82" i="11"/>
  <c r="O82" i="11"/>
  <c r="L82" i="11"/>
  <c r="M82" i="11" s="1"/>
  <c r="J82" i="11"/>
  <c r="K82" i="11" s="1"/>
  <c r="I82" i="11"/>
  <c r="G82" i="11"/>
  <c r="D82" i="11"/>
  <c r="BK81" i="11"/>
  <c r="BB81" i="11"/>
  <c r="AX81" i="11"/>
  <c r="AO81" i="11"/>
  <c r="AK81" i="11"/>
  <c r="AB81" i="11"/>
  <c r="O81" i="11"/>
  <c r="L81" i="11"/>
  <c r="M81" i="11" s="1"/>
  <c r="J81" i="11"/>
  <c r="K81" i="11" s="1"/>
  <c r="I81" i="11"/>
  <c r="G81" i="11"/>
  <c r="D81" i="11"/>
  <c r="BK80" i="11"/>
  <c r="BB80" i="11"/>
  <c r="AX80" i="11"/>
  <c r="AO80" i="11"/>
  <c r="AK80" i="11"/>
  <c r="AB80" i="11"/>
  <c r="O80" i="11"/>
  <c r="L80" i="11"/>
  <c r="M80" i="11" s="1"/>
  <c r="J80" i="11"/>
  <c r="K80" i="11" s="1"/>
  <c r="I80" i="11"/>
  <c r="G80" i="11"/>
  <c r="D80" i="11"/>
  <c r="BK79" i="11"/>
  <c r="BB79" i="11"/>
  <c r="AX79" i="11"/>
  <c r="AO79" i="11"/>
  <c r="AK79" i="11"/>
  <c r="AB79" i="11"/>
  <c r="O79" i="11"/>
  <c r="L79" i="11"/>
  <c r="M79" i="11" s="1"/>
  <c r="J79" i="11"/>
  <c r="K79" i="11" s="1"/>
  <c r="I79" i="11"/>
  <c r="G79" i="11"/>
  <c r="D79" i="11"/>
  <c r="BK78" i="11"/>
  <c r="BB78" i="11"/>
  <c r="AX78" i="11"/>
  <c r="AO78" i="11"/>
  <c r="AK78" i="11"/>
  <c r="AB78" i="11"/>
  <c r="O78" i="11"/>
  <c r="L78" i="11"/>
  <c r="M78" i="11" s="1"/>
  <c r="J78" i="11"/>
  <c r="K78" i="11" s="1"/>
  <c r="I78" i="11"/>
  <c r="G78" i="11"/>
  <c r="D78" i="11"/>
  <c r="BK77" i="11"/>
  <c r="BB77" i="11"/>
  <c r="AX77" i="11"/>
  <c r="AO77" i="11"/>
  <c r="AK77" i="11"/>
  <c r="AB77" i="11"/>
  <c r="O77" i="11"/>
  <c r="L77" i="11"/>
  <c r="M77" i="11" s="1"/>
  <c r="J77" i="11"/>
  <c r="K77" i="11" s="1"/>
  <c r="I77" i="11"/>
  <c r="G77" i="11"/>
  <c r="D77" i="11"/>
  <c r="BK76" i="11"/>
  <c r="BB76" i="11"/>
  <c r="AX76" i="11"/>
  <c r="AO76" i="11"/>
  <c r="AK76" i="11"/>
  <c r="AB76" i="11"/>
  <c r="O76" i="11"/>
  <c r="L76" i="11"/>
  <c r="M76" i="11" s="1"/>
  <c r="J76" i="11"/>
  <c r="K76" i="11" s="1"/>
  <c r="I76" i="11"/>
  <c r="G76" i="11"/>
  <c r="D76" i="11"/>
  <c r="BK75" i="11"/>
  <c r="BB75" i="11"/>
  <c r="AX75" i="11"/>
  <c r="AO75" i="11"/>
  <c r="AK75" i="11"/>
  <c r="AB75" i="11"/>
  <c r="O75" i="11"/>
  <c r="L75" i="11"/>
  <c r="M75" i="11" s="1"/>
  <c r="J75" i="11"/>
  <c r="K75" i="11" s="1"/>
  <c r="I75" i="11"/>
  <c r="G75" i="11"/>
  <c r="D75" i="11"/>
  <c r="BK74" i="11"/>
  <c r="BB74" i="11"/>
  <c r="AX74" i="11"/>
  <c r="AO74" i="11"/>
  <c r="AK74" i="11"/>
  <c r="AB74" i="11"/>
  <c r="O74" i="11"/>
  <c r="L74" i="11"/>
  <c r="M74" i="11" s="1"/>
  <c r="J74" i="11"/>
  <c r="K74" i="11" s="1"/>
  <c r="I74" i="11"/>
  <c r="G74" i="11"/>
  <c r="D74" i="11"/>
  <c r="BK73" i="11"/>
  <c r="BB73" i="11"/>
  <c r="AX73" i="11"/>
  <c r="AO73" i="11"/>
  <c r="AK73" i="11"/>
  <c r="AB73" i="11"/>
  <c r="O73" i="11"/>
  <c r="L73" i="11"/>
  <c r="M73" i="11" s="1"/>
  <c r="J73" i="11"/>
  <c r="K73" i="11" s="1"/>
  <c r="I73" i="11"/>
  <c r="G73" i="11"/>
  <c r="D73" i="11"/>
  <c r="BK72" i="11"/>
  <c r="BB72" i="11"/>
  <c r="AX72" i="11"/>
  <c r="AO72" i="11"/>
  <c r="AK72" i="11"/>
  <c r="AB72" i="11"/>
  <c r="O72" i="11"/>
  <c r="L72" i="11"/>
  <c r="M72" i="11" s="1"/>
  <c r="J72" i="11"/>
  <c r="K72" i="11" s="1"/>
  <c r="I72" i="11"/>
  <c r="G72" i="11"/>
  <c r="D72" i="11"/>
  <c r="BK71" i="11"/>
  <c r="BB71" i="11"/>
  <c r="AX71" i="11"/>
  <c r="AO71" i="11"/>
  <c r="AK71" i="11"/>
  <c r="AB71" i="11"/>
  <c r="O71" i="11"/>
  <c r="L71" i="11"/>
  <c r="M71" i="11" s="1"/>
  <c r="J71" i="11"/>
  <c r="K71" i="11" s="1"/>
  <c r="I71" i="11"/>
  <c r="G71" i="11"/>
  <c r="D71" i="11"/>
  <c r="BK70" i="11"/>
  <c r="BB70" i="11"/>
  <c r="AX70" i="11"/>
  <c r="AO70" i="11"/>
  <c r="AK70" i="11"/>
  <c r="AB70" i="11"/>
  <c r="O70" i="11"/>
  <c r="L70" i="11"/>
  <c r="M70" i="11" s="1"/>
  <c r="J70" i="11"/>
  <c r="K70" i="11" s="1"/>
  <c r="I70" i="11"/>
  <c r="G70" i="11"/>
  <c r="D70" i="11"/>
  <c r="BK69" i="11"/>
  <c r="BB69" i="11"/>
  <c r="AX69" i="11"/>
  <c r="AO69" i="11"/>
  <c r="AK69" i="11"/>
  <c r="AB69" i="11"/>
  <c r="O69" i="11"/>
  <c r="L69" i="11"/>
  <c r="M69" i="11" s="1"/>
  <c r="J69" i="11"/>
  <c r="K69" i="11" s="1"/>
  <c r="I69" i="11"/>
  <c r="G69" i="11"/>
  <c r="D69" i="11"/>
  <c r="BK68" i="11"/>
  <c r="BB68" i="11"/>
  <c r="AX68" i="11"/>
  <c r="AO68" i="11"/>
  <c r="AK68" i="11"/>
  <c r="AB68" i="11"/>
  <c r="O68" i="11"/>
  <c r="L68" i="11"/>
  <c r="M68" i="11" s="1"/>
  <c r="J68" i="11"/>
  <c r="K68" i="11" s="1"/>
  <c r="I68" i="11"/>
  <c r="G68" i="11"/>
  <c r="D68" i="11"/>
  <c r="BK67" i="11"/>
  <c r="BB67" i="11"/>
  <c r="AX67" i="11"/>
  <c r="AO67" i="11"/>
  <c r="AK67" i="11"/>
  <c r="AB67" i="11"/>
  <c r="O67" i="11"/>
  <c r="L67" i="11"/>
  <c r="M67" i="11" s="1"/>
  <c r="J67" i="11"/>
  <c r="K67" i="11" s="1"/>
  <c r="I67" i="11"/>
  <c r="G67" i="11"/>
  <c r="D67" i="11"/>
  <c r="BK66" i="11"/>
  <c r="BB66" i="11"/>
  <c r="AX66" i="11"/>
  <c r="AO66" i="11"/>
  <c r="AK66" i="11"/>
  <c r="AB66" i="11"/>
  <c r="O66" i="11"/>
  <c r="L66" i="11"/>
  <c r="M66" i="11" s="1"/>
  <c r="J66" i="11"/>
  <c r="K66" i="11" s="1"/>
  <c r="I66" i="11"/>
  <c r="G66" i="11"/>
  <c r="D66" i="11"/>
  <c r="BK65" i="11"/>
  <c r="BB65" i="11"/>
  <c r="AX65" i="11"/>
  <c r="AO65" i="11"/>
  <c r="AK65" i="11"/>
  <c r="AB65" i="11"/>
  <c r="O65" i="11"/>
  <c r="L65" i="11"/>
  <c r="M65" i="11" s="1"/>
  <c r="J65" i="11"/>
  <c r="K65" i="11" s="1"/>
  <c r="I65" i="11"/>
  <c r="G65" i="11"/>
  <c r="D65" i="11"/>
  <c r="BK64" i="11"/>
  <c r="BB64" i="11"/>
  <c r="AX64" i="11"/>
  <c r="AO64" i="11"/>
  <c r="AK64" i="11"/>
  <c r="AB64" i="11"/>
  <c r="O64" i="11"/>
  <c r="L64" i="11"/>
  <c r="M64" i="11" s="1"/>
  <c r="J64" i="11"/>
  <c r="K64" i="11" s="1"/>
  <c r="I64" i="11"/>
  <c r="G64" i="11"/>
  <c r="D64" i="11"/>
  <c r="BK63" i="11"/>
  <c r="BB63" i="11"/>
  <c r="AX63" i="11"/>
  <c r="AO63" i="11"/>
  <c r="AK63" i="11"/>
  <c r="AB63" i="11"/>
  <c r="O63" i="11"/>
  <c r="L63" i="11"/>
  <c r="M63" i="11" s="1"/>
  <c r="J63" i="11"/>
  <c r="K63" i="11" s="1"/>
  <c r="I63" i="11"/>
  <c r="G63" i="11"/>
  <c r="D63" i="11"/>
  <c r="BK62" i="11"/>
  <c r="BB62" i="11"/>
  <c r="AX62" i="11"/>
  <c r="AO62" i="11"/>
  <c r="AK62" i="11"/>
  <c r="AB62" i="11"/>
  <c r="O62" i="11"/>
  <c r="L62" i="11"/>
  <c r="M62" i="11" s="1"/>
  <c r="J62" i="11"/>
  <c r="K62" i="11" s="1"/>
  <c r="I62" i="11"/>
  <c r="G62" i="11"/>
  <c r="D62" i="11"/>
  <c r="BK61" i="11"/>
  <c r="BB61" i="11"/>
  <c r="AX61" i="11"/>
  <c r="AO61" i="11"/>
  <c r="AK61" i="11"/>
  <c r="AB61" i="11"/>
  <c r="O61" i="11"/>
  <c r="L61" i="11"/>
  <c r="M61" i="11" s="1"/>
  <c r="J61" i="11"/>
  <c r="K61" i="11" s="1"/>
  <c r="I61" i="11"/>
  <c r="G61" i="11"/>
  <c r="D61" i="11"/>
  <c r="BK60" i="11"/>
  <c r="BB60" i="11"/>
  <c r="AX60" i="11"/>
  <c r="AO60" i="11"/>
  <c r="AK60" i="11"/>
  <c r="AB60" i="11"/>
  <c r="O60" i="11"/>
  <c r="L60" i="11"/>
  <c r="M60" i="11" s="1"/>
  <c r="J60" i="11"/>
  <c r="K60" i="11" s="1"/>
  <c r="I60" i="11"/>
  <c r="G60" i="11"/>
  <c r="D60" i="11"/>
  <c r="BK59" i="11"/>
  <c r="BB59" i="11"/>
  <c r="AX59" i="11"/>
  <c r="AO59" i="11"/>
  <c r="AK59" i="11"/>
  <c r="AB59" i="11"/>
  <c r="O59" i="11"/>
  <c r="L59" i="11"/>
  <c r="M59" i="11" s="1"/>
  <c r="J59" i="11"/>
  <c r="K59" i="11" s="1"/>
  <c r="I59" i="11"/>
  <c r="G59" i="11"/>
  <c r="D59" i="11"/>
  <c r="BK58" i="11"/>
  <c r="BB58" i="11"/>
  <c r="AX58" i="11"/>
  <c r="AO58" i="11"/>
  <c r="AK58" i="11"/>
  <c r="AB58" i="11"/>
  <c r="O58" i="11"/>
  <c r="L58" i="11"/>
  <c r="M58" i="11" s="1"/>
  <c r="J58" i="11"/>
  <c r="K58" i="11" s="1"/>
  <c r="I58" i="11"/>
  <c r="G58" i="11"/>
  <c r="D58" i="11"/>
  <c r="BK57" i="11"/>
  <c r="BB57" i="11"/>
  <c r="AX57" i="11"/>
  <c r="AO57" i="11"/>
  <c r="AK57" i="11"/>
  <c r="AB57" i="11"/>
  <c r="O57" i="11"/>
  <c r="L57" i="11"/>
  <c r="M57" i="11" s="1"/>
  <c r="J57" i="11"/>
  <c r="K57" i="11" s="1"/>
  <c r="I57" i="11"/>
  <c r="G57" i="11"/>
  <c r="D57" i="11"/>
  <c r="BK56" i="11"/>
  <c r="BB56" i="11"/>
  <c r="AX56" i="11"/>
  <c r="AO56" i="11"/>
  <c r="AK56" i="11"/>
  <c r="AB56" i="11"/>
  <c r="O56" i="11"/>
  <c r="L56" i="11"/>
  <c r="M56" i="11" s="1"/>
  <c r="J56" i="11"/>
  <c r="K56" i="11" s="1"/>
  <c r="I56" i="11"/>
  <c r="G56" i="11"/>
  <c r="D56" i="11"/>
  <c r="BK55" i="11"/>
  <c r="BB55" i="11"/>
  <c r="AX55" i="11"/>
  <c r="AO55" i="11"/>
  <c r="AK55" i="11"/>
  <c r="AB55" i="11"/>
  <c r="O55" i="11"/>
  <c r="L55" i="11"/>
  <c r="M55" i="11" s="1"/>
  <c r="J55" i="11"/>
  <c r="K55" i="11" s="1"/>
  <c r="I55" i="11"/>
  <c r="G55" i="11"/>
  <c r="D55" i="11"/>
  <c r="BK54" i="11"/>
  <c r="BB54" i="11"/>
  <c r="AX54" i="11"/>
  <c r="AO54" i="11"/>
  <c r="AK54" i="11"/>
  <c r="AB54" i="11"/>
  <c r="O54" i="11"/>
  <c r="L54" i="11"/>
  <c r="M54" i="11" s="1"/>
  <c r="J54" i="11"/>
  <c r="K54" i="11" s="1"/>
  <c r="I54" i="11"/>
  <c r="G54" i="11"/>
  <c r="D54" i="11"/>
  <c r="BK53" i="11"/>
  <c r="BB53" i="11"/>
  <c r="AX53" i="11"/>
  <c r="AO53" i="11"/>
  <c r="AK53" i="11"/>
  <c r="AB53" i="11"/>
  <c r="O53" i="11"/>
  <c r="L53" i="11"/>
  <c r="M53" i="11" s="1"/>
  <c r="J53" i="11"/>
  <c r="K53" i="11" s="1"/>
  <c r="I53" i="11"/>
  <c r="G53" i="11"/>
  <c r="D53" i="11"/>
  <c r="BK52" i="11"/>
  <c r="BB52" i="11"/>
  <c r="AX52" i="11"/>
  <c r="AO52" i="11"/>
  <c r="AK52" i="11"/>
  <c r="AB52" i="11"/>
  <c r="O52" i="11"/>
  <c r="L52" i="11"/>
  <c r="M52" i="11" s="1"/>
  <c r="J52" i="11"/>
  <c r="K52" i="11" s="1"/>
  <c r="I52" i="11"/>
  <c r="G52" i="11"/>
  <c r="D52" i="11"/>
  <c r="BK51" i="11"/>
  <c r="BB51" i="11"/>
  <c r="AX51" i="11"/>
  <c r="AO51" i="11"/>
  <c r="AK51" i="11"/>
  <c r="AB51" i="11"/>
  <c r="O51" i="11"/>
  <c r="L51" i="11"/>
  <c r="M51" i="11" s="1"/>
  <c r="J51" i="11"/>
  <c r="K51" i="11" s="1"/>
  <c r="I51" i="11"/>
  <c r="G51" i="11"/>
  <c r="D51" i="11"/>
  <c r="BK50" i="11"/>
  <c r="BB50" i="11"/>
  <c r="AX50" i="11"/>
  <c r="AO50" i="11"/>
  <c r="AK50" i="11"/>
  <c r="AB50" i="11"/>
  <c r="O50" i="11"/>
  <c r="L50" i="11"/>
  <c r="M50" i="11" s="1"/>
  <c r="J50" i="11"/>
  <c r="K50" i="11" s="1"/>
  <c r="I50" i="11"/>
  <c r="G50" i="11"/>
  <c r="D50" i="11"/>
  <c r="BK49" i="11"/>
  <c r="BB49" i="11"/>
  <c r="AX49" i="11"/>
  <c r="AO49" i="11"/>
  <c r="AK49" i="11"/>
  <c r="AB49" i="11"/>
  <c r="O49" i="11"/>
  <c r="L49" i="11"/>
  <c r="M49" i="11" s="1"/>
  <c r="J49" i="11"/>
  <c r="K49" i="11" s="1"/>
  <c r="I49" i="11"/>
  <c r="G49" i="11"/>
  <c r="D49" i="11"/>
  <c r="BK48" i="11"/>
  <c r="BB48" i="11"/>
  <c r="AX48" i="11"/>
  <c r="AO48" i="11"/>
  <c r="AK48" i="11"/>
  <c r="AB48" i="11"/>
  <c r="O48" i="11"/>
  <c r="L48" i="11"/>
  <c r="M48" i="11" s="1"/>
  <c r="J48" i="11"/>
  <c r="K48" i="11" s="1"/>
  <c r="I48" i="11"/>
  <c r="G48" i="11"/>
  <c r="D48" i="11"/>
  <c r="BK47" i="11"/>
  <c r="BB47" i="11"/>
  <c r="AX47" i="11"/>
  <c r="AO47" i="11"/>
  <c r="AK47" i="11"/>
  <c r="AB47" i="11"/>
  <c r="O47" i="11"/>
  <c r="L47" i="11"/>
  <c r="M47" i="11" s="1"/>
  <c r="J47" i="11"/>
  <c r="K47" i="11" s="1"/>
  <c r="I47" i="11"/>
  <c r="G47" i="11"/>
  <c r="D47" i="11"/>
  <c r="BK46" i="11"/>
  <c r="BB46" i="11"/>
  <c r="AX46" i="11"/>
  <c r="AO46" i="11"/>
  <c r="AK46" i="11"/>
  <c r="AB46" i="11"/>
  <c r="O46" i="11"/>
  <c r="L46" i="11"/>
  <c r="M46" i="11" s="1"/>
  <c r="J46" i="11"/>
  <c r="K46" i="11" s="1"/>
  <c r="I46" i="11"/>
  <c r="G46" i="11"/>
  <c r="D46" i="11"/>
  <c r="BK45" i="11"/>
  <c r="BB45" i="11"/>
  <c r="AX45" i="11"/>
  <c r="AO45" i="11"/>
  <c r="AK45" i="11"/>
  <c r="AB45" i="11"/>
  <c r="O45" i="11"/>
  <c r="L45" i="11"/>
  <c r="M45" i="11" s="1"/>
  <c r="J45" i="11"/>
  <c r="K45" i="11" s="1"/>
  <c r="I45" i="11"/>
  <c r="G45" i="11"/>
  <c r="D45" i="11"/>
  <c r="BK44" i="11"/>
  <c r="BB44" i="11"/>
  <c r="AX44" i="11"/>
  <c r="AO44" i="11"/>
  <c r="AK44" i="11"/>
  <c r="AB44" i="11"/>
  <c r="O44" i="11"/>
  <c r="L44" i="11"/>
  <c r="M44" i="11" s="1"/>
  <c r="J44" i="11"/>
  <c r="K44" i="11" s="1"/>
  <c r="I44" i="11"/>
  <c r="G44" i="11"/>
  <c r="D44" i="11"/>
  <c r="BK43" i="11"/>
  <c r="BB43" i="11"/>
  <c r="AX43" i="11"/>
  <c r="AO43" i="11"/>
  <c r="AK43" i="11"/>
  <c r="AB43" i="11"/>
  <c r="O43" i="11"/>
  <c r="L43" i="11"/>
  <c r="M43" i="11" s="1"/>
  <c r="J43" i="11"/>
  <c r="K43" i="11" s="1"/>
  <c r="I43" i="11"/>
  <c r="G43" i="11"/>
  <c r="D43" i="11"/>
  <c r="BK42" i="11"/>
  <c r="BB42" i="11"/>
  <c r="AX42" i="11"/>
  <c r="AO42" i="11"/>
  <c r="AK42" i="11"/>
  <c r="AB42" i="11"/>
  <c r="O42" i="11"/>
  <c r="L42" i="11"/>
  <c r="M42" i="11" s="1"/>
  <c r="J42" i="11"/>
  <c r="K42" i="11" s="1"/>
  <c r="I42" i="11"/>
  <c r="G42" i="11"/>
  <c r="D42" i="11"/>
  <c r="BK41" i="11"/>
  <c r="BB41" i="11"/>
  <c r="AX41" i="11"/>
  <c r="AO41" i="11"/>
  <c r="AK41" i="11"/>
  <c r="AB41" i="11"/>
  <c r="O41" i="11"/>
  <c r="L41" i="11"/>
  <c r="M41" i="11" s="1"/>
  <c r="J41" i="11"/>
  <c r="K41" i="11" s="1"/>
  <c r="I41" i="11"/>
  <c r="G41" i="11"/>
  <c r="D41" i="11"/>
  <c r="BK40" i="11"/>
  <c r="BB40" i="11"/>
  <c r="AX40" i="11"/>
  <c r="AO40" i="11"/>
  <c r="AK40" i="11"/>
  <c r="AB40" i="11"/>
  <c r="O40" i="11"/>
  <c r="L40" i="11"/>
  <c r="M40" i="11" s="1"/>
  <c r="J40" i="11"/>
  <c r="K40" i="11" s="1"/>
  <c r="I40" i="11"/>
  <c r="G40" i="11"/>
  <c r="D40" i="11"/>
  <c r="BK39" i="11"/>
  <c r="BB39" i="11"/>
  <c r="AX39" i="11"/>
  <c r="AO39" i="11"/>
  <c r="AK39" i="11"/>
  <c r="AB39" i="11"/>
  <c r="O39" i="11"/>
  <c r="L39" i="11"/>
  <c r="M39" i="11" s="1"/>
  <c r="J39" i="11"/>
  <c r="K39" i="11" s="1"/>
  <c r="I39" i="11"/>
  <c r="G39" i="11"/>
  <c r="D39" i="11"/>
  <c r="BK38" i="11"/>
  <c r="BB38" i="11"/>
  <c r="AX38" i="11"/>
  <c r="AO38" i="11"/>
  <c r="AK38" i="11"/>
  <c r="AB38" i="11"/>
  <c r="O38" i="11"/>
  <c r="L38" i="11"/>
  <c r="M38" i="11" s="1"/>
  <c r="J38" i="11"/>
  <c r="K38" i="11" s="1"/>
  <c r="I38" i="11"/>
  <c r="G38" i="11"/>
  <c r="D38" i="11"/>
  <c r="BK37" i="11"/>
  <c r="BB37" i="11"/>
  <c r="AX37" i="11"/>
  <c r="AO37" i="11"/>
  <c r="AK37" i="11"/>
  <c r="AB37" i="11"/>
  <c r="O37" i="11"/>
  <c r="L37" i="11"/>
  <c r="M37" i="11" s="1"/>
  <c r="J37" i="11"/>
  <c r="K37" i="11" s="1"/>
  <c r="I37" i="11"/>
  <c r="G37" i="11"/>
  <c r="D37" i="11"/>
  <c r="BK36" i="11"/>
  <c r="BB36" i="11"/>
  <c r="AX36" i="11"/>
  <c r="AO36" i="11"/>
  <c r="AK36" i="11"/>
  <c r="AB36" i="11"/>
  <c r="O36" i="11"/>
  <c r="L36" i="11"/>
  <c r="M36" i="11" s="1"/>
  <c r="J36" i="11"/>
  <c r="K36" i="11" s="1"/>
  <c r="I36" i="11"/>
  <c r="G36" i="11"/>
  <c r="D36" i="11"/>
  <c r="BK35" i="11"/>
  <c r="BB35" i="11"/>
  <c r="AX35" i="11"/>
  <c r="AO35" i="11"/>
  <c r="AK35" i="11"/>
  <c r="AB35" i="11"/>
  <c r="O35" i="11"/>
  <c r="L35" i="11"/>
  <c r="M35" i="11" s="1"/>
  <c r="J35" i="11"/>
  <c r="K35" i="11" s="1"/>
  <c r="I35" i="11"/>
  <c r="G35" i="11"/>
  <c r="D35" i="11"/>
  <c r="BK34" i="11"/>
  <c r="BB34" i="11"/>
  <c r="AX34" i="11"/>
  <c r="AO34" i="11"/>
  <c r="AK34" i="11"/>
  <c r="AB34" i="11"/>
  <c r="O34" i="11"/>
  <c r="L34" i="11"/>
  <c r="M34" i="11" s="1"/>
  <c r="J34" i="11"/>
  <c r="K34" i="11" s="1"/>
  <c r="I34" i="11"/>
  <c r="G34" i="11"/>
  <c r="D34" i="11"/>
  <c r="BK33" i="11"/>
  <c r="BB33" i="11"/>
  <c r="AX33" i="11"/>
  <c r="AO33" i="11"/>
  <c r="AK33" i="11"/>
  <c r="AB33" i="11"/>
  <c r="O33" i="11"/>
  <c r="L33" i="11"/>
  <c r="M33" i="11" s="1"/>
  <c r="J33" i="11"/>
  <c r="K33" i="11" s="1"/>
  <c r="I33" i="11"/>
  <c r="G33" i="11"/>
  <c r="D33" i="11"/>
  <c r="BK32" i="11"/>
  <c r="BB32" i="11"/>
  <c r="AX32" i="11"/>
  <c r="AO32" i="11"/>
  <c r="AK32" i="11"/>
  <c r="AB32" i="11"/>
  <c r="O32" i="11"/>
  <c r="L32" i="11"/>
  <c r="M32" i="11" s="1"/>
  <c r="J32" i="11"/>
  <c r="K32" i="11" s="1"/>
  <c r="I32" i="11"/>
  <c r="G32" i="11"/>
  <c r="D32" i="11"/>
  <c r="BK31" i="11"/>
  <c r="BB31" i="11"/>
  <c r="AX31" i="11"/>
  <c r="AO31" i="11"/>
  <c r="AK31" i="11"/>
  <c r="AB31" i="11"/>
  <c r="O31" i="11"/>
  <c r="L31" i="11"/>
  <c r="M31" i="11" s="1"/>
  <c r="J31" i="11"/>
  <c r="K31" i="11" s="1"/>
  <c r="I31" i="11"/>
  <c r="G31" i="11"/>
  <c r="D31" i="11"/>
  <c r="BK30" i="11"/>
  <c r="BB30" i="11"/>
  <c r="AX30" i="11"/>
  <c r="AO30" i="11"/>
  <c r="AK30" i="11"/>
  <c r="AB30" i="11"/>
  <c r="O30" i="11"/>
  <c r="L30" i="11"/>
  <c r="M30" i="11" s="1"/>
  <c r="J30" i="11"/>
  <c r="K30" i="11" s="1"/>
  <c r="I30" i="11"/>
  <c r="G30" i="11"/>
  <c r="D30" i="11"/>
  <c r="BK29" i="11"/>
  <c r="BB29" i="11"/>
  <c r="AX29" i="11"/>
  <c r="AO29" i="11"/>
  <c r="AK29" i="11"/>
  <c r="AB29" i="11"/>
  <c r="O29" i="11"/>
  <c r="L29" i="11"/>
  <c r="M29" i="11" s="1"/>
  <c r="J29" i="11"/>
  <c r="K29" i="11" s="1"/>
  <c r="I29" i="11"/>
  <c r="G29" i="11"/>
  <c r="D29" i="11"/>
  <c r="BK28" i="11"/>
  <c r="BB28" i="11"/>
  <c r="AX28" i="11"/>
  <c r="AO28" i="11"/>
  <c r="AK28" i="11"/>
  <c r="AB28" i="11"/>
  <c r="O28" i="11"/>
  <c r="L28" i="11"/>
  <c r="M28" i="11" s="1"/>
  <c r="J28" i="11"/>
  <c r="K28" i="11" s="1"/>
  <c r="I28" i="11"/>
  <c r="G28" i="11"/>
  <c r="D28" i="11"/>
  <c r="BK27" i="11"/>
  <c r="BB27" i="11"/>
  <c r="AX27" i="11"/>
  <c r="AO27" i="11"/>
  <c r="AK27" i="11"/>
  <c r="AB27" i="11"/>
  <c r="O27" i="11"/>
  <c r="L27" i="11"/>
  <c r="M27" i="11" s="1"/>
  <c r="J27" i="11"/>
  <c r="K27" i="11" s="1"/>
  <c r="I27" i="11"/>
  <c r="G27" i="11"/>
  <c r="D27" i="11"/>
  <c r="BK26" i="11"/>
  <c r="BB26" i="11"/>
  <c r="AX26" i="11"/>
  <c r="AO26" i="11"/>
  <c r="AK26" i="11"/>
  <c r="AB26" i="11"/>
  <c r="O26" i="11"/>
  <c r="L26" i="11"/>
  <c r="M26" i="11" s="1"/>
  <c r="J26" i="11"/>
  <c r="K26" i="11" s="1"/>
  <c r="I26" i="11"/>
  <c r="G26" i="11"/>
  <c r="D26" i="11"/>
  <c r="BK25" i="11"/>
  <c r="BB25" i="11"/>
  <c r="AX25" i="11"/>
  <c r="AO25" i="11"/>
  <c r="AK25" i="11"/>
  <c r="AB25" i="11"/>
  <c r="O25" i="11"/>
  <c r="L25" i="11"/>
  <c r="M25" i="11" s="1"/>
  <c r="J25" i="11"/>
  <c r="K25" i="11" s="1"/>
  <c r="I25" i="11"/>
  <c r="G25" i="11"/>
  <c r="D25" i="11"/>
  <c r="BK24" i="11"/>
  <c r="BB24" i="11"/>
  <c r="AX24" i="11"/>
  <c r="AO24" i="11"/>
  <c r="AK24" i="11"/>
  <c r="AB24" i="11"/>
  <c r="O24" i="11"/>
  <c r="L24" i="11"/>
  <c r="M24" i="11" s="1"/>
  <c r="J24" i="11"/>
  <c r="K24" i="11" s="1"/>
  <c r="I24" i="11"/>
  <c r="G24" i="11"/>
  <c r="D24" i="11"/>
  <c r="BK23" i="11"/>
  <c r="BB23" i="11"/>
  <c r="AX23" i="11"/>
  <c r="AO23" i="11"/>
  <c r="AK23" i="11"/>
  <c r="AB23" i="11"/>
  <c r="O23" i="11"/>
  <c r="L23" i="11"/>
  <c r="M23" i="11" s="1"/>
  <c r="J23" i="11"/>
  <c r="K23" i="11" s="1"/>
  <c r="I23" i="11"/>
  <c r="G23" i="11"/>
  <c r="D23" i="11"/>
  <c r="BK22" i="11"/>
  <c r="BB22" i="11"/>
  <c r="AX22" i="11"/>
  <c r="AO22" i="11"/>
  <c r="AK22" i="11"/>
  <c r="AB22" i="11"/>
  <c r="O22" i="11"/>
  <c r="L22" i="11"/>
  <c r="M22" i="11" s="1"/>
  <c r="J22" i="11"/>
  <c r="K22" i="11" s="1"/>
  <c r="I22" i="11"/>
  <c r="G22" i="11"/>
  <c r="D22" i="11"/>
  <c r="BK21" i="11"/>
  <c r="BB21" i="11"/>
  <c r="AX21" i="11"/>
  <c r="AO21" i="11"/>
  <c r="AK21" i="11"/>
  <c r="AB21" i="11"/>
  <c r="O21" i="11"/>
  <c r="L21" i="11"/>
  <c r="M21" i="11" s="1"/>
  <c r="J21" i="11"/>
  <c r="K21" i="11" s="1"/>
  <c r="I21" i="11"/>
  <c r="G21" i="11"/>
  <c r="D21" i="11"/>
  <c r="BK20" i="11"/>
  <c r="BB20" i="11"/>
  <c r="AX20" i="11"/>
  <c r="AO20" i="11"/>
  <c r="AK20" i="11"/>
  <c r="AB20" i="11"/>
  <c r="O20" i="11"/>
  <c r="L20" i="11"/>
  <c r="M20" i="11" s="1"/>
  <c r="J20" i="11"/>
  <c r="K20" i="11" s="1"/>
  <c r="I20" i="11"/>
  <c r="G20" i="11"/>
  <c r="D20" i="11"/>
  <c r="BK19" i="11"/>
  <c r="BB19" i="11"/>
  <c r="AX19" i="11"/>
  <c r="AO19" i="11"/>
  <c r="AK19" i="11"/>
  <c r="AB19" i="11"/>
  <c r="O19" i="11"/>
  <c r="L19" i="11"/>
  <c r="M19" i="11" s="1"/>
  <c r="J19" i="11"/>
  <c r="K19" i="11" s="1"/>
  <c r="I19" i="11"/>
  <c r="G19" i="11"/>
  <c r="D19" i="11"/>
  <c r="BK18" i="11"/>
  <c r="BB18" i="11"/>
  <c r="AX18" i="11"/>
  <c r="AO18" i="11"/>
  <c r="AK18" i="11"/>
  <c r="AB18" i="11"/>
  <c r="O18" i="11"/>
  <c r="L18" i="11"/>
  <c r="M18" i="11" s="1"/>
  <c r="J18" i="11"/>
  <c r="K18" i="11" s="1"/>
  <c r="I18" i="11"/>
  <c r="G18" i="11"/>
  <c r="D18" i="11"/>
  <c r="BK17" i="11"/>
  <c r="BB17" i="11"/>
  <c r="AX17" i="11"/>
  <c r="AO17" i="11"/>
  <c r="AK17" i="11"/>
  <c r="AB17" i="11"/>
  <c r="O17" i="11"/>
  <c r="L17" i="11"/>
  <c r="M17" i="11" s="1"/>
  <c r="J17" i="11"/>
  <c r="K17" i="11" s="1"/>
  <c r="I17" i="11"/>
  <c r="G17" i="11"/>
  <c r="D17" i="11"/>
  <c r="BK16" i="11"/>
  <c r="BB16" i="11"/>
  <c r="AX16" i="11"/>
  <c r="AO16" i="11"/>
  <c r="AK16" i="11"/>
  <c r="AB16" i="11"/>
  <c r="O16" i="11"/>
  <c r="L16" i="11"/>
  <c r="M16" i="11" s="1"/>
  <c r="J16" i="11"/>
  <c r="K16" i="11" s="1"/>
  <c r="I16" i="11"/>
  <c r="G16" i="11"/>
  <c r="D16" i="11"/>
  <c r="BK15" i="11"/>
  <c r="BB15" i="11"/>
  <c r="AX15" i="11"/>
  <c r="AO15" i="11"/>
  <c r="AK15" i="11"/>
  <c r="AB15" i="11"/>
  <c r="O15" i="11"/>
  <c r="L15" i="11"/>
  <c r="M15" i="11" s="1"/>
  <c r="J15" i="11"/>
  <c r="K15" i="11" s="1"/>
  <c r="I15" i="11"/>
  <c r="G15" i="11"/>
  <c r="D15" i="11"/>
  <c r="BK14" i="11"/>
  <c r="BB14" i="11"/>
  <c r="AX14" i="11"/>
  <c r="AO14" i="11"/>
  <c r="AK14" i="11"/>
  <c r="AB14" i="11"/>
  <c r="O14" i="11"/>
  <c r="L14" i="11"/>
  <c r="M14" i="11" s="1"/>
  <c r="J14" i="11"/>
  <c r="K14" i="11" s="1"/>
  <c r="I14" i="11"/>
  <c r="G14" i="11"/>
  <c r="D14" i="11"/>
  <c r="BK13" i="11"/>
  <c r="BB13" i="11"/>
  <c r="AX13" i="11"/>
  <c r="AO13" i="11"/>
  <c r="AK13" i="11"/>
  <c r="AB13" i="11"/>
  <c r="O13" i="11"/>
  <c r="L13" i="11"/>
  <c r="M13" i="11" s="1"/>
  <c r="J13" i="11"/>
  <c r="K13" i="11" s="1"/>
  <c r="I13" i="11"/>
  <c r="G13" i="11"/>
  <c r="D13" i="11"/>
  <c r="BK12" i="11"/>
  <c r="BB12" i="11"/>
  <c r="AX12" i="11"/>
  <c r="AO12" i="11"/>
  <c r="AK12" i="11"/>
  <c r="AB12" i="11"/>
  <c r="O12" i="11"/>
  <c r="L12" i="11"/>
  <c r="M12" i="11" s="1"/>
  <c r="J12" i="11"/>
  <c r="K12" i="11" s="1"/>
  <c r="I12" i="11"/>
  <c r="G12" i="11"/>
  <c r="D12" i="11"/>
  <c r="BK11" i="11"/>
  <c r="BB11" i="11"/>
  <c r="AX11" i="11"/>
  <c r="AO11" i="11"/>
  <c r="AK11" i="11"/>
  <c r="AB11" i="11"/>
  <c r="O11" i="11"/>
  <c r="L11" i="11"/>
  <c r="M11" i="11" s="1"/>
  <c r="J11" i="11"/>
  <c r="K11" i="11" s="1"/>
  <c r="I11" i="11"/>
  <c r="G11" i="11"/>
  <c r="D11" i="11"/>
  <c r="BK10" i="11"/>
  <c r="BB10" i="11"/>
  <c r="AX10" i="11"/>
  <c r="AO10" i="11"/>
  <c r="AK10" i="11"/>
  <c r="AB10" i="11"/>
  <c r="O10" i="11"/>
  <c r="L10" i="11"/>
  <c r="M10" i="11" s="1"/>
  <c r="J10" i="11"/>
  <c r="K10" i="11" s="1"/>
  <c r="I10" i="11"/>
  <c r="G10" i="11"/>
  <c r="D10" i="11"/>
  <c r="BK9" i="11"/>
  <c r="BB9" i="11"/>
  <c r="AX9" i="11"/>
  <c r="AO9" i="11"/>
  <c r="AK9" i="11"/>
  <c r="AB9" i="11"/>
  <c r="O9" i="11"/>
  <c r="L9" i="11"/>
  <c r="M9" i="11" s="1"/>
  <c r="J9" i="11"/>
  <c r="K9" i="11" s="1"/>
  <c r="I9" i="11"/>
  <c r="G9" i="11"/>
  <c r="D9" i="11"/>
  <c r="BK8" i="11"/>
  <c r="BB8" i="11"/>
  <c r="AX8" i="11"/>
  <c r="AO8" i="11"/>
  <c r="AK8" i="11"/>
  <c r="AB8" i="11"/>
  <c r="O8" i="11"/>
  <c r="L8" i="11"/>
  <c r="M8" i="11" s="1"/>
  <c r="J8" i="11"/>
  <c r="K8" i="11" s="1"/>
  <c r="I8" i="11"/>
  <c r="G8" i="11"/>
  <c r="D8" i="11"/>
  <c r="BK7" i="11"/>
  <c r="BB7" i="11"/>
  <c r="AX7" i="11"/>
  <c r="AO7" i="11"/>
  <c r="AK7" i="11"/>
  <c r="AB7" i="11"/>
  <c r="O7" i="11"/>
  <c r="L7" i="11"/>
  <c r="M7" i="11" s="1"/>
  <c r="J7" i="11"/>
  <c r="K7" i="11" s="1"/>
  <c r="I7" i="11"/>
  <c r="G7" i="11"/>
  <c r="D7" i="11"/>
  <c r="BK6" i="11"/>
  <c r="BB6" i="11"/>
  <c r="AX6" i="11"/>
  <c r="AO6" i="11"/>
  <c r="AK6" i="11"/>
  <c r="AB6" i="11"/>
  <c r="O6" i="11"/>
  <c r="L6" i="11"/>
  <c r="M6" i="11" s="1"/>
  <c r="J6" i="11"/>
  <c r="K6" i="11" s="1"/>
  <c r="I6" i="11"/>
  <c r="G6" i="11"/>
  <c r="D6" i="11"/>
  <c r="D4" i="11"/>
  <c r="B4" i="11"/>
  <c r="O3" i="11"/>
  <c r="H3" i="11"/>
  <c r="D3" i="11"/>
  <c r="B3" i="11"/>
  <c r="K16" i="10"/>
  <c r="M16" i="10" s="1"/>
  <c r="O16" i="10" s="1"/>
  <c r="M217" i="1" s="1"/>
  <c r="G16" i="10"/>
  <c r="K15" i="10"/>
  <c r="M15" i="10" s="1"/>
  <c r="O15" i="10" s="1"/>
  <c r="M216" i="1" s="1"/>
  <c r="G15" i="10"/>
  <c r="J15" i="10" s="1"/>
  <c r="K14" i="10"/>
  <c r="M14" i="10" s="1"/>
  <c r="O14" i="10" s="1"/>
  <c r="G14" i="10"/>
  <c r="K13" i="10"/>
  <c r="M13" i="10" s="1"/>
  <c r="O13" i="10" s="1"/>
  <c r="G13" i="10"/>
  <c r="J13" i="10" s="1"/>
  <c r="K12" i="10"/>
  <c r="M12" i="10" s="1"/>
  <c r="O12" i="10" s="1"/>
  <c r="M213" i="1" s="1"/>
  <c r="G12" i="10"/>
  <c r="J12" i="10" s="1"/>
  <c r="K11" i="10"/>
  <c r="M11" i="10" s="1"/>
  <c r="O11" i="10" s="1"/>
  <c r="G11" i="10"/>
  <c r="J11" i="10" s="1"/>
  <c r="K10" i="10"/>
  <c r="M10" i="10" s="1"/>
  <c r="O10" i="10" s="1"/>
  <c r="G10" i="10"/>
  <c r="J10" i="10" s="1"/>
  <c r="K9" i="10"/>
  <c r="M9" i="10" s="1"/>
  <c r="O9" i="10" s="1"/>
  <c r="G9" i="10"/>
  <c r="J9" i="10" s="1"/>
  <c r="K8" i="10"/>
  <c r="M8" i="10" s="1"/>
  <c r="O8" i="10" s="1"/>
  <c r="M209" i="1" s="1"/>
  <c r="G8" i="10"/>
  <c r="J8" i="10" s="1"/>
  <c r="K7" i="10"/>
  <c r="M7" i="10" s="1"/>
  <c r="O7" i="10" s="1"/>
  <c r="G7" i="10"/>
  <c r="J7" i="10" s="1"/>
  <c r="K6" i="10"/>
  <c r="M6" i="10" s="1"/>
  <c r="O6" i="10" s="1"/>
  <c r="G6" i="10"/>
  <c r="J6" i="10" s="1"/>
  <c r="AK150" i="9"/>
  <c r="AK149" i="9"/>
  <c r="AK148" i="9"/>
  <c r="AK147" i="9"/>
  <c r="AK146" i="9"/>
  <c r="AK145" i="9"/>
  <c r="AK144" i="9"/>
  <c r="AK143" i="9"/>
  <c r="AK142" i="9"/>
  <c r="AK141" i="9"/>
  <c r="AD141" i="9"/>
  <c r="AF141" i="9" s="1"/>
  <c r="AH141" i="9" s="1"/>
  <c r="M829" i="1" s="1"/>
  <c r="AK140" i="9"/>
  <c r="AD140" i="9"/>
  <c r="AF140" i="9" s="1"/>
  <c r="AH140" i="9" s="1"/>
  <c r="M828" i="1" s="1"/>
  <c r="AK139" i="9"/>
  <c r="AD139" i="9"/>
  <c r="AF139" i="9" s="1"/>
  <c r="AH139" i="9" s="1"/>
  <c r="M827" i="1" s="1"/>
  <c r="AK138" i="9"/>
  <c r="AD138" i="9"/>
  <c r="AF138" i="9" s="1"/>
  <c r="AH138" i="9" s="1"/>
  <c r="M826" i="1" s="1"/>
  <c r="AK137" i="9"/>
  <c r="AD137" i="9"/>
  <c r="AF137" i="9" s="1"/>
  <c r="AH137" i="9" s="1"/>
  <c r="M825" i="1" s="1"/>
  <c r="AK136" i="9"/>
  <c r="AD136" i="9"/>
  <c r="AF136" i="9" s="1"/>
  <c r="AH136" i="9" s="1"/>
  <c r="M824" i="1" s="1"/>
  <c r="AK135" i="9"/>
  <c r="AD135" i="9"/>
  <c r="AF135" i="9" s="1"/>
  <c r="AH135" i="9" s="1"/>
  <c r="M823" i="1" s="1"/>
  <c r="AK134" i="9"/>
  <c r="AD134" i="9"/>
  <c r="AF134" i="9" s="1"/>
  <c r="AH134" i="9" s="1"/>
  <c r="M822" i="1" s="1"/>
  <c r="AK133" i="9"/>
  <c r="AD133" i="9"/>
  <c r="AF133" i="9" s="1"/>
  <c r="AH133" i="9" s="1"/>
  <c r="M821" i="1" s="1"/>
  <c r="AK132" i="9"/>
  <c r="AD132" i="9"/>
  <c r="AF132" i="9" s="1"/>
  <c r="AH132" i="9" s="1"/>
  <c r="M820" i="1" s="1"/>
  <c r="AK131" i="9"/>
  <c r="AD131" i="9"/>
  <c r="AF131" i="9" s="1"/>
  <c r="AH131" i="9" s="1"/>
  <c r="M819" i="1" s="1"/>
  <c r="AK130" i="9"/>
  <c r="AD130" i="9"/>
  <c r="AF130" i="9" s="1"/>
  <c r="AH130" i="9" s="1"/>
  <c r="M818" i="1" s="1"/>
  <c r="AK129" i="9"/>
  <c r="AD129" i="9"/>
  <c r="AF129" i="9" s="1"/>
  <c r="AH129" i="9" s="1"/>
  <c r="M817" i="1" s="1"/>
  <c r="AK128" i="9"/>
  <c r="AD128" i="9"/>
  <c r="AF128" i="9" s="1"/>
  <c r="AH128" i="9" s="1"/>
  <c r="M816" i="1" s="1"/>
  <c r="AK127" i="9"/>
  <c r="AD127" i="9"/>
  <c r="AF127" i="9" s="1"/>
  <c r="AH127" i="9" s="1"/>
  <c r="M815" i="1" s="1"/>
  <c r="AK126" i="9"/>
  <c r="AD126" i="9"/>
  <c r="AF126" i="9" s="1"/>
  <c r="AH126" i="9" s="1"/>
  <c r="M814" i="1" s="1"/>
  <c r="AK125" i="9"/>
  <c r="AD125" i="9"/>
  <c r="AF125" i="9" s="1"/>
  <c r="AH125" i="9" s="1"/>
  <c r="M813" i="1" s="1"/>
  <c r="AK124" i="9"/>
  <c r="AD124" i="9"/>
  <c r="AF124" i="9" s="1"/>
  <c r="AH124" i="9" s="1"/>
  <c r="M812" i="1" s="1"/>
  <c r="AK123" i="9"/>
  <c r="AD123" i="9"/>
  <c r="AF123" i="9" s="1"/>
  <c r="AH123" i="9" s="1"/>
  <c r="M811" i="1" s="1"/>
  <c r="AK122" i="9"/>
  <c r="AD122" i="9"/>
  <c r="AF122" i="9" s="1"/>
  <c r="AK121" i="9"/>
  <c r="AD121" i="9"/>
  <c r="AF121" i="9" s="1"/>
  <c r="AK120" i="9"/>
  <c r="AD120" i="9"/>
  <c r="AF120" i="9" s="1"/>
  <c r="AK119" i="9"/>
  <c r="AD119" i="9"/>
  <c r="AF119" i="9" s="1"/>
  <c r="AK118" i="9"/>
  <c r="AD118" i="9"/>
  <c r="AF118" i="9" s="1"/>
  <c r="AK117" i="9"/>
  <c r="AD117" i="9"/>
  <c r="AF117" i="9" s="1"/>
  <c r="AK116" i="9"/>
  <c r="AD116" i="9"/>
  <c r="AF116" i="9" s="1"/>
  <c r="AK115" i="9"/>
  <c r="AD115" i="9"/>
  <c r="AF115" i="9" s="1"/>
  <c r="AK114" i="9"/>
  <c r="AD114" i="9"/>
  <c r="AF114" i="9" s="1"/>
  <c r="AK113" i="9"/>
  <c r="AD113" i="9"/>
  <c r="AF113" i="9" s="1"/>
  <c r="AK112" i="9"/>
  <c r="AD112" i="9"/>
  <c r="AF112" i="9" s="1"/>
  <c r="AK111" i="9"/>
  <c r="AD111" i="9"/>
  <c r="AF111" i="9" s="1"/>
  <c r="AK110" i="9"/>
  <c r="AD110" i="9"/>
  <c r="AF110" i="9" s="1"/>
  <c r="AK109" i="9"/>
  <c r="AD109" i="9"/>
  <c r="AF109" i="9" s="1"/>
  <c r="AK108" i="9"/>
  <c r="AD108" i="9"/>
  <c r="AF108" i="9" s="1"/>
  <c r="AK107" i="9"/>
  <c r="AD107" i="9"/>
  <c r="AF107" i="9" s="1"/>
  <c r="AK106" i="9"/>
  <c r="AD106" i="9"/>
  <c r="AF106" i="9" s="1"/>
  <c r="AK105" i="9"/>
  <c r="AD105" i="9"/>
  <c r="AF105" i="9" s="1"/>
  <c r="AK104" i="9"/>
  <c r="AD104" i="9"/>
  <c r="AF104" i="9" s="1"/>
  <c r="AK103" i="9"/>
  <c r="AD103" i="9"/>
  <c r="AF103" i="9" s="1"/>
  <c r="AK102" i="9"/>
  <c r="AD102" i="9"/>
  <c r="AF102" i="9" s="1"/>
  <c r="AK101" i="9"/>
  <c r="AD101" i="9"/>
  <c r="AF101" i="9" s="1"/>
  <c r="AK100" i="9"/>
  <c r="AD100" i="9"/>
  <c r="AF100" i="9" s="1"/>
  <c r="AK99" i="9"/>
  <c r="AD99" i="9"/>
  <c r="AF99" i="9" s="1"/>
  <c r="AK98" i="9"/>
  <c r="AD98" i="9"/>
  <c r="AF98" i="9" s="1"/>
  <c r="AK97" i="9"/>
  <c r="AD97" i="9"/>
  <c r="AF97" i="9" s="1"/>
  <c r="AK96" i="9"/>
  <c r="AD96" i="9"/>
  <c r="AF96" i="9" s="1"/>
  <c r="AK95" i="9"/>
  <c r="AD95" i="9"/>
  <c r="AF95" i="9" s="1"/>
  <c r="AK94" i="9"/>
  <c r="AD94" i="9"/>
  <c r="AF94" i="9" s="1"/>
  <c r="AK93" i="9"/>
  <c r="AD93" i="9"/>
  <c r="AF93" i="9" s="1"/>
  <c r="AK92" i="9"/>
  <c r="AD92" i="9"/>
  <c r="AF92" i="9" s="1"/>
  <c r="AK91" i="9"/>
  <c r="AD91" i="9"/>
  <c r="AF91" i="9" s="1"/>
  <c r="AK90" i="9"/>
  <c r="AD90" i="9"/>
  <c r="AF90" i="9" s="1"/>
  <c r="AK89" i="9"/>
  <c r="AD89" i="9"/>
  <c r="AF89" i="9" s="1"/>
  <c r="M89" i="9"/>
  <c r="N89" i="9" s="1"/>
  <c r="K89" i="9"/>
  <c r="L89" i="9" s="1"/>
  <c r="I89" i="9"/>
  <c r="J89" i="9" s="1"/>
  <c r="G89" i="9"/>
  <c r="H89" i="9" s="1"/>
  <c r="E89" i="9"/>
  <c r="F89" i="9" s="1"/>
  <c r="AK88" i="9"/>
  <c r="AD88" i="9"/>
  <c r="AF88" i="9" s="1"/>
  <c r="M88" i="9"/>
  <c r="N88" i="9" s="1"/>
  <c r="K88" i="9"/>
  <c r="L88" i="9" s="1"/>
  <c r="I88" i="9"/>
  <c r="J88" i="9" s="1"/>
  <c r="G88" i="9"/>
  <c r="H88" i="9" s="1"/>
  <c r="E88" i="9"/>
  <c r="F88" i="9" s="1"/>
  <c r="AK87" i="9"/>
  <c r="AD87" i="9"/>
  <c r="AF87" i="9" s="1"/>
  <c r="M87" i="9"/>
  <c r="N87" i="9" s="1"/>
  <c r="K87" i="9"/>
  <c r="L87" i="9" s="1"/>
  <c r="I87" i="9"/>
  <c r="J87" i="9" s="1"/>
  <c r="G87" i="9"/>
  <c r="H87" i="9" s="1"/>
  <c r="E87" i="9"/>
  <c r="F87" i="9" s="1"/>
  <c r="AK86" i="9"/>
  <c r="AD86" i="9"/>
  <c r="AF86" i="9" s="1"/>
  <c r="M86" i="9"/>
  <c r="N86" i="9" s="1"/>
  <c r="K86" i="9"/>
  <c r="L86" i="9" s="1"/>
  <c r="I86" i="9"/>
  <c r="J86" i="9" s="1"/>
  <c r="G86" i="9"/>
  <c r="H86" i="9" s="1"/>
  <c r="E86" i="9"/>
  <c r="F86" i="9" s="1"/>
  <c r="AK85" i="9"/>
  <c r="AD85" i="9"/>
  <c r="AF85" i="9" s="1"/>
  <c r="M85" i="9"/>
  <c r="N85" i="9" s="1"/>
  <c r="K85" i="9"/>
  <c r="L85" i="9" s="1"/>
  <c r="I85" i="9"/>
  <c r="J85" i="9" s="1"/>
  <c r="G85" i="9"/>
  <c r="H85" i="9" s="1"/>
  <c r="E85" i="9"/>
  <c r="F85" i="9" s="1"/>
  <c r="AK84" i="9"/>
  <c r="AD84" i="9"/>
  <c r="AF84" i="9" s="1"/>
  <c r="M84" i="9"/>
  <c r="N84" i="9" s="1"/>
  <c r="K84" i="9"/>
  <c r="L84" i="9" s="1"/>
  <c r="I84" i="9"/>
  <c r="J84" i="9" s="1"/>
  <c r="G84" i="9"/>
  <c r="H84" i="9" s="1"/>
  <c r="E84" i="9"/>
  <c r="F84" i="9" s="1"/>
  <c r="AK83" i="9"/>
  <c r="AD83" i="9"/>
  <c r="AF83" i="9" s="1"/>
  <c r="M83" i="9"/>
  <c r="N83" i="9" s="1"/>
  <c r="K83" i="9"/>
  <c r="L83" i="9" s="1"/>
  <c r="I83" i="9"/>
  <c r="J83" i="9" s="1"/>
  <c r="G83" i="9"/>
  <c r="H83" i="9" s="1"/>
  <c r="E83" i="9"/>
  <c r="F83" i="9" s="1"/>
  <c r="AK82" i="9"/>
  <c r="AD82" i="9"/>
  <c r="AF82" i="9" s="1"/>
  <c r="M82" i="9"/>
  <c r="N82" i="9" s="1"/>
  <c r="K82" i="9"/>
  <c r="L82" i="9" s="1"/>
  <c r="I82" i="9"/>
  <c r="J82" i="9" s="1"/>
  <c r="G82" i="9"/>
  <c r="H82" i="9" s="1"/>
  <c r="E82" i="9"/>
  <c r="F82" i="9" s="1"/>
  <c r="AK81" i="9"/>
  <c r="AD81" i="9"/>
  <c r="AF81" i="9" s="1"/>
  <c r="M81" i="9"/>
  <c r="N81" i="9" s="1"/>
  <c r="K81" i="9"/>
  <c r="L81" i="9" s="1"/>
  <c r="I81" i="9"/>
  <c r="J81" i="9" s="1"/>
  <c r="G81" i="9"/>
  <c r="H81" i="9" s="1"/>
  <c r="E81" i="9"/>
  <c r="F81" i="9" s="1"/>
  <c r="AK80" i="9"/>
  <c r="AD80" i="9"/>
  <c r="AF80" i="9" s="1"/>
  <c r="M80" i="9"/>
  <c r="N80" i="9" s="1"/>
  <c r="K80" i="9"/>
  <c r="L80" i="9" s="1"/>
  <c r="I80" i="9"/>
  <c r="J80" i="9" s="1"/>
  <c r="G80" i="9"/>
  <c r="H80" i="9" s="1"/>
  <c r="E80" i="9"/>
  <c r="F80" i="9" s="1"/>
  <c r="AK79" i="9"/>
  <c r="AD79" i="9"/>
  <c r="AF79" i="9" s="1"/>
  <c r="M79" i="9"/>
  <c r="N79" i="9" s="1"/>
  <c r="K79" i="9"/>
  <c r="L79" i="9" s="1"/>
  <c r="I79" i="9"/>
  <c r="J79" i="9" s="1"/>
  <c r="G79" i="9"/>
  <c r="H79" i="9" s="1"/>
  <c r="E79" i="9"/>
  <c r="F79" i="9" s="1"/>
  <c r="AK78" i="9"/>
  <c r="AD78" i="9"/>
  <c r="AF78" i="9" s="1"/>
  <c r="M78" i="9"/>
  <c r="N78" i="9" s="1"/>
  <c r="K78" i="9"/>
  <c r="L78" i="9" s="1"/>
  <c r="I78" i="9"/>
  <c r="J78" i="9" s="1"/>
  <c r="G78" i="9"/>
  <c r="H78" i="9" s="1"/>
  <c r="E78" i="9"/>
  <c r="F78" i="9" s="1"/>
  <c r="AK77" i="9"/>
  <c r="AD77" i="9"/>
  <c r="AF77" i="9" s="1"/>
  <c r="M77" i="9"/>
  <c r="N77" i="9" s="1"/>
  <c r="K77" i="9"/>
  <c r="L77" i="9" s="1"/>
  <c r="I77" i="9"/>
  <c r="J77" i="9" s="1"/>
  <c r="G77" i="9"/>
  <c r="H77" i="9" s="1"/>
  <c r="E77" i="9"/>
  <c r="F77" i="9" s="1"/>
  <c r="AK76" i="9"/>
  <c r="AD76" i="9"/>
  <c r="AF76" i="9" s="1"/>
  <c r="M76" i="9"/>
  <c r="N76" i="9" s="1"/>
  <c r="K76" i="9"/>
  <c r="L76" i="9" s="1"/>
  <c r="I76" i="9"/>
  <c r="J76" i="9" s="1"/>
  <c r="G76" i="9"/>
  <c r="H76" i="9" s="1"/>
  <c r="E76" i="9"/>
  <c r="F76" i="9" s="1"/>
  <c r="AK75" i="9"/>
  <c r="AD75" i="9"/>
  <c r="AF75" i="9" s="1"/>
  <c r="M75" i="9"/>
  <c r="N75" i="9" s="1"/>
  <c r="K75" i="9"/>
  <c r="L75" i="9" s="1"/>
  <c r="I75" i="9"/>
  <c r="J75" i="9" s="1"/>
  <c r="G75" i="9"/>
  <c r="H75" i="9" s="1"/>
  <c r="AK74" i="9"/>
  <c r="AD74" i="9"/>
  <c r="AF74" i="9" s="1"/>
  <c r="M74" i="9"/>
  <c r="N74" i="9" s="1"/>
  <c r="K74" i="9"/>
  <c r="L74" i="9" s="1"/>
  <c r="I74" i="9"/>
  <c r="J74" i="9" s="1"/>
  <c r="G74" i="9"/>
  <c r="H74" i="9" s="1"/>
  <c r="AK73" i="9"/>
  <c r="AD73" i="9"/>
  <c r="AF73" i="9" s="1"/>
  <c r="M73" i="9"/>
  <c r="N73" i="9" s="1"/>
  <c r="K73" i="9"/>
  <c r="L73" i="9" s="1"/>
  <c r="I73" i="9"/>
  <c r="J73" i="9" s="1"/>
  <c r="G73" i="9"/>
  <c r="H73" i="9" s="1"/>
  <c r="AK72" i="9"/>
  <c r="AD72" i="9"/>
  <c r="AF72" i="9" s="1"/>
  <c r="M72" i="9"/>
  <c r="N72" i="9" s="1"/>
  <c r="K72" i="9"/>
  <c r="L72" i="9" s="1"/>
  <c r="I72" i="9"/>
  <c r="J72" i="9" s="1"/>
  <c r="G72" i="9"/>
  <c r="H72" i="9" s="1"/>
  <c r="AK71" i="9"/>
  <c r="AD71" i="9"/>
  <c r="AF71" i="9" s="1"/>
  <c r="M71" i="9"/>
  <c r="N71" i="9" s="1"/>
  <c r="K71" i="9"/>
  <c r="L71" i="9" s="1"/>
  <c r="I71" i="9"/>
  <c r="J71" i="9" s="1"/>
  <c r="G71" i="9"/>
  <c r="H71" i="9" s="1"/>
  <c r="AK70" i="9"/>
  <c r="AD70" i="9"/>
  <c r="AF70" i="9" s="1"/>
  <c r="M70" i="9"/>
  <c r="N70" i="9" s="1"/>
  <c r="K70" i="9"/>
  <c r="L70" i="9" s="1"/>
  <c r="I70" i="9"/>
  <c r="J70" i="9" s="1"/>
  <c r="G70" i="9"/>
  <c r="H70" i="9" s="1"/>
  <c r="AK69" i="9"/>
  <c r="AD69" i="9"/>
  <c r="AF69" i="9" s="1"/>
  <c r="M69" i="9"/>
  <c r="N69" i="9" s="1"/>
  <c r="K69" i="9"/>
  <c r="L69" i="9" s="1"/>
  <c r="I69" i="9"/>
  <c r="J69" i="9" s="1"/>
  <c r="G69" i="9"/>
  <c r="H69" i="9" s="1"/>
  <c r="T69" i="9" s="1"/>
  <c r="AK68" i="9"/>
  <c r="AD68" i="9"/>
  <c r="AF68" i="9" s="1"/>
  <c r="M68" i="9"/>
  <c r="N68" i="9" s="1"/>
  <c r="K68" i="9"/>
  <c r="L68" i="9" s="1"/>
  <c r="I68" i="9"/>
  <c r="J68" i="9" s="1"/>
  <c r="G68" i="9"/>
  <c r="H68" i="9" s="1"/>
  <c r="AK67" i="9"/>
  <c r="AD67" i="9"/>
  <c r="AF67" i="9" s="1"/>
  <c r="M67" i="9"/>
  <c r="N67" i="9" s="1"/>
  <c r="K67" i="9"/>
  <c r="L67" i="9" s="1"/>
  <c r="I67" i="9"/>
  <c r="J67" i="9" s="1"/>
  <c r="G67" i="9"/>
  <c r="H67" i="9" s="1"/>
  <c r="AK66" i="9"/>
  <c r="AD66" i="9"/>
  <c r="AF66" i="9" s="1"/>
  <c r="M66" i="9"/>
  <c r="N66" i="9" s="1"/>
  <c r="K66" i="9"/>
  <c r="L66" i="9" s="1"/>
  <c r="I66" i="9"/>
  <c r="J66" i="9" s="1"/>
  <c r="G66" i="9"/>
  <c r="H66" i="9" s="1"/>
  <c r="AK65" i="9"/>
  <c r="AD65" i="9"/>
  <c r="AF65" i="9" s="1"/>
  <c r="M65" i="9"/>
  <c r="N65" i="9" s="1"/>
  <c r="K65" i="9"/>
  <c r="L65" i="9" s="1"/>
  <c r="I65" i="9"/>
  <c r="J65" i="9" s="1"/>
  <c r="G65" i="9"/>
  <c r="H65" i="9" s="1"/>
  <c r="AK64" i="9"/>
  <c r="AD64" i="9"/>
  <c r="AF64" i="9" s="1"/>
  <c r="M64" i="9"/>
  <c r="N64" i="9" s="1"/>
  <c r="K64" i="9"/>
  <c r="L64" i="9" s="1"/>
  <c r="I64" i="9"/>
  <c r="J64" i="9" s="1"/>
  <c r="G64" i="9"/>
  <c r="H64" i="9" s="1"/>
  <c r="AK63" i="9"/>
  <c r="AD63" i="9"/>
  <c r="AF63" i="9" s="1"/>
  <c r="M63" i="9"/>
  <c r="N63" i="9" s="1"/>
  <c r="K63" i="9"/>
  <c r="L63" i="9" s="1"/>
  <c r="I63" i="9"/>
  <c r="J63" i="9" s="1"/>
  <c r="G63" i="9"/>
  <c r="H63" i="9" s="1"/>
  <c r="AK62" i="9"/>
  <c r="AD62" i="9"/>
  <c r="AF62" i="9" s="1"/>
  <c r="M62" i="9"/>
  <c r="N62" i="9" s="1"/>
  <c r="K62" i="9"/>
  <c r="L62" i="9" s="1"/>
  <c r="I62" i="9"/>
  <c r="J62" i="9" s="1"/>
  <c r="G62" i="9"/>
  <c r="H62" i="9" s="1"/>
  <c r="AK61" i="9"/>
  <c r="AD61" i="9"/>
  <c r="AF61" i="9" s="1"/>
  <c r="M61" i="9"/>
  <c r="N61" i="9" s="1"/>
  <c r="K61" i="9"/>
  <c r="L61" i="9" s="1"/>
  <c r="I61" i="9"/>
  <c r="J61" i="9" s="1"/>
  <c r="G61" i="9"/>
  <c r="H61" i="9" s="1"/>
  <c r="AK60" i="9"/>
  <c r="AD60" i="9"/>
  <c r="AF60" i="9" s="1"/>
  <c r="M60" i="9"/>
  <c r="N60" i="9" s="1"/>
  <c r="K60" i="9"/>
  <c r="L60" i="9" s="1"/>
  <c r="I60" i="9"/>
  <c r="J60" i="9" s="1"/>
  <c r="G60" i="9"/>
  <c r="H60" i="9" s="1"/>
  <c r="AK59" i="9"/>
  <c r="AD59" i="9"/>
  <c r="AF59" i="9" s="1"/>
  <c r="M59" i="9"/>
  <c r="N59" i="9" s="1"/>
  <c r="K59" i="9"/>
  <c r="L59" i="9" s="1"/>
  <c r="I59" i="9"/>
  <c r="J59" i="9" s="1"/>
  <c r="G59" i="9"/>
  <c r="H59" i="9" s="1"/>
  <c r="AK58" i="9"/>
  <c r="AD58" i="9"/>
  <c r="AF58" i="9" s="1"/>
  <c r="M58" i="9"/>
  <c r="N58" i="9" s="1"/>
  <c r="K58" i="9"/>
  <c r="L58" i="9" s="1"/>
  <c r="I58" i="9"/>
  <c r="J58" i="9" s="1"/>
  <c r="G58" i="9"/>
  <c r="H58" i="9" s="1"/>
  <c r="AK57" i="9"/>
  <c r="AD57" i="9"/>
  <c r="AF57" i="9" s="1"/>
  <c r="M57" i="9"/>
  <c r="N57" i="9" s="1"/>
  <c r="K57" i="9"/>
  <c r="L57" i="9" s="1"/>
  <c r="I57" i="9"/>
  <c r="J57" i="9" s="1"/>
  <c r="G57" i="9"/>
  <c r="H57" i="9" s="1"/>
  <c r="AK56" i="9"/>
  <c r="AD56" i="9"/>
  <c r="AF56" i="9" s="1"/>
  <c r="AH56" i="9" s="1"/>
  <c r="M56" i="9"/>
  <c r="N56" i="9" s="1"/>
  <c r="K56" i="9"/>
  <c r="L56" i="9" s="1"/>
  <c r="I56" i="9"/>
  <c r="J56" i="9" s="1"/>
  <c r="G56" i="9"/>
  <c r="H56" i="9" s="1"/>
  <c r="AK55" i="9"/>
  <c r="AD55" i="9"/>
  <c r="AF55" i="9" s="1"/>
  <c r="AH55" i="9" s="1"/>
  <c r="M55" i="9"/>
  <c r="N55" i="9" s="1"/>
  <c r="K55" i="9"/>
  <c r="L55" i="9" s="1"/>
  <c r="I55" i="9"/>
  <c r="J55" i="9" s="1"/>
  <c r="G55" i="9"/>
  <c r="H55" i="9" s="1"/>
  <c r="AK54" i="9"/>
  <c r="AD54" i="9"/>
  <c r="AF54" i="9" s="1"/>
  <c r="AH54" i="9" s="1"/>
  <c r="M54" i="9"/>
  <c r="N54" i="9" s="1"/>
  <c r="K54" i="9"/>
  <c r="L54" i="9" s="1"/>
  <c r="I54" i="9"/>
  <c r="J54" i="9" s="1"/>
  <c r="G54" i="9"/>
  <c r="H54" i="9" s="1"/>
  <c r="AK53" i="9"/>
  <c r="AD53" i="9"/>
  <c r="AF53" i="9" s="1"/>
  <c r="M53" i="9"/>
  <c r="N53" i="9" s="1"/>
  <c r="K53" i="9"/>
  <c r="L53" i="9" s="1"/>
  <c r="I53" i="9"/>
  <c r="J53" i="9" s="1"/>
  <c r="G53" i="9"/>
  <c r="H53" i="9" s="1"/>
  <c r="AK52" i="9"/>
  <c r="AD52" i="9"/>
  <c r="AF52" i="9" s="1"/>
  <c r="M52" i="9"/>
  <c r="N52" i="9" s="1"/>
  <c r="K52" i="9"/>
  <c r="L52" i="9" s="1"/>
  <c r="I52" i="9"/>
  <c r="J52" i="9" s="1"/>
  <c r="G52" i="9"/>
  <c r="H52" i="9" s="1"/>
  <c r="AK51" i="9"/>
  <c r="AD51" i="9"/>
  <c r="AF51" i="9" s="1"/>
  <c r="M51" i="9"/>
  <c r="N51" i="9" s="1"/>
  <c r="K51" i="9"/>
  <c r="L51" i="9" s="1"/>
  <c r="I51" i="9"/>
  <c r="J51" i="9" s="1"/>
  <c r="G51" i="9"/>
  <c r="H51" i="9" s="1"/>
  <c r="AK50" i="9"/>
  <c r="AD50" i="9"/>
  <c r="AF50" i="9" s="1"/>
  <c r="M50" i="9"/>
  <c r="N50" i="9" s="1"/>
  <c r="K50" i="9"/>
  <c r="L50" i="9" s="1"/>
  <c r="I50" i="9"/>
  <c r="J50" i="9" s="1"/>
  <c r="G50" i="9"/>
  <c r="H50" i="9" s="1"/>
  <c r="AK49" i="9"/>
  <c r="AD49" i="9"/>
  <c r="AF49" i="9" s="1"/>
  <c r="M49" i="9"/>
  <c r="N49" i="9" s="1"/>
  <c r="K49" i="9"/>
  <c r="L49" i="9" s="1"/>
  <c r="I49" i="9"/>
  <c r="J49" i="9" s="1"/>
  <c r="G49" i="9"/>
  <c r="H49" i="9" s="1"/>
  <c r="AK48" i="9"/>
  <c r="AD48" i="9"/>
  <c r="AF48" i="9" s="1"/>
  <c r="M48" i="9"/>
  <c r="N48" i="9" s="1"/>
  <c r="K48" i="9"/>
  <c r="L48" i="9" s="1"/>
  <c r="I48" i="9"/>
  <c r="J48" i="9" s="1"/>
  <c r="G48" i="9"/>
  <c r="H48" i="9" s="1"/>
  <c r="AK47" i="9"/>
  <c r="AD47" i="9"/>
  <c r="AF47" i="9" s="1"/>
  <c r="M47" i="9"/>
  <c r="N47" i="9" s="1"/>
  <c r="K47" i="9"/>
  <c r="L47" i="9" s="1"/>
  <c r="I47" i="9"/>
  <c r="J47" i="9" s="1"/>
  <c r="G47" i="9"/>
  <c r="H47" i="9" s="1"/>
  <c r="AK46" i="9"/>
  <c r="AD46" i="9"/>
  <c r="AF46" i="9" s="1"/>
  <c r="M46" i="9"/>
  <c r="N46" i="9" s="1"/>
  <c r="K46" i="9"/>
  <c r="L46" i="9" s="1"/>
  <c r="I46" i="9"/>
  <c r="J46" i="9" s="1"/>
  <c r="G46" i="9"/>
  <c r="H46" i="9" s="1"/>
  <c r="AK45" i="9"/>
  <c r="AD45" i="9"/>
  <c r="AF45" i="9" s="1"/>
  <c r="M45" i="9"/>
  <c r="N45" i="9" s="1"/>
  <c r="K45" i="9"/>
  <c r="L45" i="9" s="1"/>
  <c r="I45" i="9"/>
  <c r="J45" i="9" s="1"/>
  <c r="G45" i="9"/>
  <c r="H45" i="9" s="1"/>
  <c r="AK44" i="9"/>
  <c r="AD44" i="9"/>
  <c r="AF44" i="9" s="1"/>
  <c r="M44" i="9"/>
  <c r="N44" i="9" s="1"/>
  <c r="K44" i="9"/>
  <c r="L44" i="9" s="1"/>
  <c r="I44" i="9"/>
  <c r="J44" i="9" s="1"/>
  <c r="G44" i="9"/>
  <c r="H44" i="9" s="1"/>
  <c r="AK43" i="9"/>
  <c r="AD43" i="9"/>
  <c r="AF43" i="9" s="1"/>
  <c r="M43" i="9"/>
  <c r="N43" i="9" s="1"/>
  <c r="K43" i="9"/>
  <c r="L43" i="9" s="1"/>
  <c r="I43" i="9"/>
  <c r="J43" i="9" s="1"/>
  <c r="G43" i="9"/>
  <c r="H43" i="9" s="1"/>
  <c r="AK42" i="9"/>
  <c r="AD42" i="9"/>
  <c r="AF42" i="9" s="1"/>
  <c r="M42" i="9"/>
  <c r="N42" i="9" s="1"/>
  <c r="K42" i="9"/>
  <c r="L42" i="9" s="1"/>
  <c r="I42" i="9"/>
  <c r="J42" i="9" s="1"/>
  <c r="G42" i="9"/>
  <c r="H42" i="9" s="1"/>
  <c r="AK41" i="9"/>
  <c r="AD41" i="9"/>
  <c r="AF41" i="9" s="1"/>
  <c r="M41" i="9"/>
  <c r="N41" i="9" s="1"/>
  <c r="K41" i="9"/>
  <c r="L41" i="9" s="1"/>
  <c r="I41" i="9"/>
  <c r="J41" i="9" s="1"/>
  <c r="G41" i="9"/>
  <c r="H41" i="9" s="1"/>
  <c r="AK40" i="9"/>
  <c r="AD40" i="9"/>
  <c r="AF40" i="9" s="1"/>
  <c r="M40" i="9"/>
  <c r="N40" i="9" s="1"/>
  <c r="K40" i="9"/>
  <c r="L40" i="9" s="1"/>
  <c r="I40" i="9"/>
  <c r="J40" i="9" s="1"/>
  <c r="G40" i="9"/>
  <c r="H40" i="9" s="1"/>
  <c r="AK39" i="9"/>
  <c r="AD39" i="9"/>
  <c r="AF39" i="9" s="1"/>
  <c r="M39" i="9"/>
  <c r="N39" i="9" s="1"/>
  <c r="K39" i="9"/>
  <c r="L39" i="9" s="1"/>
  <c r="I39" i="9"/>
  <c r="J39" i="9" s="1"/>
  <c r="G39" i="9"/>
  <c r="H39" i="9" s="1"/>
  <c r="T39" i="9" s="1"/>
  <c r="AC39" i="9" s="1"/>
  <c r="AK38" i="9"/>
  <c r="AD38" i="9"/>
  <c r="AF38" i="9" s="1"/>
  <c r="M38" i="9"/>
  <c r="N38" i="9" s="1"/>
  <c r="K38" i="9"/>
  <c r="L38" i="9" s="1"/>
  <c r="I38" i="9"/>
  <c r="J38" i="9" s="1"/>
  <c r="G38" i="9"/>
  <c r="H38" i="9" s="1"/>
  <c r="AK37" i="9"/>
  <c r="AD37" i="9"/>
  <c r="AF37" i="9" s="1"/>
  <c r="M37" i="9"/>
  <c r="N37" i="9" s="1"/>
  <c r="K37" i="9"/>
  <c r="L37" i="9" s="1"/>
  <c r="I37" i="9"/>
  <c r="J37" i="9" s="1"/>
  <c r="G37" i="9"/>
  <c r="H37" i="9" s="1"/>
  <c r="AK36" i="9"/>
  <c r="AD36" i="9"/>
  <c r="AF36" i="9" s="1"/>
  <c r="M36" i="9"/>
  <c r="N36" i="9" s="1"/>
  <c r="K36" i="9"/>
  <c r="L36" i="9" s="1"/>
  <c r="I36" i="9"/>
  <c r="J36" i="9" s="1"/>
  <c r="G36" i="9"/>
  <c r="H36" i="9" s="1"/>
  <c r="AK35" i="9"/>
  <c r="AD35" i="9"/>
  <c r="AF35" i="9" s="1"/>
  <c r="M35" i="9"/>
  <c r="N35" i="9" s="1"/>
  <c r="K35" i="9"/>
  <c r="L35" i="9" s="1"/>
  <c r="I35" i="9"/>
  <c r="J35" i="9" s="1"/>
  <c r="G35" i="9"/>
  <c r="H35" i="9" s="1"/>
  <c r="AK34" i="9"/>
  <c r="AD34" i="9"/>
  <c r="AF34" i="9" s="1"/>
  <c r="AH34" i="9" s="1"/>
  <c r="N34" i="9"/>
  <c r="L34" i="9"/>
  <c r="J34" i="9"/>
  <c r="G34" i="9"/>
  <c r="H34" i="9" s="1"/>
  <c r="AK33" i="9"/>
  <c r="AD33" i="9"/>
  <c r="AF33" i="9" s="1"/>
  <c r="AH33" i="9" s="1"/>
  <c r="N33" i="9"/>
  <c r="L33" i="9"/>
  <c r="J33" i="9"/>
  <c r="G33" i="9"/>
  <c r="H33" i="9" s="1"/>
  <c r="AK32" i="9"/>
  <c r="AD32" i="9"/>
  <c r="AF32" i="9" s="1"/>
  <c r="AH32" i="9" s="1"/>
  <c r="N32" i="9"/>
  <c r="L32" i="9"/>
  <c r="J32" i="9"/>
  <c r="G32" i="9"/>
  <c r="H32" i="9" s="1"/>
  <c r="AK31" i="9"/>
  <c r="AD31" i="9"/>
  <c r="AF31" i="9" s="1"/>
  <c r="M31" i="9"/>
  <c r="N31" i="9" s="1"/>
  <c r="K31" i="9"/>
  <c r="L31" i="9" s="1"/>
  <c r="I31" i="9"/>
  <c r="J31" i="9" s="1"/>
  <c r="G31" i="9"/>
  <c r="H31" i="9" s="1"/>
  <c r="F31" i="9"/>
  <c r="AK30" i="9"/>
  <c r="AD30" i="9"/>
  <c r="AF30" i="9" s="1"/>
  <c r="M30" i="9"/>
  <c r="N30" i="9" s="1"/>
  <c r="K30" i="9"/>
  <c r="L30" i="9" s="1"/>
  <c r="I30" i="9"/>
  <c r="J30" i="9" s="1"/>
  <c r="G30" i="9"/>
  <c r="H30" i="9" s="1"/>
  <c r="F30" i="9"/>
  <c r="AK29" i="9"/>
  <c r="AD29" i="9"/>
  <c r="AF29" i="9" s="1"/>
  <c r="M29" i="9"/>
  <c r="N29" i="9" s="1"/>
  <c r="K29" i="9"/>
  <c r="L29" i="9" s="1"/>
  <c r="I29" i="9"/>
  <c r="J29" i="9" s="1"/>
  <c r="G29" i="9"/>
  <c r="H29" i="9" s="1"/>
  <c r="F29" i="9"/>
  <c r="AK28" i="9"/>
  <c r="AD28" i="9"/>
  <c r="AF28" i="9" s="1"/>
  <c r="M28" i="9"/>
  <c r="N28" i="9" s="1"/>
  <c r="K28" i="9"/>
  <c r="L28" i="9" s="1"/>
  <c r="I28" i="9"/>
  <c r="J28" i="9" s="1"/>
  <c r="G28" i="9"/>
  <c r="H28" i="9" s="1"/>
  <c r="F28" i="9"/>
  <c r="AK27" i="9"/>
  <c r="AD27" i="9"/>
  <c r="AF27" i="9" s="1"/>
  <c r="M27" i="9"/>
  <c r="N27" i="9" s="1"/>
  <c r="K27" i="9"/>
  <c r="L27" i="9" s="1"/>
  <c r="I27" i="9"/>
  <c r="J27" i="9" s="1"/>
  <c r="G27" i="9"/>
  <c r="H27" i="9" s="1"/>
  <c r="F27" i="9"/>
  <c r="AK26" i="9"/>
  <c r="AD26" i="9"/>
  <c r="AF26" i="9" s="1"/>
  <c r="M26" i="9"/>
  <c r="N26" i="9" s="1"/>
  <c r="K26" i="9"/>
  <c r="L26" i="9" s="1"/>
  <c r="I26" i="9"/>
  <c r="J26" i="9" s="1"/>
  <c r="G26" i="9"/>
  <c r="H26" i="9" s="1"/>
  <c r="F26" i="9"/>
  <c r="AK25" i="9"/>
  <c r="AD25" i="9"/>
  <c r="AF25" i="9" s="1"/>
  <c r="M25" i="9"/>
  <c r="N25" i="9" s="1"/>
  <c r="K25" i="9"/>
  <c r="L25" i="9" s="1"/>
  <c r="I25" i="9"/>
  <c r="J25" i="9" s="1"/>
  <c r="G25" i="9"/>
  <c r="H25" i="9" s="1"/>
  <c r="F25" i="9"/>
  <c r="AK24" i="9"/>
  <c r="AD24" i="9"/>
  <c r="AF24" i="9" s="1"/>
  <c r="AH24" i="9" s="1"/>
  <c r="M141" i="1" s="1"/>
  <c r="M24" i="9"/>
  <c r="N24" i="9" s="1"/>
  <c r="K24" i="9"/>
  <c r="L24" i="9" s="1"/>
  <c r="I24" i="9"/>
  <c r="J24" i="9" s="1"/>
  <c r="G24" i="9"/>
  <c r="H24" i="9" s="1"/>
  <c r="F24" i="9"/>
  <c r="AK23" i="9"/>
  <c r="AD23" i="9"/>
  <c r="AF23" i="9" s="1"/>
  <c r="AH23" i="9" s="1"/>
  <c r="M140" i="1" s="1"/>
  <c r="M23" i="9"/>
  <c r="N23" i="9" s="1"/>
  <c r="K23" i="9"/>
  <c r="L23" i="9" s="1"/>
  <c r="I23" i="9"/>
  <c r="J23" i="9" s="1"/>
  <c r="G23" i="9"/>
  <c r="H23" i="9" s="1"/>
  <c r="F23" i="9"/>
  <c r="AK22" i="9"/>
  <c r="AD22" i="9"/>
  <c r="AF22" i="9" s="1"/>
  <c r="AH22" i="9" s="1"/>
  <c r="M139" i="1" s="1"/>
  <c r="M22" i="9"/>
  <c r="N22" i="9" s="1"/>
  <c r="K22" i="9"/>
  <c r="L22" i="9" s="1"/>
  <c r="I22" i="9"/>
  <c r="J22" i="9" s="1"/>
  <c r="G22" i="9"/>
  <c r="H22" i="9" s="1"/>
  <c r="F22" i="9"/>
  <c r="AK21" i="9"/>
  <c r="AD21" i="9"/>
  <c r="AF21" i="9" s="1"/>
  <c r="AH21" i="9" s="1"/>
  <c r="M138" i="1" s="1"/>
  <c r="M21" i="9"/>
  <c r="N21" i="9" s="1"/>
  <c r="K21" i="9"/>
  <c r="L21" i="9" s="1"/>
  <c r="I21" i="9"/>
  <c r="J21" i="9" s="1"/>
  <c r="G21" i="9"/>
  <c r="H21" i="9" s="1"/>
  <c r="F21" i="9"/>
  <c r="AK20" i="9"/>
  <c r="AD20" i="9"/>
  <c r="AF20" i="9" s="1"/>
  <c r="AH20" i="9" s="1"/>
  <c r="M137" i="1" s="1"/>
  <c r="M20" i="9"/>
  <c r="N20" i="9" s="1"/>
  <c r="K20" i="9"/>
  <c r="L20" i="9" s="1"/>
  <c r="I20" i="9"/>
  <c r="J20" i="9" s="1"/>
  <c r="G20" i="9"/>
  <c r="H20" i="9" s="1"/>
  <c r="F20" i="9"/>
  <c r="AK19" i="9"/>
  <c r="AD19" i="9"/>
  <c r="AF19" i="9" s="1"/>
  <c r="AH19" i="9" s="1"/>
  <c r="M136" i="1" s="1"/>
  <c r="M19" i="9"/>
  <c r="N19" i="9" s="1"/>
  <c r="K19" i="9"/>
  <c r="L19" i="9" s="1"/>
  <c r="I19" i="9"/>
  <c r="J19" i="9" s="1"/>
  <c r="G19" i="9"/>
  <c r="H19" i="9" s="1"/>
  <c r="F19" i="9"/>
  <c r="AK18" i="9"/>
  <c r="AD18" i="9"/>
  <c r="AF18" i="9" s="1"/>
  <c r="AH18" i="9" s="1"/>
  <c r="M135" i="1" s="1"/>
  <c r="M18" i="9"/>
  <c r="N18" i="9" s="1"/>
  <c r="K18" i="9"/>
  <c r="L18" i="9" s="1"/>
  <c r="I18" i="9"/>
  <c r="J18" i="9" s="1"/>
  <c r="G18" i="9"/>
  <c r="H18" i="9" s="1"/>
  <c r="F18" i="9"/>
  <c r="AK17" i="9"/>
  <c r="AD17" i="9"/>
  <c r="AF17" i="9" s="1"/>
  <c r="AH17" i="9" s="1"/>
  <c r="M134" i="1" s="1"/>
  <c r="M17" i="9"/>
  <c r="N17" i="9" s="1"/>
  <c r="K17" i="9"/>
  <c r="L17" i="9" s="1"/>
  <c r="I17" i="9"/>
  <c r="J17" i="9" s="1"/>
  <c r="G17" i="9"/>
  <c r="H17" i="9" s="1"/>
  <c r="F17" i="9"/>
  <c r="AK16" i="9"/>
  <c r="AD16" i="9"/>
  <c r="AF16" i="9" s="1"/>
  <c r="AH16" i="9" s="1"/>
  <c r="M133" i="1" s="1"/>
  <c r="M16" i="9"/>
  <c r="N16" i="9" s="1"/>
  <c r="K16" i="9"/>
  <c r="L16" i="9" s="1"/>
  <c r="I16" i="9"/>
  <c r="J16" i="9" s="1"/>
  <c r="G16" i="9"/>
  <c r="H16" i="9" s="1"/>
  <c r="F16" i="9"/>
  <c r="AK15" i="9"/>
  <c r="AD15" i="9"/>
  <c r="AF15" i="9" s="1"/>
  <c r="AH15" i="9" s="1"/>
  <c r="M132" i="1" s="1"/>
  <c r="N15" i="9"/>
  <c r="L15" i="9"/>
  <c r="J15" i="9"/>
  <c r="G15" i="9"/>
  <c r="H15" i="9" s="1"/>
  <c r="F15" i="9"/>
  <c r="AK14" i="9"/>
  <c r="AD14" i="9"/>
  <c r="AF14" i="9" s="1"/>
  <c r="AH14" i="9" s="1"/>
  <c r="M131" i="1" s="1"/>
  <c r="N14" i="9"/>
  <c r="L14" i="9"/>
  <c r="J14" i="9"/>
  <c r="G14" i="9"/>
  <c r="H14" i="9" s="1"/>
  <c r="F14" i="9"/>
  <c r="AK13" i="9"/>
  <c r="AD13" i="9"/>
  <c r="AF13" i="9" s="1"/>
  <c r="AH13" i="9" s="1"/>
  <c r="M130" i="1" s="1"/>
  <c r="N13" i="9"/>
  <c r="L13" i="9"/>
  <c r="J13" i="9"/>
  <c r="G13" i="9"/>
  <c r="H13" i="9" s="1"/>
  <c r="F13" i="9"/>
  <c r="AK12" i="9"/>
  <c r="AD12" i="9"/>
  <c r="AF12" i="9" s="1"/>
  <c r="AH12" i="9" s="1"/>
  <c r="N12" i="9"/>
  <c r="L12" i="9"/>
  <c r="J12" i="9"/>
  <c r="G12" i="9"/>
  <c r="H12" i="9" s="1"/>
  <c r="F12" i="9"/>
  <c r="AK11" i="9"/>
  <c r="AD11" i="9"/>
  <c r="AF11" i="9" s="1"/>
  <c r="AH11" i="9" s="1"/>
  <c r="N11" i="9"/>
  <c r="L11" i="9"/>
  <c r="J11" i="9"/>
  <c r="G11" i="9"/>
  <c r="H11" i="9" s="1"/>
  <c r="F11" i="9"/>
  <c r="AK10" i="9"/>
  <c r="AD10" i="9"/>
  <c r="AF10" i="9" s="1"/>
  <c r="AH10" i="9" s="1"/>
  <c r="N10" i="9"/>
  <c r="L10" i="9"/>
  <c r="J10" i="9"/>
  <c r="G10" i="9"/>
  <c r="H10" i="9" s="1"/>
  <c r="F10" i="9"/>
  <c r="E6" i="9"/>
  <c r="E5" i="9"/>
  <c r="E4" i="9"/>
  <c r="E3" i="9"/>
  <c r="E1" i="9"/>
  <c r="E91" i="8"/>
  <c r="G91" i="8" s="1"/>
  <c r="I91" i="8" s="1"/>
  <c r="E90" i="8"/>
  <c r="G90" i="8" s="1"/>
  <c r="I90" i="8" s="1"/>
  <c r="E89" i="8"/>
  <c r="G89" i="8" s="1"/>
  <c r="I89" i="8" s="1"/>
  <c r="E88" i="8"/>
  <c r="G88" i="8" s="1"/>
  <c r="I88" i="8" s="1"/>
  <c r="E87" i="8"/>
  <c r="G87" i="8" s="1"/>
  <c r="I87" i="8" s="1"/>
  <c r="E86" i="8"/>
  <c r="G86" i="8" s="1"/>
  <c r="I86" i="8" s="1"/>
  <c r="E85" i="8"/>
  <c r="G85" i="8" s="1"/>
  <c r="I85" i="8" s="1"/>
  <c r="E84" i="8"/>
  <c r="G84" i="8" s="1"/>
  <c r="I84" i="8" s="1"/>
  <c r="E83" i="8"/>
  <c r="G83" i="8" s="1"/>
  <c r="I83" i="8" s="1"/>
  <c r="E82" i="8"/>
  <c r="G82" i="8" s="1"/>
  <c r="I82" i="8" s="1"/>
  <c r="E81" i="8"/>
  <c r="G81" i="8" s="1"/>
  <c r="I81" i="8" s="1"/>
  <c r="E80" i="8"/>
  <c r="G80" i="8" s="1"/>
  <c r="I80" i="8" s="1"/>
  <c r="E79" i="8"/>
  <c r="G79" i="8" s="1"/>
  <c r="I79" i="8" s="1"/>
  <c r="E78" i="8"/>
  <c r="G78" i="8" s="1"/>
  <c r="I78" i="8" s="1"/>
  <c r="E77" i="8"/>
  <c r="G77" i="8" s="1"/>
  <c r="I77" i="8" s="1"/>
  <c r="E76" i="8"/>
  <c r="G76" i="8" s="1"/>
  <c r="I76" i="8" s="1"/>
  <c r="E75" i="8"/>
  <c r="G75" i="8" s="1"/>
  <c r="I75" i="8" s="1"/>
  <c r="E74" i="8"/>
  <c r="G74" i="8" s="1"/>
  <c r="I74" i="8" s="1"/>
  <c r="E73" i="8"/>
  <c r="G73" i="8" s="1"/>
  <c r="I73" i="8" s="1"/>
  <c r="E72" i="8"/>
  <c r="G72" i="8" s="1"/>
  <c r="I72" i="8" s="1"/>
  <c r="E71" i="8"/>
  <c r="G71" i="8" s="1"/>
  <c r="I71" i="8" s="1"/>
  <c r="E70" i="8"/>
  <c r="G70" i="8" s="1"/>
  <c r="I70" i="8" s="1"/>
  <c r="E69" i="8"/>
  <c r="G69" i="8" s="1"/>
  <c r="I69" i="8" s="1"/>
  <c r="E68" i="8"/>
  <c r="G68" i="8" s="1"/>
  <c r="I68" i="8" s="1"/>
  <c r="E67" i="8"/>
  <c r="G67" i="8" s="1"/>
  <c r="I67" i="8" s="1"/>
  <c r="E66" i="8"/>
  <c r="G66" i="8" s="1"/>
  <c r="I66" i="8" s="1"/>
  <c r="E65" i="8"/>
  <c r="G65" i="8" s="1"/>
  <c r="I65" i="8" s="1"/>
  <c r="E64" i="8"/>
  <c r="G64" i="8" s="1"/>
  <c r="I64" i="8" s="1"/>
  <c r="E63" i="8"/>
  <c r="G63" i="8" s="1"/>
  <c r="I63" i="8" s="1"/>
  <c r="E62" i="8"/>
  <c r="G62" i="8" s="1"/>
  <c r="I62" i="8" s="1"/>
  <c r="E61" i="8"/>
  <c r="G61" i="8" s="1"/>
  <c r="I61" i="8" s="1"/>
  <c r="E60" i="8"/>
  <c r="G60" i="8" s="1"/>
  <c r="I60" i="8" s="1"/>
  <c r="E59" i="8"/>
  <c r="G59" i="8" s="1"/>
  <c r="I59" i="8" s="1"/>
  <c r="E58" i="8"/>
  <c r="G58" i="8" s="1"/>
  <c r="I58" i="8" s="1"/>
  <c r="E57" i="8"/>
  <c r="G57" i="8" s="1"/>
  <c r="I57" i="8" s="1"/>
  <c r="E56" i="8"/>
  <c r="G56" i="8" s="1"/>
  <c r="I56" i="8" s="1"/>
  <c r="E55" i="8"/>
  <c r="G55" i="8" s="1"/>
  <c r="I55" i="8" s="1"/>
  <c r="E54" i="8"/>
  <c r="G54" i="8" s="1"/>
  <c r="I54" i="8" s="1"/>
  <c r="E53" i="8"/>
  <c r="G53" i="8" s="1"/>
  <c r="I53" i="8" s="1"/>
  <c r="E52" i="8"/>
  <c r="G52" i="8" s="1"/>
  <c r="I52" i="8" s="1"/>
  <c r="E51" i="8"/>
  <c r="G51" i="8" s="1"/>
  <c r="I51" i="8" s="1"/>
  <c r="E50" i="8"/>
  <c r="G50" i="8" s="1"/>
  <c r="I50" i="8" s="1"/>
  <c r="E49" i="8"/>
  <c r="G49" i="8" s="1"/>
  <c r="I49" i="8" s="1"/>
  <c r="E48" i="8"/>
  <c r="G48" i="8" s="1"/>
  <c r="I48" i="8" s="1"/>
  <c r="E47" i="8"/>
  <c r="G47" i="8" s="1"/>
  <c r="I47" i="8" s="1"/>
  <c r="E46" i="8"/>
  <c r="G46" i="8" s="1"/>
  <c r="I46" i="8" s="1"/>
  <c r="E45" i="8"/>
  <c r="G45" i="8" s="1"/>
  <c r="I45" i="8" s="1"/>
  <c r="E44" i="8"/>
  <c r="G44" i="8" s="1"/>
  <c r="I44" i="8" s="1"/>
  <c r="E43" i="8"/>
  <c r="G43" i="8" s="1"/>
  <c r="I43" i="8" s="1"/>
  <c r="E42" i="8"/>
  <c r="G42" i="8" s="1"/>
  <c r="I42" i="8" s="1"/>
  <c r="E41" i="8"/>
  <c r="G41" i="8" s="1"/>
  <c r="I41" i="8" s="1"/>
  <c r="E40" i="8"/>
  <c r="G40" i="8" s="1"/>
  <c r="I40" i="8" s="1"/>
  <c r="E39" i="8"/>
  <c r="G39" i="8" s="1"/>
  <c r="I39" i="8" s="1"/>
  <c r="E38" i="8"/>
  <c r="G38" i="8" s="1"/>
  <c r="I38" i="8" s="1"/>
  <c r="E37" i="8"/>
  <c r="G37" i="8" s="1"/>
  <c r="I37" i="8" s="1"/>
  <c r="E36" i="8"/>
  <c r="G36" i="8" s="1"/>
  <c r="I36" i="8" s="1"/>
  <c r="E35" i="8"/>
  <c r="G35" i="8" s="1"/>
  <c r="I35" i="8" s="1"/>
  <c r="E34" i="8"/>
  <c r="G34" i="8" s="1"/>
  <c r="I34" i="8" s="1"/>
  <c r="E33" i="8"/>
  <c r="G33" i="8" s="1"/>
  <c r="I33" i="8" s="1"/>
  <c r="E32" i="8"/>
  <c r="G32" i="8" s="1"/>
  <c r="I32" i="8" s="1"/>
  <c r="E31" i="8"/>
  <c r="G31" i="8" s="1"/>
  <c r="I31" i="8" s="1"/>
  <c r="E30" i="8"/>
  <c r="G30" i="8" s="1"/>
  <c r="I30" i="8" s="1"/>
  <c r="E29" i="8"/>
  <c r="G29" i="8" s="1"/>
  <c r="I29" i="8" s="1"/>
  <c r="E28" i="8"/>
  <c r="G28" i="8" s="1"/>
  <c r="I28" i="8" s="1"/>
  <c r="E27" i="8"/>
  <c r="G27" i="8" s="1"/>
  <c r="I27" i="8" s="1"/>
  <c r="E26" i="8"/>
  <c r="G26" i="8" s="1"/>
  <c r="I26" i="8" s="1"/>
  <c r="E25" i="8"/>
  <c r="G25" i="8" s="1"/>
  <c r="I25" i="8" s="1"/>
  <c r="E24" i="8"/>
  <c r="G24" i="8" s="1"/>
  <c r="I24" i="8" s="1"/>
  <c r="E23" i="8"/>
  <c r="G23" i="8" s="1"/>
  <c r="I23" i="8" s="1"/>
  <c r="E22" i="8"/>
  <c r="G22" i="8" s="1"/>
  <c r="I22" i="8" s="1"/>
  <c r="E21" i="8"/>
  <c r="G21" i="8" s="1"/>
  <c r="I21" i="8" s="1"/>
  <c r="E20" i="8"/>
  <c r="G20" i="8" s="1"/>
  <c r="I20" i="8" s="1"/>
  <c r="E19" i="8"/>
  <c r="G19" i="8" s="1"/>
  <c r="I19" i="8" s="1"/>
  <c r="E18" i="8"/>
  <c r="G18" i="8" s="1"/>
  <c r="I18" i="8" s="1"/>
  <c r="E17" i="8"/>
  <c r="G17" i="8" s="1"/>
  <c r="I17" i="8" s="1"/>
  <c r="E16" i="8"/>
  <c r="G16" i="8" s="1"/>
  <c r="I16" i="8" s="1"/>
  <c r="E15" i="8"/>
  <c r="G15" i="8" s="1"/>
  <c r="I15" i="8" s="1"/>
  <c r="E14" i="8"/>
  <c r="G14" i="8" s="1"/>
  <c r="I14" i="8" s="1"/>
  <c r="E13" i="8"/>
  <c r="G13" i="8" s="1"/>
  <c r="I13" i="8" s="1"/>
  <c r="E12" i="8"/>
  <c r="G12" i="8" s="1"/>
  <c r="I12" i="8" s="1"/>
  <c r="E11" i="8"/>
  <c r="G11" i="8" s="1"/>
  <c r="I11" i="8" s="1"/>
  <c r="E10" i="8"/>
  <c r="G10" i="8" s="1"/>
  <c r="I10" i="8" s="1"/>
  <c r="G9" i="8"/>
  <c r="I9" i="8" s="1"/>
  <c r="E8" i="8"/>
  <c r="G8" i="8" s="1"/>
  <c r="I8" i="8" s="1"/>
  <c r="E7" i="8"/>
  <c r="G7" i="8" s="1"/>
  <c r="I7" i="8" s="1"/>
  <c r="E6" i="8"/>
  <c r="G6" i="8" s="1"/>
  <c r="I6" i="8" s="1"/>
  <c r="E5" i="8"/>
  <c r="G5" i="8" s="1"/>
  <c r="I5" i="8" s="1"/>
  <c r="E4" i="8"/>
  <c r="G4" i="8" s="1"/>
  <c r="I4" i="8" s="1"/>
  <c r="O53" i="7"/>
  <c r="L53" i="7"/>
  <c r="J53" i="7"/>
  <c r="H53" i="7"/>
  <c r="F53" i="7"/>
  <c r="D53" i="7"/>
  <c r="O52" i="7"/>
  <c r="L52" i="7"/>
  <c r="J52" i="7"/>
  <c r="H52" i="7"/>
  <c r="F52" i="7"/>
  <c r="D52" i="7"/>
  <c r="O51" i="7"/>
  <c r="L51" i="7"/>
  <c r="F51" i="7"/>
  <c r="O50" i="7"/>
  <c r="L50" i="7"/>
  <c r="J50" i="7"/>
  <c r="H50" i="7"/>
  <c r="F50" i="7"/>
  <c r="D50" i="7"/>
  <c r="O49" i="7"/>
  <c r="L49" i="7"/>
  <c r="J49" i="7"/>
  <c r="H49" i="7"/>
  <c r="F49" i="7"/>
  <c r="D49" i="7"/>
  <c r="O48" i="7"/>
  <c r="L48" i="7"/>
  <c r="J48" i="7"/>
  <c r="H48" i="7"/>
  <c r="F48" i="7"/>
  <c r="D48" i="7"/>
  <c r="O47" i="7"/>
  <c r="L47" i="7"/>
  <c r="J47" i="7"/>
  <c r="H47" i="7"/>
  <c r="F47" i="7"/>
  <c r="D47" i="7"/>
  <c r="O46" i="7"/>
  <c r="L46" i="7"/>
  <c r="J46" i="7"/>
  <c r="H46" i="7"/>
  <c r="F46" i="7"/>
  <c r="D46" i="7"/>
  <c r="O45" i="7"/>
  <c r="L45" i="7"/>
  <c r="J45" i="7"/>
  <c r="H45" i="7"/>
  <c r="F45" i="7"/>
  <c r="D45" i="7"/>
  <c r="O44" i="7"/>
  <c r="L44" i="7"/>
  <c r="J44" i="7"/>
  <c r="H44" i="7"/>
  <c r="F44" i="7"/>
  <c r="D44" i="7"/>
  <c r="O43" i="7"/>
  <c r="L43" i="7"/>
  <c r="J43" i="7"/>
  <c r="H43" i="7"/>
  <c r="F43" i="7"/>
  <c r="D43" i="7"/>
  <c r="O42" i="7"/>
  <c r="L42" i="7"/>
  <c r="F42" i="7"/>
  <c r="O41" i="7"/>
  <c r="L41" i="7"/>
  <c r="J41" i="7"/>
  <c r="H41" i="7"/>
  <c r="F41" i="7"/>
  <c r="D41" i="7"/>
  <c r="O40" i="7"/>
  <c r="L40" i="7"/>
  <c r="J40" i="7"/>
  <c r="H40" i="7"/>
  <c r="F40" i="7"/>
  <c r="D40" i="7"/>
  <c r="O39" i="7"/>
  <c r="L39" i="7"/>
  <c r="J39" i="7"/>
  <c r="H39" i="7"/>
  <c r="F39" i="7"/>
  <c r="D39" i="7"/>
  <c r="O38" i="7"/>
  <c r="L38" i="7"/>
  <c r="J38" i="7"/>
  <c r="H38" i="7"/>
  <c r="F38" i="7"/>
  <c r="D38" i="7"/>
  <c r="O37" i="7"/>
  <c r="L37" i="7"/>
  <c r="J37" i="7"/>
  <c r="H37" i="7"/>
  <c r="F37" i="7"/>
  <c r="D37" i="7"/>
  <c r="O36" i="7"/>
  <c r="L36" i="7"/>
  <c r="J36" i="7"/>
  <c r="H36" i="7"/>
  <c r="F36" i="7"/>
  <c r="D36" i="7"/>
  <c r="O35" i="7"/>
  <c r="L35" i="7"/>
  <c r="J35" i="7"/>
  <c r="F35" i="7"/>
  <c r="O34" i="7"/>
  <c r="L34" i="7"/>
  <c r="J34" i="7"/>
  <c r="H34" i="7"/>
  <c r="F34" i="7"/>
  <c r="D34" i="7"/>
  <c r="O33" i="7"/>
  <c r="L33" i="7"/>
  <c r="J33" i="7"/>
  <c r="H33" i="7"/>
  <c r="F33" i="7"/>
  <c r="D33" i="7"/>
  <c r="O32" i="7"/>
  <c r="L32" i="7"/>
  <c r="J32" i="7"/>
  <c r="H32" i="7"/>
  <c r="F32" i="7"/>
  <c r="D32" i="7"/>
  <c r="BC27" i="7"/>
  <c r="BE27" i="7" s="1"/>
  <c r="BG27" i="7" s="1"/>
  <c r="AW27" i="7"/>
  <c r="AX27" i="7" s="1"/>
  <c r="AR27" i="7"/>
  <c r="AS27" i="7" s="1"/>
  <c r="AM27" i="7"/>
  <c r="AN27" i="7" s="1"/>
  <c r="AH27" i="7"/>
  <c r="AI27" i="7" s="1"/>
  <c r="AA27" i="7"/>
  <c r="Z27" i="7" s="1"/>
  <c r="AB27" i="7" s="1"/>
  <c r="AC27" i="7" s="1"/>
  <c r="X27" i="7"/>
  <c r="Y27" i="7" s="1"/>
  <c r="S27" i="7"/>
  <c r="L27" i="7"/>
  <c r="K27" i="7" s="1"/>
  <c r="H27" i="7"/>
  <c r="G27" i="7" s="1"/>
  <c r="D27" i="7"/>
  <c r="BC26" i="7"/>
  <c r="BE26" i="7" s="1"/>
  <c r="BG26" i="7" s="1"/>
  <c r="AW26" i="7"/>
  <c r="AX26" i="7" s="1"/>
  <c r="AR26" i="7"/>
  <c r="AS26" i="7" s="1"/>
  <c r="AM26" i="7"/>
  <c r="AN26" i="7" s="1"/>
  <c r="AH26" i="7"/>
  <c r="AI26" i="7" s="1"/>
  <c r="AA26" i="7"/>
  <c r="Z26" i="7" s="1"/>
  <c r="AB26" i="7" s="1"/>
  <c r="AC26" i="7" s="1"/>
  <c r="X26" i="7"/>
  <c r="Y26" i="7" s="1"/>
  <c r="S26" i="7"/>
  <c r="L26" i="7"/>
  <c r="K26" i="7" s="1"/>
  <c r="H26" i="7"/>
  <c r="G26" i="7" s="1"/>
  <c r="D26" i="7"/>
  <c r="BC25" i="7"/>
  <c r="BE25" i="7" s="1"/>
  <c r="BG25" i="7" s="1"/>
  <c r="AW25" i="7"/>
  <c r="AX25" i="7" s="1"/>
  <c r="AR25" i="7"/>
  <c r="AS25" i="7" s="1"/>
  <c r="AM25" i="7"/>
  <c r="AN25" i="7" s="1"/>
  <c r="AH25" i="7"/>
  <c r="AI25" i="7" s="1"/>
  <c r="AA25" i="7"/>
  <c r="Z25" i="7" s="1"/>
  <c r="AB25" i="7" s="1"/>
  <c r="AC25" i="7" s="1"/>
  <c r="X25" i="7"/>
  <c r="Y25" i="7" s="1"/>
  <c r="S25" i="7"/>
  <c r="L25" i="7"/>
  <c r="K25" i="7" s="1"/>
  <c r="H25" i="7"/>
  <c r="G25" i="7" s="1"/>
  <c r="D25" i="7"/>
  <c r="C25" i="7" s="1"/>
  <c r="BC24" i="7"/>
  <c r="BE24" i="7" s="1"/>
  <c r="BG24" i="7" s="1"/>
  <c r="AW24" i="7"/>
  <c r="AX24" i="7" s="1"/>
  <c r="AR24" i="7"/>
  <c r="AS24" i="7" s="1"/>
  <c r="AM24" i="7"/>
  <c r="AN24" i="7" s="1"/>
  <c r="AH24" i="7"/>
  <c r="AI24" i="7" s="1"/>
  <c r="AA24" i="7"/>
  <c r="Z24" i="7" s="1"/>
  <c r="AB24" i="7" s="1"/>
  <c r="AC24" i="7" s="1"/>
  <c r="X24" i="7"/>
  <c r="Y24" i="7" s="1"/>
  <c r="S24" i="7"/>
  <c r="L24" i="7"/>
  <c r="K24" i="7" s="1"/>
  <c r="H24" i="7"/>
  <c r="G24" i="7" s="1"/>
  <c r="D24" i="7"/>
  <c r="BC23" i="7"/>
  <c r="BE23" i="7" s="1"/>
  <c r="BG23" i="7" s="1"/>
  <c r="AW23" i="7"/>
  <c r="AX23" i="7" s="1"/>
  <c r="AR23" i="7"/>
  <c r="AS23" i="7" s="1"/>
  <c r="AM23" i="7"/>
  <c r="AN23" i="7" s="1"/>
  <c r="AH23" i="7"/>
  <c r="AI23" i="7" s="1"/>
  <c r="AA23" i="7"/>
  <c r="Z23" i="7" s="1"/>
  <c r="AB23" i="7" s="1"/>
  <c r="AC23" i="7" s="1"/>
  <c r="X23" i="7"/>
  <c r="Y23" i="7" s="1"/>
  <c r="S23" i="7"/>
  <c r="L23" i="7"/>
  <c r="K23" i="7" s="1"/>
  <c r="H23" i="7"/>
  <c r="G23" i="7" s="1"/>
  <c r="D23" i="7"/>
  <c r="BC22" i="7"/>
  <c r="BE22" i="7" s="1"/>
  <c r="BG22" i="7" s="1"/>
  <c r="AW22" i="7"/>
  <c r="AX22" i="7" s="1"/>
  <c r="AR22" i="7"/>
  <c r="AS22" i="7" s="1"/>
  <c r="AM22" i="7"/>
  <c r="AN22" i="7" s="1"/>
  <c r="AH22" i="7"/>
  <c r="AI22" i="7" s="1"/>
  <c r="AA22" i="7"/>
  <c r="Z22" i="7" s="1"/>
  <c r="AB22" i="7" s="1"/>
  <c r="AC22" i="7" s="1"/>
  <c r="X22" i="7"/>
  <c r="Y22" i="7" s="1"/>
  <c r="S22" i="7"/>
  <c r="L22" i="7"/>
  <c r="K22" i="7" s="1"/>
  <c r="H22" i="7"/>
  <c r="G22" i="7" s="1"/>
  <c r="D22" i="7"/>
  <c r="BC21" i="7"/>
  <c r="BE21" i="7" s="1"/>
  <c r="BG21" i="7" s="1"/>
  <c r="AW21" i="7"/>
  <c r="AX21" i="7" s="1"/>
  <c r="AR21" i="7"/>
  <c r="AS21" i="7" s="1"/>
  <c r="AM21" i="7"/>
  <c r="AN21" i="7" s="1"/>
  <c r="AH21" i="7"/>
  <c r="AI21" i="7" s="1"/>
  <c r="AA21" i="7"/>
  <c r="Z21" i="7" s="1"/>
  <c r="AB21" i="7" s="1"/>
  <c r="AC21" i="7" s="1"/>
  <c r="X21" i="7"/>
  <c r="Y21" i="7" s="1"/>
  <c r="S21" i="7"/>
  <c r="L21" i="7"/>
  <c r="K21" i="7" s="1"/>
  <c r="H21" i="7"/>
  <c r="G21" i="7" s="1"/>
  <c r="D21" i="7"/>
  <c r="C21" i="7" s="1"/>
  <c r="BC20" i="7"/>
  <c r="BE20" i="7" s="1"/>
  <c r="BG20" i="7" s="1"/>
  <c r="AW20" i="7"/>
  <c r="AX20" i="7" s="1"/>
  <c r="AR20" i="7"/>
  <c r="AS20" i="7" s="1"/>
  <c r="AM20" i="7"/>
  <c r="AN20" i="7" s="1"/>
  <c r="AH20" i="7"/>
  <c r="AI20" i="7" s="1"/>
  <c r="AA20" i="7"/>
  <c r="Z20" i="7" s="1"/>
  <c r="AB20" i="7" s="1"/>
  <c r="AC20" i="7" s="1"/>
  <c r="X20" i="7"/>
  <c r="Y20" i="7" s="1"/>
  <c r="S20" i="7"/>
  <c r="L20" i="7"/>
  <c r="K20" i="7" s="1"/>
  <c r="H20" i="7"/>
  <c r="G20" i="7" s="1"/>
  <c r="D20" i="7"/>
  <c r="BC19" i="7"/>
  <c r="BE19" i="7" s="1"/>
  <c r="BG19" i="7" s="1"/>
  <c r="AW19" i="7"/>
  <c r="AX19" i="7" s="1"/>
  <c r="AR19" i="7"/>
  <c r="AS19" i="7" s="1"/>
  <c r="AM19" i="7"/>
  <c r="AN19" i="7" s="1"/>
  <c r="AH19" i="7"/>
  <c r="AI19" i="7" s="1"/>
  <c r="AA19" i="7"/>
  <c r="Z19" i="7" s="1"/>
  <c r="AB19" i="7" s="1"/>
  <c r="AC19" i="7" s="1"/>
  <c r="X19" i="7"/>
  <c r="Y19" i="7" s="1"/>
  <c r="S19" i="7"/>
  <c r="L19" i="7"/>
  <c r="K19" i="7" s="1"/>
  <c r="H19" i="7"/>
  <c r="G19" i="7" s="1"/>
  <c r="D19" i="7"/>
  <c r="C19" i="7" s="1"/>
  <c r="BC18" i="7"/>
  <c r="BE18" i="7" s="1"/>
  <c r="BG18" i="7" s="1"/>
  <c r="AW18" i="7"/>
  <c r="AX18" i="7" s="1"/>
  <c r="AR18" i="7"/>
  <c r="AS18" i="7" s="1"/>
  <c r="AM18" i="7"/>
  <c r="AN18" i="7" s="1"/>
  <c r="AH18" i="7"/>
  <c r="AI18" i="7" s="1"/>
  <c r="AA18" i="7"/>
  <c r="Z18" i="7" s="1"/>
  <c r="AB18" i="7" s="1"/>
  <c r="AC18" i="7" s="1"/>
  <c r="X18" i="7"/>
  <c r="Y18" i="7" s="1"/>
  <c r="S18" i="7"/>
  <c r="L18" i="7"/>
  <c r="K18" i="7" s="1"/>
  <c r="H18" i="7"/>
  <c r="G18" i="7" s="1"/>
  <c r="D18" i="7"/>
  <c r="BC17" i="7"/>
  <c r="BE17" i="7" s="1"/>
  <c r="BG17" i="7" s="1"/>
  <c r="AW17" i="7"/>
  <c r="AX17" i="7" s="1"/>
  <c r="AR17" i="7"/>
  <c r="AS17" i="7" s="1"/>
  <c r="AM17" i="7"/>
  <c r="AN17" i="7" s="1"/>
  <c r="AH17" i="7"/>
  <c r="AI17" i="7" s="1"/>
  <c r="AA17" i="7"/>
  <c r="Z17" i="7" s="1"/>
  <c r="AB17" i="7" s="1"/>
  <c r="AC17" i="7" s="1"/>
  <c r="X17" i="7"/>
  <c r="Y17" i="7" s="1"/>
  <c r="S17" i="7"/>
  <c r="L17" i="7"/>
  <c r="K17" i="7" s="1"/>
  <c r="H17" i="7"/>
  <c r="G17" i="7" s="1"/>
  <c r="D17" i="7"/>
  <c r="C17" i="7" s="1"/>
  <c r="BC16" i="7"/>
  <c r="BE16" i="7" s="1"/>
  <c r="BG16" i="7" s="1"/>
  <c r="AW16" i="7"/>
  <c r="AX16" i="7" s="1"/>
  <c r="AR16" i="7"/>
  <c r="AS16" i="7" s="1"/>
  <c r="AM16" i="7"/>
  <c r="AN16" i="7" s="1"/>
  <c r="AH16" i="7"/>
  <c r="AI16" i="7" s="1"/>
  <c r="AA16" i="7"/>
  <c r="Z16" i="7" s="1"/>
  <c r="AB16" i="7" s="1"/>
  <c r="AC16" i="7" s="1"/>
  <c r="X16" i="7"/>
  <c r="Y16" i="7" s="1"/>
  <c r="S16" i="7"/>
  <c r="L16" i="7"/>
  <c r="K16" i="7" s="1"/>
  <c r="H16" i="7"/>
  <c r="G16" i="7" s="1"/>
  <c r="D16" i="7"/>
  <c r="BC15" i="7"/>
  <c r="BE15" i="7" s="1"/>
  <c r="BG15" i="7" s="1"/>
  <c r="AW15" i="7"/>
  <c r="AX15" i="7" s="1"/>
  <c r="AR15" i="7"/>
  <c r="AS15" i="7" s="1"/>
  <c r="AM15" i="7"/>
  <c r="AN15" i="7" s="1"/>
  <c r="AH15" i="7"/>
  <c r="AI15" i="7" s="1"/>
  <c r="AA15" i="7"/>
  <c r="Z15" i="7" s="1"/>
  <c r="AB15" i="7" s="1"/>
  <c r="AC15" i="7" s="1"/>
  <c r="X15" i="7"/>
  <c r="Y15" i="7" s="1"/>
  <c r="S15" i="7"/>
  <c r="L15" i="7"/>
  <c r="K15" i="7" s="1"/>
  <c r="H15" i="7"/>
  <c r="G15" i="7" s="1"/>
  <c r="D15" i="7"/>
  <c r="C15" i="7" s="1"/>
  <c r="BC14" i="7"/>
  <c r="BE14" i="7" s="1"/>
  <c r="BG14" i="7" s="1"/>
  <c r="AW14" i="7"/>
  <c r="AX14" i="7" s="1"/>
  <c r="AR14" i="7"/>
  <c r="AS14" i="7" s="1"/>
  <c r="AM14" i="7"/>
  <c r="AN14" i="7" s="1"/>
  <c r="AH14" i="7"/>
  <c r="AI14" i="7" s="1"/>
  <c r="AA14" i="7"/>
  <c r="Z14" i="7" s="1"/>
  <c r="AB14" i="7" s="1"/>
  <c r="AC14" i="7" s="1"/>
  <c r="X14" i="7"/>
  <c r="Y14" i="7" s="1"/>
  <c r="S14" i="7"/>
  <c r="L14" i="7"/>
  <c r="K14" i="7" s="1"/>
  <c r="H14" i="7"/>
  <c r="G14" i="7" s="1"/>
  <c r="D14" i="7"/>
  <c r="BC13" i="7"/>
  <c r="BE13" i="7" s="1"/>
  <c r="BG13" i="7" s="1"/>
  <c r="AW13" i="7"/>
  <c r="AX13" i="7" s="1"/>
  <c r="AR13" i="7"/>
  <c r="AS13" i="7" s="1"/>
  <c r="AM13" i="7"/>
  <c r="AN13" i="7" s="1"/>
  <c r="AH13" i="7"/>
  <c r="AI13" i="7" s="1"/>
  <c r="AA13" i="7"/>
  <c r="Z13" i="7" s="1"/>
  <c r="AB13" i="7" s="1"/>
  <c r="AC13" i="7" s="1"/>
  <c r="X13" i="7"/>
  <c r="Y13" i="7" s="1"/>
  <c r="S13" i="7"/>
  <c r="L13" i="7"/>
  <c r="K13" i="7" s="1"/>
  <c r="H13" i="7"/>
  <c r="G13" i="7" s="1"/>
  <c r="D13" i="7"/>
  <c r="C13" i="7" s="1"/>
  <c r="BC12" i="7"/>
  <c r="BE12" i="7" s="1"/>
  <c r="BG12" i="7" s="1"/>
  <c r="AW12" i="7"/>
  <c r="AX12" i="7" s="1"/>
  <c r="AR12" i="7"/>
  <c r="AS12" i="7" s="1"/>
  <c r="AM12" i="7"/>
  <c r="AN12" i="7" s="1"/>
  <c r="AH12" i="7"/>
  <c r="AI12" i="7" s="1"/>
  <c r="AA12" i="7"/>
  <c r="Z12" i="7" s="1"/>
  <c r="AB12" i="7" s="1"/>
  <c r="AC12" i="7" s="1"/>
  <c r="X12" i="7"/>
  <c r="Y12" i="7" s="1"/>
  <c r="S12" i="7"/>
  <c r="L12" i="7"/>
  <c r="K12" i="7" s="1"/>
  <c r="H12" i="7"/>
  <c r="G12" i="7" s="1"/>
  <c r="D12" i="7"/>
  <c r="BC11" i="7"/>
  <c r="BE11" i="7" s="1"/>
  <c r="BG11" i="7" s="1"/>
  <c r="AW11" i="7"/>
  <c r="AX11" i="7" s="1"/>
  <c r="AR11" i="7"/>
  <c r="AS11" i="7" s="1"/>
  <c r="AM11" i="7"/>
  <c r="AN11" i="7" s="1"/>
  <c r="AH11" i="7"/>
  <c r="AI11" i="7" s="1"/>
  <c r="AA11" i="7"/>
  <c r="Z11" i="7" s="1"/>
  <c r="AB11" i="7" s="1"/>
  <c r="AC11" i="7" s="1"/>
  <c r="X11" i="7"/>
  <c r="Y11" i="7" s="1"/>
  <c r="S11" i="7"/>
  <c r="L11" i="7"/>
  <c r="K11" i="7" s="1"/>
  <c r="H11" i="7"/>
  <c r="G11" i="7" s="1"/>
  <c r="D11" i="7"/>
  <c r="C11" i="7" s="1"/>
  <c r="BC10" i="7"/>
  <c r="BE10" i="7" s="1"/>
  <c r="BG10" i="7" s="1"/>
  <c r="AW10" i="7"/>
  <c r="AX10" i="7" s="1"/>
  <c r="AR10" i="7"/>
  <c r="AS10" i="7" s="1"/>
  <c r="AM10" i="7"/>
  <c r="AN10" i="7" s="1"/>
  <c r="AH10" i="7"/>
  <c r="AI10" i="7" s="1"/>
  <c r="AA10" i="7"/>
  <c r="Z10" i="7" s="1"/>
  <c r="AB10" i="7" s="1"/>
  <c r="AC10" i="7" s="1"/>
  <c r="X10" i="7"/>
  <c r="Y10" i="7" s="1"/>
  <c r="S10" i="7"/>
  <c r="L10" i="7"/>
  <c r="K10" i="7" s="1"/>
  <c r="H10" i="7"/>
  <c r="G10" i="7" s="1"/>
  <c r="D10" i="7"/>
  <c r="BE9" i="7"/>
  <c r="BG9" i="7" s="1"/>
  <c r="AW9" i="7"/>
  <c r="AX9" i="7" s="1"/>
  <c r="AR9" i="7"/>
  <c r="AS9" i="7" s="1"/>
  <c r="AM9" i="7"/>
  <c r="AN9" i="7" s="1"/>
  <c r="AH9" i="7"/>
  <c r="AI9" i="7" s="1"/>
  <c r="AA9" i="7"/>
  <c r="Z9" i="7" s="1"/>
  <c r="AB9" i="7" s="1"/>
  <c r="AC9" i="7" s="1"/>
  <c r="X9" i="7"/>
  <c r="Y9" i="7" s="1"/>
  <c r="S9" i="7"/>
  <c r="L9" i="7"/>
  <c r="K9" i="7" s="1"/>
  <c r="H9" i="7"/>
  <c r="G9" i="7" s="1"/>
  <c r="D9" i="7"/>
  <c r="C9" i="7" s="1"/>
  <c r="BC8" i="7"/>
  <c r="BE8" i="7" s="1"/>
  <c r="BG8" i="7" s="1"/>
  <c r="BA8" i="7"/>
  <c r="E33" i="4" s="1"/>
  <c r="AI8" i="7"/>
  <c r="AC8" i="7"/>
  <c r="Y8" i="7"/>
  <c r="BC7" i="7"/>
  <c r="BE7" i="7" s="1"/>
  <c r="BG7" i="7" s="1"/>
  <c r="BA7" i="7"/>
  <c r="E32" i="4" s="1"/>
  <c r="AI7" i="7"/>
  <c r="AC7" i="7"/>
  <c r="Y7" i="7"/>
  <c r="BC6" i="7"/>
  <c r="BE6" i="7" s="1"/>
  <c r="BG6" i="7" s="1"/>
  <c r="BA6" i="7"/>
  <c r="E4" i="4" s="1"/>
  <c r="AI6" i="7"/>
  <c r="AC6" i="7"/>
  <c r="Y6" i="7"/>
  <c r="J2" i="5"/>
  <c r="T9" i="5" s="1"/>
  <c r="N1" i="5"/>
  <c r="O10" i="5" s="1"/>
  <c r="J1" i="5"/>
  <c r="M6" i="5" s="1"/>
  <c r="I52" i="4"/>
  <c r="F52" i="4"/>
  <c r="H52" i="4" s="1"/>
  <c r="I51" i="4"/>
  <c r="F51" i="4"/>
  <c r="H51" i="4" s="1"/>
  <c r="I50" i="4"/>
  <c r="F50" i="4"/>
  <c r="H50" i="4" s="1"/>
  <c r="I49" i="4"/>
  <c r="F49" i="4"/>
  <c r="H49" i="4" s="1"/>
  <c r="I48" i="4"/>
  <c r="F48" i="4"/>
  <c r="H48" i="4" s="1"/>
  <c r="I47" i="4"/>
  <c r="F47" i="4"/>
  <c r="H47" i="4" s="1"/>
  <c r="I46" i="4"/>
  <c r="F46" i="4"/>
  <c r="H46" i="4" s="1"/>
  <c r="I45" i="4"/>
  <c r="F45" i="4"/>
  <c r="H45" i="4" s="1"/>
  <c r="I44" i="4"/>
  <c r="F44" i="4"/>
  <c r="H44" i="4" s="1"/>
  <c r="I43" i="4"/>
  <c r="F43" i="4"/>
  <c r="H43" i="4" s="1"/>
  <c r="I42" i="4"/>
  <c r="F42" i="4"/>
  <c r="H42" i="4" s="1"/>
  <c r="I41" i="4"/>
  <c r="F41" i="4"/>
  <c r="H41" i="4" s="1"/>
  <c r="I40" i="4"/>
  <c r="F40" i="4"/>
  <c r="H40" i="4" s="1"/>
  <c r="I39" i="4"/>
  <c r="F39" i="4"/>
  <c r="H39" i="4" s="1"/>
  <c r="I38" i="4"/>
  <c r="F38" i="4"/>
  <c r="H38" i="4" s="1"/>
  <c r="I37" i="4"/>
  <c r="F37" i="4"/>
  <c r="H37" i="4" s="1"/>
  <c r="I36" i="4"/>
  <c r="F36" i="4"/>
  <c r="H36" i="4" s="1"/>
  <c r="I35" i="4"/>
  <c r="F35" i="4"/>
  <c r="H35" i="4" s="1"/>
  <c r="I34" i="4"/>
  <c r="F34" i="4"/>
  <c r="H34" i="4" s="1"/>
  <c r="I33" i="4"/>
  <c r="F33" i="4"/>
  <c r="H33" i="4" s="1"/>
  <c r="I32" i="4"/>
  <c r="F32" i="4"/>
  <c r="H32" i="4" s="1"/>
  <c r="I31" i="4"/>
  <c r="F31" i="4"/>
  <c r="H31" i="4" s="1"/>
  <c r="F25" i="4"/>
  <c r="H25" i="4" s="1"/>
  <c r="F24" i="4"/>
  <c r="H24" i="4" s="1"/>
  <c r="F23" i="4"/>
  <c r="H23" i="4" s="1"/>
  <c r="F22" i="4"/>
  <c r="H22" i="4" s="1"/>
  <c r="F21" i="4"/>
  <c r="H21" i="4" s="1"/>
  <c r="F20" i="4"/>
  <c r="H20" i="4" s="1"/>
  <c r="F19" i="4"/>
  <c r="H19" i="4" s="1"/>
  <c r="F18" i="4"/>
  <c r="H18" i="4" s="1"/>
  <c r="F17" i="4"/>
  <c r="H17" i="4" s="1"/>
  <c r="F16" i="4"/>
  <c r="H16" i="4" s="1"/>
  <c r="F15" i="4"/>
  <c r="H15" i="4" s="1"/>
  <c r="F14" i="4"/>
  <c r="H14" i="4" s="1"/>
  <c r="F13" i="4"/>
  <c r="H13" i="4" s="1"/>
  <c r="F12" i="4"/>
  <c r="H12" i="4" s="1"/>
  <c r="F11" i="4"/>
  <c r="H11" i="4" s="1"/>
  <c r="F10" i="4"/>
  <c r="H10" i="4" s="1"/>
  <c r="F9" i="4"/>
  <c r="H9" i="4" s="1"/>
  <c r="F8" i="4"/>
  <c r="H8" i="4" s="1"/>
  <c r="F7" i="4"/>
  <c r="H7" i="4" s="1"/>
  <c r="F6" i="4"/>
  <c r="H6" i="4" s="1"/>
  <c r="F5" i="4"/>
  <c r="H5" i="4" s="1"/>
  <c r="F4" i="4"/>
  <c r="H4" i="4" s="1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C16" i="2"/>
  <c r="C14" i="2"/>
  <c r="C9" i="2"/>
  <c r="O54" i="6"/>
  <c r="L54" i="6"/>
  <c r="J54" i="6"/>
  <c r="H54" i="6"/>
  <c r="F54" i="6"/>
  <c r="D54" i="6"/>
  <c r="O53" i="6"/>
  <c r="L53" i="6"/>
  <c r="J53" i="6"/>
  <c r="H53" i="6"/>
  <c r="F53" i="6"/>
  <c r="D53" i="6"/>
  <c r="O52" i="6"/>
  <c r="L52" i="6"/>
  <c r="F52" i="6"/>
  <c r="O51" i="6"/>
  <c r="L51" i="6"/>
  <c r="J51" i="6"/>
  <c r="H51" i="6"/>
  <c r="F51" i="6"/>
  <c r="D51" i="6"/>
  <c r="O50" i="6"/>
  <c r="L50" i="6"/>
  <c r="J50" i="6"/>
  <c r="H50" i="6"/>
  <c r="F50" i="6"/>
  <c r="D50" i="6"/>
  <c r="O49" i="6"/>
  <c r="L49" i="6"/>
  <c r="J49" i="6"/>
  <c r="H49" i="6"/>
  <c r="F49" i="6"/>
  <c r="D49" i="6"/>
  <c r="O48" i="6"/>
  <c r="L48" i="6"/>
  <c r="J48" i="6"/>
  <c r="H48" i="6"/>
  <c r="F48" i="6"/>
  <c r="D48" i="6"/>
  <c r="O47" i="6"/>
  <c r="L47" i="6"/>
  <c r="J47" i="6"/>
  <c r="H47" i="6"/>
  <c r="F47" i="6"/>
  <c r="D47" i="6"/>
  <c r="O46" i="6"/>
  <c r="L46" i="6"/>
  <c r="J46" i="6"/>
  <c r="H46" i="6"/>
  <c r="F46" i="6"/>
  <c r="D46" i="6"/>
  <c r="O45" i="6"/>
  <c r="L45" i="6"/>
  <c r="J45" i="6"/>
  <c r="H45" i="6"/>
  <c r="F45" i="6"/>
  <c r="D45" i="6"/>
  <c r="O44" i="6"/>
  <c r="L44" i="6"/>
  <c r="J44" i="6"/>
  <c r="H44" i="6"/>
  <c r="F44" i="6"/>
  <c r="D44" i="6"/>
  <c r="O43" i="6"/>
  <c r="L43" i="6"/>
  <c r="F43" i="6"/>
  <c r="O42" i="6"/>
  <c r="L42" i="6"/>
  <c r="J42" i="6"/>
  <c r="H42" i="6"/>
  <c r="F42" i="6"/>
  <c r="D42" i="6"/>
  <c r="O41" i="6"/>
  <c r="L41" i="6"/>
  <c r="J41" i="6"/>
  <c r="H41" i="6"/>
  <c r="F41" i="6"/>
  <c r="D41" i="6"/>
  <c r="O40" i="6"/>
  <c r="L40" i="6"/>
  <c r="J40" i="6"/>
  <c r="H40" i="6"/>
  <c r="F40" i="6"/>
  <c r="D40" i="6"/>
  <c r="O39" i="6"/>
  <c r="L39" i="6"/>
  <c r="J39" i="6"/>
  <c r="H39" i="6"/>
  <c r="F39" i="6"/>
  <c r="D39" i="6"/>
  <c r="O38" i="6"/>
  <c r="L38" i="6"/>
  <c r="J38" i="6"/>
  <c r="H38" i="6"/>
  <c r="F38" i="6"/>
  <c r="O37" i="6"/>
  <c r="L37" i="6"/>
  <c r="J37" i="6"/>
  <c r="H37" i="6"/>
  <c r="F37" i="6"/>
  <c r="D37" i="6"/>
  <c r="O36" i="6"/>
  <c r="L36" i="6"/>
  <c r="J36" i="6"/>
  <c r="H36" i="6"/>
  <c r="F36" i="6"/>
  <c r="D36" i="6"/>
  <c r="O35" i="6"/>
  <c r="L35" i="6"/>
  <c r="J35" i="6"/>
  <c r="H35" i="6"/>
  <c r="F35" i="6"/>
  <c r="D35" i="6"/>
  <c r="O34" i="6"/>
  <c r="L34" i="6"/>
  <c r="J34" i="6"/>
  <c r="H34" i="6"/>
  <c r="F34" i="6"/>
  <c r="D34" i="6"/>
  <c r="O33" i="6"/>
  <c r="L33" i="6"/>
  <c r="J33" i="6"/>
  <c r="H33" i="6"/>
  <c r="F33" i="6"/>
  <c r="D33" i="6"/>
  <c r="BC27" i="6"/>
  <c r="BE27" i="6" s="1"/>
  <c r="BG27" i="6" s="1"/>
  <c r="AW27" i="6"/>
  <c r="AX27" i="6" s="1"/>
  <c r="AR27" i="6"/>
  <c r="AS27" i="6" s="1"/>
  <c r="AM27" i="6"/>
  <c r="AN27" i="6" s="1"/>
  <c r="AH27" i="6"/>
  <c r="AI27" i="6" s="1"/>
  <c r="AA27" i="6"/>
  <c r="Z27" i="6" s="1"/>
  <c r="AB27" i="6" s="1"/>
  <c r="AC27" i="6" s="1"/>
  <c r="X27" i="6"/>
  <c r="Y27" i="6" s="1"/>
  <c r="S27" i="6"/>
  <c r="BC26" i="6"/>
  <c r="BE26" i="6" s="1"/>
  <c r="BG26" i="6" s="1"/>
  <c r="AW26" i="6"/>
  <c r="AX26" i="6" s="1"/>
  <c r="AR26" i="6"/>
  <c r="AS26" i="6" s="1"/>
  <c r="AM26" i="6"/>
  <c r="AN26" i="6" s="1"/>
  <c r="AH26" i="6"/>
  <c r="AI26" i="6" s="1"/>
  <c r="AA26" i="6"/>
  <c r="Z26" i="6" s="1"/>
  <c r="AB26" i="6" s="1"/>
  <c r="AC26" i="6" s="1"/>
  <c r="X26" i="6"/>
  <c r="Y26" i="6" s="1"/>
  <c r="S26" i="6"/>
  <c r="BC25" i="6"/>
  <c r="BE25" i="6" s="1"/>
  <c r="BG25" i="6" s="1"/>
  <c r="AW25" i="6"/>
  <c r="AX25" i="6" s="1"/>
  <c r="AR25" i="6"/>
  <c r="AS25" i="6" s="1"/>
  <c r="AM25" i="6"/>
  <c r="AN25" i="6" s="1"/>
  <c r="AH25" i="6"/>
  <c r="AI25" i="6" s="1"/>
  <c r="AA25" i="6"/>
  <c r="Z25" i="6" s="1"/>
  <c r="AB25" i="6" s="1"/>
  <c r="AC25" i="6" s="1"/>
  <c r="X25" i="6"/>
  <c r="Y25" i="6" s="1"/>
  <c r="S25" i="6"/>
  <c r="BC24" i="6"/>
  <c r="BE24" i="6" s="1"/>
  <c r="BG24" i="6" s="1"/>
  <c r="AW24" i="6"/>
  <c r="AX24" i="6" s="1"/>
  <c r="AR24" i="6"/>
  <c r="AS24" i="6" s="1"/>
  <c r="AM24" i="6"/>
  <c r="AN24" i="6" s="1"/>
  <c r="AH24" i="6"/>
  <c r="AI24" i="6" s="1"/>
  <c r="AA24" i="6"/>
  <c r="Z24" i="6" s="1"/>
  <c r="AB24" i="6" s="1"/>
  <c r="AC24" i="6" s="1"/>
  <c r="X24" i="6"/>
  <c r="Y24" i="6" s="1"/>
  <c r="S24" i="6"/>
  <c r="BC23" i="6"/>
  <c r="BE23" i="6" s="1"/>
  <c r="BG23" i="6" s="1"/>
  <c r="AW23" i="6"/>
  <c r="AX23" i="6" s="1"/>
  <c r="AR23" i="6"/>
  <c r="AS23" i="6" s="1"/>
  <c r="AM23" i="6"/>
  <c r="AN23" i="6" s="1"/>
  <c r="AH23" i="6"/>
  <c r="AI23" i="6" s="1"/>
  <c r="AA23" i="6"/>
  <c r="Z23" i="6" s="1"/>
  <c r="AB23" i="6" s="1"/>
  <c r="AC23" i="6" s="1"/>
  <c r="X23" i="6"/>
  <c r="Y23" i="6" s="1"/>
  <c r="S23" i="6"/>
  <c r="BC22" i="6"/>
  <c r="BE22" i="6" s="1"/>
  <c r="BG22" i="6" s="1"/>
  <c r="AW22" i="6"/>
  <c r="AX22" i="6" s="1"/>
  <c r="AR22" i="6"/>
  <c r="AS22" i="6" s="1"/>
  <c r="AM22" i="6"/>
  <c r="AN22" i="6" s="1"/>
  <c r="AH22" i="6"/>
  <c r="AI22" i="6" s="1"/>
  <c r="AA22" i="6"/>
  <c r="Z22" i="6" s="1"/>
  <c r="AB22" i="6" s="1"/>
  <c r="AC22" i="6" s="1"/>
  <c r="X22" i="6"/>
  <c r="Y22" i="6" s="1"/>
  <c r="S22" i="6"/>
  <c r="BC21" i="6"/>
  <c r="BE21" i="6" s="1"/>
  <c r="BG21" i="6" s="1"/>
  <c r="AW21" i="6"/>
  <c r="AX21" i="6" s="1"/>
  <c r="AR21" i="6"/>
  <c r="AS21" i="6" s="1"/>
  <c r="AM21" i="6"/>
  <c r="AN21" i="6" s="1"/>
  <c r="AH21" i="6"/>
  <c r="AI21" i="6" s="1"/>
  <c r="AA21" i="6"/>
  <c r="Z21" i="6" s="1"/>
  <c r="AB21" i="6" s="1"/>
  <c r="AC21" i="6" s="1"/>
  <c r="X21" i="6"/>
  <c r="Y21" i="6" s="1"/>
  <c r="S21" i="6"/>
  <c r="BC20" i="6"/>
  <c r="BE20" i="6" s="1"/>
  <c r="BG20" i="6" s="1"/>
  <c r="AW20" i="6"/>
  <c r="AX20" i="6" s="1"/>
  <c r="AR20" i="6"/>
  <c r="AS20" i="6" s="1"/>
  <c r="AM20" i="6"/>
  <c r="AN20" i="6" s="1"/>
  <c r="AH20" i="6"/>
  <c r="AI20" i="6" s="1"/>
  <c r="AA20" i="6"/>
  <c r="Z20" i="6" s="1"/>
  <c r="AB20" i="6" s="1"/>
  <c r="AC20" i="6" s="1"/>
  <c r="X20" i="6"/>
  <c r="Y20" i="6" s="1"/>
  <c r="S20" i="6"/>
  <c r="BC19" i="6"/>
  <c r="BE19" i="6" s="1"/>
  <c r="BG19" i="6" s="1"/>
  <c r="AW19" i="6"/>
  <c r="AX19" i="6" s="1"/>
  <c r="AR19" i="6"/>
  <c r="AS19" i="6" s="1"/>
  <c r="AM19" i="6"/>
  <c r="AN19" i="6" s="1"/>
  <c r="AH19" i="6"/>
  <c r="AI19" i="6" s="1"/>
  <c r="AA19" i="6"/>
  <c r="Z19" i="6" s="1"/>
  <c r="AB19" i="6" s="1"/>
  <c r="AC19" i="6" s="1"/>
  <c r="X19" i="6"/>
  <c r="Y19" i="6" s="1"/>
  <c r="S19" i="6"/>
  <c r="BC18" i="6"/>
  <c r="BE18" i="6" s="1"/>
  <c r="BG18" i="6" s="1"/>
  <c r="AW18" i="6"/>
  <c r="AX18" i="6" s="1"/>
  <c r="AR18" i="6"/>
  <c r="AS18" i="6" s="1"/>
  <c r="AM18" i="6"/>
  <c r="AN18" i="6" s="1"/>
  <c r="AH18" i="6"/>
  <c r="AI18" i="6" s="1"/>
  <c r="AA18" i="6"/>
  <c r="Z18" i="6" s="1"/>
  <c r="AB18" i="6" s="1"/>
  <c r="AC18" i="6" s="1"/>
  <c r="X18" i="6"/>
  <c r="Y18" i="6" s="1"/>
  <c r="S18" i="6"/>
  <c r="BC17" i="6"/>
  <c r="BE17" i="6" s="1"/>
  <c r="BG17" i="6" s="1"/>
  <c r="AW17" i="6"/>
  <c r="AX17" i="6" s="1"/>
  <c r="AR17" i="6"/>
  <c r="AS17" i="6" s="1"/>
  <c r="AM17" i="6"/>
  <c r="AN17" i="6" s="1"/>
  <c r="AH17" i="6"/>
  <c r="AI17" i="6" s="1"/>
  <c r="AA17" i="6"/>
  <c r="Z17" i="6" s="1"/>
  <c r="AB17" i="6" s="1"/>
  <c r="AC17" i="6" s="1"/>
  <c r="X17" i="6"/>
  <c r="Y17" i="6" s="1"/>
  <c r="S17" i="6"/>
  <c r="BC16" i="6"/>
  <c r="BE16" i="6" s="1"/>
  <c r="BG16" i="6" s="1"/>
  <c r="AW16" i="6"/>
  <c r="AX16" i="6" s="1"/>
  <c r="AR16" i="6"/>
  <c r="AS16" i="6" s="1"/>
  <c r="AM16" i="6"/>
  <c r="AN16" i="6" s="1"/>
  <c r="AH16" i="6"/>
  <c r="AI16" i="6" s="1"/>
  <c r="AA16" i="6"/>
  <c r="Z16" i="6" s="1"/>
  <c r="AB16" i="6" s="1"/>
  <c r="AC16" i="6" s="1"/>
  <c r="X16" i="6"/>
  <c r="Y16" i="6" s="1"/>
  <c r="S16" i="6"/>
  <c r="BC15" i="6"/>
  <c r="BE15" i="6" s="1"/>
  <c r="BG15" i="6" s="1"/>
  <c r="AW15" i="6"/>
  <c r="AX15" i="6" s="1"/>
  <c r="AR15" i="6"/>
  <c r="AS15" i="6" s="1"/>
  <c r="AM15" i="6"/>
  <c r="AN15" i="6" s="1"/>
  <c r="AH15" i="6"/>
  <c r="AI15" i="6" s="1"/>
  <c r="AA15" i="6"/>
  <c r="Z15" i="6" s="1"/>
  <c r="AB15" i="6" s="1"/>
  <c r="AC15" i="6" s="1"/>
  <c r="X15" i="6"/>
  <c r="Y15" i="6" s="1"/>
  <c r="S15" i="6"/>
  <c r="BC14" i="6"/>
  <c r="BE14" i="6" s="1"/>
  <c r="BG14" i="6" s="1"/>
  <c r="AW14" i="6"/>
  <c r="AX14" i="6" s="1"/>
  <c r="AR14" i="6"/>
  <c r="AS14" i="6" s="1"/>
  <c r="AM14" i="6"/>
  <c r="AN14" i="6" s="1"/>
  <c r="AH14" i="6"/>
  <c r="AI14" i="6" s="1"/>
  <c r="AA14" i="6"/>
  <c r="Z14" i="6" s="1"/>
  <c r="AB14" i="6" s="1"/>
  <c r="AC14" i="6" s="1"/>
  <c r="X14" i="6"/>
  <c r="Y14" i="6" s="1"/>
  <c r="S14" i="6"/>
  <c r="BC13" i="6"/>
  <c r="BE13" i="6" s="1"/>
  <c r="BG13" i="6" s="1"/>
  <c r="AW13" i="6"/>
  <c r="AX13" i="6" s="1"/>
  <c r="AR13" i="6"/>
  <c r="AS13" i="6" s="1"/>
  <c r="AM13" i="6"/>
  <c r="AN13" i="6" s="1"/>
  <c r="AH13" i="6"/>
  <c r="AI13" i="6" s="1"/>
  <c r="AA13" i="6"/>
  <c r="Z13" i="6" s="1"/>
  <c r="AB13" i="6" s="1"/>
  <c r="AC13" i="6" s="1"/>
  <c r="X13" i="6"/>
  <c r="Y13" i="6" s="1"/>
  <c r="S13" i="6"/>
  <c r="BC12" i="6"/>
  <c r="BE12" i="6" s="1"/>
  <c r="BG12" i="6" s="1"/>
  <c r="AW12" i="6"/>
  <c r="AX12" i="6" s="1"/>
  <c r="AR12" i="6"/>
  <c r="AS12" i="6" s="1"/>
  <c r="AM12" i="6"/>
  <c r="AN12" i="6" s="1"/>
  <c r="AH12" i="6"/>
  <c r="AI12" i="6" s="1"/>
  <c r="AA12" i="6"/>
  <c r="Z12" i="6" s="1"/>
  <c r="AB12" i="6" s="1"/>
  <c r="AC12" i="6" s="1"/>
  <c r="X12" i="6"/>
  <c r="Y12" i="6" s="1"/>
  <c r="S12" i="6"/>
  <c r="BC11" i="6"/>
  <c r="BE11" i="6" s="1"/>
  <c r="BG11" i="6" s="1"/>
  <c r="AW11" i="6"/>
  <c r="AX11" i="6" s="1"/>
  <c r="AR11" i="6"/>
  <c r="AS11" i="6" s="1"/>
  <c r="AM11" i="6"/>
  <c r="AN11" i="6" s="1"/>
  <c r="AH11" i="6"/>
  <c r="AI11" i="6" s="1"/>
  <c r="AA11" i="6"/>
  <c r="Z11" i="6" s="1"/>
  <c r="AB11" i="6" s="1"/>
  <c r="AC11" i="6" s="1"/>
  <c r="X11" i="6"/>
  <c r="Y11" i="6" s="1"/>
  <c r="S11" i="6"/>
  <c r="BC10" i="6"/>
  <c r="BE10" i="6" s="1"/>
  <c r="BG10" i="6" s="1"/>
  <c r="AW10" i="6"/>
  <c r="AX10" i="6" s="1"/>
  <c r="AR10" i="6"/>
  <c r="AS10" i="6" s="1"/>
  <c r="AM10" i="6"/>
  <c r="AN10" i="6" s="1"/>
  <c r="AH10" i="6"/>
  <c r="AI10" i="6" s="1"/>
  <c r="AA10" i="6"/>
  <c r="Z10" i="6" s="1"/>
  <c r="AB10" i="6" s="1"/>
  <c r="AC10" i="6" s="1"/>
  <c r="X10" i="6"/>
  <c r="Y10" i="6" s="1"/>
  <c r="S10" i="6"/>
  <c r="BC9" i="6"/>
  <c r="BE9" i="6" s="1"/>
  <c r="BG9" i="6" s="1"/>
  <c r="AW9" i="6"/>
  <c r="AX9" i="6" s="1"/>
  <c r="AR9" i="6"/>
  <c r="AS9" i="6" s="1"/>
  <c r="AM9" i="6"/>
  <c r="AN9" i="6" s="1"/>
  <c r="AH9" i="6"/>
  <c r="AI9" i="6" s="1"/>
  <c r="AA9" i="6"/>
  <c r="Z9" i="6" s="1"/>
  <c r="AB9" i="6" s="1"/>
  <c r="AC9" i="6" s="1"/>
  <c r="X9" i="6"/>
  <c r="Y9" i="6" s="1"/>
  <c r="S9" i="6"/>
  <c r="BC8" i="6"/>
  <c r="BE8" i="6" s="1"/>
  <c r="BG8" i="6" s="1"/>
  <c r="BA8" i="6"/>
  <c r="AI8" i="6"/>
  <c r="AC8" i="6"/>
  <c r="Y8" i="6"/>
  <c r="BC7" i="6"/>
  <c r="BE7" i="6" s="1"/>
  <c r="BG7" i="6" s="1"/>
  <c r="BA7" i="6"/>
  <c r="AI7" i="6"/>
  <c r="AC7" i="6"/>
  <c r="Y7" i="6"/>
  <c r="BC6" i="6"/>
  <c r="BE6" i="6" s="1"/>
  <c r="BG6" i="6" s="1"/>
  <c r="BA6" i="6"/>
  <c r="AI6" i="6"/>
  <c r="AC6" i="6"/>
  <c r="Y6" i="6"/>
  <c r="AH91" i="9" l="1"/>
  <c r="M779" i="1" s="1"/>
  <c r="AH111" i="9"/>
  <c r="M799" i="1" s="1"/>
  <c r="AH64" i="9"/>
  <c r="M181" i="1" s="1"/>
  <c r="AH31" i="9"/>
  <c r="M148" i="1" s="1"/>
  <c r="AH76" i="9"/>
  <c r="M193" i="1" s="1"/>
  <c r="AH71" i="9"/>
  <c r="M188" i="1" s="1"/>
  <c r="AH75" i="9"/>
  <c r="M192" i="1" s="1"/>
  <c r="AH92" i="9"/>
  <c r="M780" i="1" s="1"/>
  <c r="AH108" i="9"/>
  <c r="M796" i="1" s="1"/>
  <c r="AH103" i="9"/>
  <c r="M791" i="1" s="1"/>
  <c r="AH30" i="9"/>
  <c r="M147" i="1" s="1"/>
  <c r="AH63" i="9"/>
  <c r="M180" i="1" s="1"/>
  <c r="AH29" i="9"/>
  <c r="M146" i="1" s="1"/>
  <c r="AH38" i="9"/>
  <c r="M155" i="1" s="1"/>
  <c r="AH42" i="9"/>
  <c r="M159" i="1" s="1"/>
  <c r="AH46" i="9"/>
  <c r="M163" i="1" s="1"/>
  <c r="AH50" i="9"/>
  <c r="M167" i="1" s="1"/>
  <c r="AH58" i="9"/>
  <c r="M175" i="1" s="1"/>
  <c r="M179" i="1"/>
  <c r="AH62" i="9"/>
  <c r="AH82" i="9"/>
  <c r="M199" i="1" s="1"/>
  <c r="AH68" i="9"/>
  <c r="M185" i="1" s="1"/>
  <c r="AH95" i="9"/>
  <c r="M783" i="1" s="1"/>
  <c r="AH107" i="9"/>
  <c r="M795" i="1" s="1"/>
  <c r="AH119" i="9"/>
  <c r="M807" i="1" s="1"/>
  <c r="AH39" i="9"/>
  <c r="M156" i="1" s="1"/>
  <c r="AH51" i="9"/>
  <c r="M168" i="1" s="1"/>
  <c r="AH67" i="9"/>
  <c r="M184" i="1" s="1"/>
  <c r="AH83" i="9"/>
  <c r="M200" i="1" s="1"/>
  <c r="AH96" i="9"/>
  <c r="M784" i="1" s="1"/>
  <c r="AH100" i="9"/>
  <c r="M788" i="1" s="1"/>
  <c r="AH104" i="9"/>
  <c r="M792" i="1" s="1"/>
  <c r="AH112" i="9"/>
  <c r="M800" i="1" s="1"/>
  <c r="M804" i="1"/>
  <c r="AH116" i="9"/>
  <c r="AH120" i="9"/>
  <c r="M808" i="1" s="1"/>
  <c r="AH28" i="9"/>
  <c r="M145" i="1" s="1"/>
  <c r="AH66" i="9"/>
  <c r="M183" i="1" s="1"/>
  <c r="AH70" i="9"/>
  <c r="M187" i="1" s="1"/>
  <c r="AH74" i="9"/>
  <c r="M191" i="1" s="1"/>
  <c r="AH81" i="9"/>
  <c r="M198" i="1" s="1"/>
  <c r="AH89" i="9"/>
  <c r="M206" i="1" s="1"/>
  <c r="AH93" i="9"/>
  <c r="M781" i="1" s="1"/>
  <c r="AH97" i="9"/>
  <c r="M785" i="1" s="1"/>
  <c r="AH101" i="9"/>
  <c r="M789" i="1" s="1"/>
  <c r="AH105" i="9"/>
  <c r="M793" i="1" s="1"/>
  <c r="AH109" i="9"/>
  <c r="M797" i="1" s="1"/>
  <c r="AH113" i="9"/>
  <c r="M801" i="1" s="1"/>
  <c r="AH117" i="9"/>
  <c r="M805" i="1" s="1"/>
  <c r="AH121" i="9"/>
  <c r="M809" i="1" s="1"/>
  <c r="AH99" i="9"/>
  <c r="M787" i="1" s="1"/>
  <c r="AH43" i="9"/>
  <c r="M160" i="1" s="1"/>
  <c r="AH84" i="9"/>
  <c r="M201" i="1" s="1"/>
  <c r="AH27" i="9"/>
  <c r="M144" i="1" s="1"/>
  <c r="AH37" i="9"/>
  <c r="M154" i="1" s="1"/>
  <c r="AH41" i="9"/>
  <c r="M158" i="1" s="1"/>
  <c r="AH45" i="9"/>
  <c r="M162" i="1" s="1"/>
  <c r="AH49" i="9"/>
  <c r="M166" i="1" s="1"/>
  <c r="AH53" i="9"/>
  <c r="M170" i="1" s="1"/>
  <c r="AH57" i="9"/>
  <c r="M174" i="1" s="1"/>
  <c r="AH61" i="9"/>
  <c r="M178" i="1" s="1"/>
  <c r="AH80" i="9"/>
  <c r="M197" i="1" s="1"/>
  <c r="AH88" i="9"/>
  <c r="M205" i="1" s="1"/>
  <c r="AH35" i="9"/>
  <c r="M152" i="1" s="1"/>
  <c r="AH47" i="9"/>
  <c r="M164" i="1" s="1"/>
  <c r="AH26" i="9"/>
  <c r="M143" i="1" s="1"/>
  <c r="AH65" i="9"/>
  <c r="M182" i="1" s="1"/>
  <c r="AH69" i="9"/>
  <c r="M186" i="1" s="1"/>
  <c r="M190" i="1"/>
  <c r="AH73" i="9"/>
  <c r="AH79" i="9"/>
  <c r="M196" i="1" s="1"/>
  <c r="AH87" i="9"/>
  <c r="M204" i="1" s="1"/>
  <c r="AH90" i="9"/>
  <c r="M778" i="1" s="1"/>
  <c r="AH94" i="9"/>
  <c r="M782" i="1" s="1"/>
  <c r="AH98" i="9"/>
  <c r="M786" i="1" s="1"/>
  <c r="AH102" i="9"/>
  <c r="M790" i="1" s="1"/>
  <c r="AH106" i="9"/>
  <c r="M794" i="1" s="1"/>
  <c r="M798" i="1"/>
  <c r="AH110" i="9"/>
  <c r="AH114" i="9"/>
  <c r="M802" i="1" s="1"/>
  <c r="AH118" i="9"/>
  <c r="M806" i="1" s="1"/>
  <c r="AH122" i="9"/>
  <c r="M810" i="1" s="1"/>
  <c r="AH72" i="9"/>
  <c r="M189" i="1" s="1"/>
  <c r="AH77" i="9"/>
  <c r="M194" i="1" s="1"/>
  <c r="AH85" i="9"/>
  <c r="M202" i="1" s="1"/>
  <c r="AH115" i="9"/>
  <c r="M803" i="1" s="1"/>
  <c r="AH59" i="9"/>
  <c r="M176" i="1" s="1"/>
  <c r="AH25" i="9"/>
  <c r="M142" i="1" s="1"/>
  <c r="AH36" i="9"/>
  <c r="M153" i="1" s="1"/>
  <c r="AH40" i="9"/>
  <c r="M157" i="1" s="1"/>
  <c r="AH44" i="9"/>
  <c r="M161" i="1" s="1"/>
  <c r="AH48" i="9"/>
  <c r="M165" i="1" s="1"/>
  <c r="AH52" i="9"/>
  <c r="M169" i="1" s="1"/>
  <c r="AH60" i="9"/>
  <c r="M177" i="1" s="1"/>
  <c r="M195" i="1"/>
  <c r="AH78" i="9"/>
  <c r="AH86" i="9"/>
  <c r="M203" i="1" s="1"/>
  <c r="AT27" i="14"/>
  <c r="AP42" i="19"/>
  <c r="AQ42" i="19" s="1"/>
  <c r="R44" i="16"/>
  <c r="S44" i="16" s="1"/>
  <c r="R35" i="14"/>
  <c r="S35" i="14" s="1"/>
  <c r="R29" i="16"/>
  <c r="S29" i="16" s="1"/>
  <c r="R19" i="16"/>
  <c r="S19" i="16" s="1"/>
  <c r="AO32" i="13"/>
  <c r="AP32" i="13" s="1"/>
  <c r="AS32" i="13" s="1"/>
  <c r="AU32" i="13" s="1"/>
  <c r="M453" i="1" s="1"/>
  <c r="AT18" i="16"/>
  <c r="AT53" i="16"/>
  <c r="AU53" i="16" s="1"/>
  <c r="AT45" i="17"/>
  <c r="AO43" i="13"/>
  <c r="AP43" i="13" s="1"/>
  <c r="AS43" i="13" s="1"/>
  <c r="AU43" i="13" s="1"/>
  <c r="M464" i="1" s="1"/>
  <c r="R53" i="19"/>
  <c r="S53" i="19" s="1"/>
  <c r="R54" i="19"/>
  <c r="S54" i="19" s="1"/>
  <c r="AZ9" i="21"/>
  <c r="BE9" i="21" s="1"/>
  <c r="BG9" i="21" s="1"/>
  <c r="M773" i="1" s="1"/>
  <c r="AE28" i="12"/>
  <c r="AI28" i="12" s="1"/>
  <c r="AK28" i="12" s="1"/>
  <c r="M401" i="1" s="1"/>
  <c r="R43" i="19"/>
  <c r="S43" i="19" s="1"/>
  <c r="AT32" i="14"/>
  <c r="AP19" i="19"/>
  <c r="C23" i="7"/>
  <c r="AT11" i="14"/>
  <c r="AE8" i="12"/>
  <c r="R37" i="16"/>
  <c r="S37" i="16" s="1"/>
  <c r="E31" i="4"/>
  <c r="R38" i="14"/>
  <c r="S38" i="14" s="1"/>
  <c r="R43" i="14"/>
  <c r="S43" i="14" s="1"/>
  <c r="AT19" i="15"/>
  <c r="AU19" i="15" s="1"/>
  <c r="AT53" i="18"/>
  <c r="R28" i="15"/>
  <c r="S28" i="15" s="1"/>
  <c r="R49" i="15"/>
  <c r="S49" i="15" s="1"/>
  <c r="E5" i="4"/>
  <c r="R10" i="14"/>
  <c r="S10" i="14" s="1"/>
  <c r="R36" i="14"/>
  <c r="S36" i="14" s="1"/>
  <c r="R24" i="17"/>
  <c r="S24" i="17" s="1"/>
  <c r="R21" i="19"/>
  <c r="S21" i="19" s="1"/>
  <c r="R30" i="19"/>
  <c r="S30" i="19" s="1"/>
  <c r="R27" i="16"/>
  <c r="S27" i="16" s="1"/>
  <c r="R47" i="13"/>
  <c r="S47" i="13" s="1"/>
  <c r="R45" i="14"/>
  <c r="S45" i="14" s="1"/>
  <c r="R37" i="18"/>
  <c r="S37" i="18" s="1"/>
  <c r="R10" i="21"/>
  <c r="S10" i="21" s="1"/>
  <c r="AT15" i="17"/>
  <c r="AT23" i="17"/>
  <c r="R51" i="17"/>
  <c r="S51" i="17" s="1"/>
  <c r="AT54" i="18"/>
  <c r="AU54" i="18" s="1"/>
  <c r="R16" i="15"/>
  <c r="S16" i="15" s="1"/>
  <c r="R34" i="15"/>
  <c r="S34" i="15" s="1"/>
  <c r="R9" i="13"/>
  <c r="S9" i="13" s="1"/>
  <c r="AT14" i="14"/>
  <c r="AT22" i="14"/>
  <c r="AU22" i="14" s="1"/>
  <c r="R42" i="15"/>
  <c r="S42" i="15" s="1"/>
  <c r="R28" i="17"/>
  <c r="S28" i="17" s="1"/>
  <c r="R37" i="19"/>
  <c r="S37" i="19" s="1"/>
  <c r="T123" i="9"/>
  <c r="AC123" i="9" s="1"/>
  <c r="R48" i="16"/>
  <c r="S48" i="16" s="1"/>
  <c r="R41" i="13"/>
  <c r="S41" i="13" s="1"/>
  <c r="R34" i="19"/>
  <c r="S34" i="19" s="1"/>
  <c r="R35" i="19"/>
  <c r="S35" i="19" s="1"/>
  <c r="R46" i="19"/>
  <c r="S46" i="19" s="1"/>
  <c r="R47" i="19"/>
  <c r="S47" i="19" s="1"/>
  <c r="R7" i="20"/>
  <c r="S7" i="20" s="1"/>
  <c r="AO33" i="13"/>
  <c r="AP33" i="13" s="1"/>
  <c r="AS33" i="13" s="1"/>
  <c r="AU33" i="13" s="1"/>
  <c r="M454" i="1" s="1"/>
  <c r="AT41" i="15"/>
  <c r="AU41" i="15" s="1"/>
  <c r="AT46" i="15"/>
  <c r="AT51" i="15"/>
  <c r="AT34" i="16"/>
  <c r="R8" i="17"/>
  <c r="S8" i="17" s="1"/>
  <c r="AP8" i="19"/>
  <c r="AQ8" i="19" s="1"/>
  <c r="T101" i="9"/>
  <c r="AC101" i="9" s="1"/>
  <c r="T133" i="9"/>
  <c r="AC133" i="9" s="1"/>
  <c r="T141" i="9"/>
  <c r="AC141" i="9" s="1"/>
  <c r="AI141" i="9" s="1"/>
  <c r="F829" i="1" s="1"/>
  <c r="AZ6" i="7"/>
  <c r="D4" i="4" s="1"/>
  <c r="I4" i="4" s="1"/>
  <c r="AZ6" i="6"/>
  <c r="C27" i="7"/>
  <c r="AO23" i="13"/>
  <c r="AP23" i="13" s="1"/>
  <c r="AS23" i="13" s="1"/>
  <c r="AU23" i="13" s="1"/>
  <c r="M444" i="1" s="1"/>
  <c r="C24" i="7"/>
  <c r="AT51" i="14"/>
  <c r="AU51" i="14" s="1"/>
  <c r="AT25" i="17"/>
  <c r="O43" i="17"/>
  <c r="R43" i="17"/>
  <c r="S43" i="17" s="1"/>
  <c r="O34" i="13"/>
  <c r="R34" i="13"/>
  <c r="S34" i="13" s="1"/>
  <c r="O30" i="17"/>
  <c r="R30" i="17"/>
  <c r="S30" i="17" s="1"/>
  <c r="O18" i="19"/>
  <c r="R18" i="19"/>
  <c r="S18" i="19" s="1"/>
  <c r="E6" i="4"/>
  <c r="R26" i="13"/>
  <c r="S26" i="13" s="1"/>
  <c r="O41" i="18"/>
  <c r="R41" i="18"/>
  <c r="S41" i="18" s="1"/>
  <c r="C26" i="7"/>
  <c r="BL6" i="11"/>
  <c r="CF6" i="11" s="1"/>
  <c r="CH6" i="11" s="1"/>
  <c r="M220" i="1" s="1"/>
  <c r="AL7" i="11"/>
  <c r="BP7" i="11" s="1"/>
  <c r="BR7" i="11" s="1"/>
  <c r="M221" i="1" s="1"/>
  <c r="BL8" i="11"/>
  <c r="CF8" i="11" s="1"/>
  <c r="CH8" i="11" s="1"/>
  <c r="M226" i="1" s="1"/>
  <c r="AL9" i="11"/>
  <c r="BP9" i="11" s="1"/>
  <c r="BR9" i="11" s="1"/>
  <c r="M227" i="1" s="1"/>
  <c r="BL10" i="11"/>
  <c r="CF10" i="11" s="1"/>
  <c r="CH10" i="11" s="1"/>
  <c r="M232" i="1" s="1"/>
  <c r="AL11" i="11"/>
  <c r="BP11" i="11" s="1"/>
  <c r="BR11" i="11" s="1"/>
  <c r="M233" i="1" s="1"/>
  <c r="BL12" i="11"/>
  <c r="CF12" i="11" s="1"/>
  <c r="CH12" i="11" s="1"/>
  <c r="M238" i="1" s="1"/>
  <c r="AL13" i="11"/>
  <c r="BP13" i="11" s="1"/>
  <c r="BR13" i="11" s="1"/>
  <c r="M239" i="1" s="1"/>
  <c r="BL14" i="11"/>
  <c r="CF14" i="11" s="1"/>
  <c r="CH14" i="11" s="1"/>
  <c r="M244" i="1" s="1"/>
  <c r="AL15" i="11"/>
  <c r="BP15" i="11" s="1"/>
  <c r="BR15" i="11" s="1"/>
  <c r="M245" i="1" s="1"/>
  <c r="BL16" i="11"/>
  <c r="CF16" i="11" s="1"/>
  <c r="CH16" i="11" s="1"/>
  <c r="M250" i="1" s="1"/>
  <c r="AL17" i="11"/>
  <c r="BP17" i="11" s="1"/>
  <c r="BR17" i="11" s="1"/>
  <c r="M251" i="1" s="1"/>
  <c r="BL18" i="11"/>
  <c r="CF18" i="11" s="1"/>
  <c r="CH18" i="11" s="1"/>
  <c r="M256" i="1" s="1"/>
  <c r="AL19" i="11"/>
  <c r="BP19" i="11" s="1"/>
  <c r="BR19" i="11" s="1"/>
  <c r="M257" i="1" s="1"/>
  <c r="BL20" i="11"/>
  <c r="CF20" i="11" s="1"/>
  <c r="CH20" i="11" s="1"/>
  <c r="M262" i="1" s="1"/>
  <c r="AL21" i="11"/>
  <c r="BP21" i="11" s="1"/>
  <c r="BR21" i="11" s="1"/>
  <c r="M263" i="1" s="1"/>
  <c r="BL22" i="11"/>
  <c r="CF22" i="11" s="1"/>
  <c r="CH22" i="11" s="1"/>
  <c r="M268" i="1" s="1"/>
  <c r="AL23" i="11"/>
  <c r="BP23" i="11" s="1"/>
  <c r="BR23" i="11" s="1"/>
  <c r="M269" i="1" s="1"/>
  <c r="BL24" i="11"/>
  <c r="CF24" i="11" s="1"/>
  <c r="CH24" i="11" s="1"/>
  <c r="M274" i="1" s="1"/>
  <c r="AL25" i="11"/>
  <c r="BP25" i="11" s="1"/>
  <c r="BR25" i="11" s="1"/>
  <c r="M275" i="1" s="1"/>
  <c r="BL26" i="11"/>
  <c r="CF26" i="11" s="1"/>
  <c r="CH26" i="11" s="1"/>
  <c r="M280" i="1" s="1"/>
  <c r="AL27" i="11"/>
  <c r="BP27" i="11" s="1"/>
  <c r="BR27" i="11" s="1"/>
  <c r="M281" i="1" s="1"/>
  <c r="BL28" i="11"/>
  <c r="CF28" i="11" s="1"/>
  <c r="CH28" i="11" s="1"/>
  <c r="M286" i="1" s="1"/>
  <c r="AL29" i="11"/>
  <c r="BP29" i="11" s="1"/>
  <c r="BR29" i="11" s="1"/>
  <c r="M287" i="1" s="1"/>
  <c r="O7" i="18"/>
  <c r="R7" i="18"/>
  <c r="S7" i="18" s="1"/>
  <c r="O15" i="13"/>
  <c r="R15" i="13"/>
  <c r="S15" i="13" s="1"/>
  <c r="O13" i="13"/>
  <c r="R13" i="13"/>
  <c r="S13" i="13" s="1"/>
  <c r="AT40" i="17"/>
  <c r="AZ8" i="6"/>
  <c r="AY43" i="11"/>
  <c r="BX43" i="11" s="1"/>
  <c r="BZ43" i="11" s="1"/>
  <c r="M330" i="1" s="1"/>
  <c r="AY45" i="11"/>
  <c r="BX45" i="11" s="1"/>
  <c r="BZ45" i="11" s="1"/>
  <c r="M336" i="1" s="1"/>
  <c r="AY47" i="11"/>
  <c r="BX47" i="11" s="1"/>
  <c r="BZ47" i="11" s="1"/>
  <c r="M342" i="1" s="1"/>
  <c r="AY49" i="11"/>
  <c r="BX49" i="11" s="1"/>
  <c r="BZ49" i="11" s="1"/>
  <c r="M348" i="1" s="1"/>
  <c r="AY51" i="11"/>
  <c r="BX51" i="11" s="1"/>
  <c r="BZ51" i="11" s="1"/>
  <c r="M354" i="1" s="1"/>
  <c r="AY53" i="11"/>
  <c r="BX53" i="11" s="1"/>
  <c r="BZ53" i="11" s="1"/>
  <c r="M360" i="1" s="1"/>
  <c r="AY55" i="11"/>
  <c r="BX55" i="11" s="1"/>
  <c r="BZ55" i="11" s="1"/>
  <c r="M366" i="1" s="1"/>
  <c r="AY57" i="11"/>
  <c r="BX57" i="11" s="1"/>
  <c r="BZ57" i="11" s="1"/>
  <c r="M372" i="1" s="1"/>
  <c r="AY59" i="11"/>
  <c r="BX59" i="11" s="1"/>
  <c r="BZ59" i="11" s="1"/>
  <c r="M378" i="1" s="1"/>
  <c r="AY61" i="11"/>
  <c r="BX61" i="11" s="1"/>
  <c r="BZ61" i="11" s="1"/>
  <c r="AY67" i="11"/>
  <c r="BX67" i="11" s="1"/>
  <c r="BZ67" i="11" s="1"/>
  <c r="AY69" i="11"/>
  <c r="BX69" i="11" s="1"/>
  <c r="BZ69" i="11" s="1"/>
  <c r="AY71" i="11"/>
  <c r="BX71" i="11" s="1"/>
  <c r="BZ71" i="11" s="1"/>
  <c r="AY73" i="11"/>
  <c r="BX73" i="11" s="1"/>
  <c r="BZ73" i="11" s="1"/>
  <c r="AY75" i="11"/>
  <c r="BX75" i="11" s="1"/>
  <c r="BZ75" i="11" s="1"/>
  <c r="AY77" i="11"/>
  <c r="BX77" i="11" s="1"/>
  <c r="BZ77" i="11" s="1"/>
  <c r="AY79" i="11"/>
  <c r="BX79" i="11" s="1"/>
  <c r="BZ79" i="11" s="1"/>
  <c r="AY81" i="11"/>
  <c r="BX81" i="11" s="1"/>
  <c r="BZ81" i="11" s="1"/>
  <c r="AY83" i="11"/>
  <c r="BX83" i="11" s="1"/>
  <c r="BZ83" i="11" s="1"/>
  <c r="AY85" i="11"/>
  <c r="BX85" i="11" s="1"/>
  <c r="BZ85" i="11" s="1"/>
  <c r="AY87" i="11"/>
  <c r="BX87" i="11" s="1"/>
  <c r="BZ87" i="11" s="1"/>
  <c r="AY89" i="11"/>
  <c r="BX89" i="11" s="1"/>
  <c r="BZ89" i="11" s="1"/>
  <c r="AY91" i="11"/>
  <c r="BX91" i="11" s="1"/>
  <c r="BZ91" i="11" s="1"/>
  <c r="AY93" i="11"/>
  <c r="BX93" i="11" s="1"/>
  <c r="BZ93" i="11" s="1"/>
  <c r="AY95" i="11"/>
  <c r="BX95" i="11" s="1"/>
  <c r="BZ95" i="11" s="1"/>
  <c r="AY97" i="11"/>
  <c r="BX97" i="11" s="1"/>
  <c r="BZ97" i="11" s="1"/>
  <c r="AY99" i="11"/>
  <c r="BX99" i="11" s="1"/>
  <c r="BZ99" i="11" s="1"/>
  <c r="AY101" i="11"/>
  <c r="BX101" i="11" s="1"/>
  <c r="BZ101" i="11" s="1"/>
  <c r="AY103" i="11"/>
  <c r="BX103" i="11" s="1"/>
  <c r="BZ103" i="11" s="1"/>
  <c r="AE17" i="12"/>
  <c r="O12" i="13"/>
  <c r="R12" i="13"/>
  <c r="S12" i="13" s="1"/>
  <c r="T93" i="9"/>
  <c r="AC93" i="9" s="1"/>
  <c r="AI93" i="9" s="1"/>
  <c r="F781" i="1" s="1"/>
  <c r="AO44" i="13"/>
  <c r="AP44" i="13" s="1"/>
  <c r="AS44" i="13" s="1"/>
  <c r="AU44" i="13" s="1"/>
  <c r="M465" i="1" s="1"/>
  <c r="R49" i="18"/>
  <c r="S49" i="18" s="1"/>
  <c r="R8" i="19"/>
  <c r="S8" i="19" s="1"/>
  <c r="R10" i="15"/>
  <c r="S10" i="15" s="1"/>
  <c r="AT26" i="15"/>
  <c r="AX26" i="15" s="1"/>
  <c r="AZ26" i="15" s="1"/>
  <c r="M543" i="1" s="1"/>
  <c r="AT31" i="15"/>
  <c r="AT36" i="15"/>
  <c r="AZ12" i="21"/>
  <c r="BE12" i="21" s="1"/>
  <c r="BG12" i="21" s="1"/>
  <c r="M776" i="1" s="1"/>
  <c r="T115" i="9"/>
  <c r="AC115" i="9" s="1"/>
  <c r="AE12" i="12"/>
  <c r="AE20" i="12"/>
  <c r="AI20" i="12" s="1"/>
  <c r="AK20" i="12" s="1"/>
  <c r="M393" i="1" s="1"/>
  <c r="R37" i="14"/>
  <c r="S37" i="14" s="1"/>
  <c r="R54" i="14"/>
  <c r="S54" i="14" s="1"/>
  <c r="R8" i="15"/>
  <c r="S8" i="15" s="1"/>
  <c r="BL30" i="11"/>
  <c r="CF30" i="11" s="1"/>
  <c r="CH30" i="11" s="1"/>
  <c r="M292" i="1" s="1"/>
  <c r="AL31" i="11"/>
  <c r="BP31" i="11" s="1"/>
  <c r="BR31" i="11" s="1"/>
  <c r="M293" i="1" s="1"/>
  <c r="BL32" i="11"/>
  <c r="CF32" i="11" s="1"/>
  <c r="CH32" i="11" s="1"/>
  <c r="M298" i="1" s="1"/>
  <c r="AL33" i="11"/>
  <c r="BP33" i="11" s="1"/>
  <c r="BR33" i="11" s="1"/>
  <c r="M299" i="1" s="1"/>
  <c r="BL34" i="11"/>
  <c r="CF34" i="11" s="1"/>
  <c r="CH34" i="11" s="1"/>
  <c r="M304" i="1" s="1"/>
  <c r="AL35" i="11"/>
  <c r="BP35" i="11" s="1"/>
  <c r="BR35" i="11" s="1"/>
  <c r="M305" i="1" s="1"/>
  <c r="BL36" i="11"/>
  <c r="CF36" i="11" s="1"/>
  <c r="CH36" i="11" s="1"/>
  <c r="M310" i="1" s="1"/>
  <c r="AL37" i="11"/>
  <c r="BP37" i="11" s="1"/>
  <c r="BR37" i="11" s="1"/>
  <c r="M311" i="1" s="1"/>
  <c r="BL38" i="11"/>
  <c r="CF38" i="11" s="1"/>
  <c r="CH38" i="11" s="1"/>
  <c r="M316" i="1" s="1"/>
  <c r="AL39" i="11"/>
  <c r="BP39" i="11" s="1"/>
  <c r="BR39" i="11" s="1"/>
  <c r="M317" i="1" s="1"/>
  <c r="BL40" i="11"/>
  <c r="CF40" i="11" s="1"/>
  <c r="CH40" i="11" s="1"/>
  <c r="M322" i="1" s="1"/>
  <c r="AL41" i="11"/>
  <c r="BP41" i="11" s="1"/>
  <c r="BR41" i="11" s="1"/>
  <c r="M323" i="1" s="1"/>
  <c r="BL42" i="11"/>
  <c r="CF42" i="11" s="1"/>
  <c r="CH42" i="11" s="1"/>
  <c r="M328" i="1" s="1"/>
  <c r="AL43" i="11"/>
  <c r="BP43" i="11" s="1"/>
  <c r="BR43" i="11" s="1"/>
  <c r="M329" i="1" s="1"/>
  <c r="BL44" i="11"/>
  <c r="CF44" i="11" s="1"/>
  <c r="CH44" i="11" s="1"/>
  <c r="M334" i="1" s="1"/>
  <c r="BL46" i="11"/>
  <c r="CF46" i="11" s="1"/>
  <c r="CH46" i="11" s="1"/>
  <c r="M340" i="1" s="1"/>
  <c r="AL47" i="11"/>
  <c r="BP47" i="11" s="1"/>
  <c r="BR47" i="11" s="1"/>
  <c r="M341" i="1" s="1"/>
  <c r="BL48" i="11"/>
  <c r="CF48" i="11" s="1"/>
  <c r="CH48" i="11" s="1"/>
  <c r="M346" i="1" s="1"/>
  <c r="BL50" i="11"/>
  <c r="CF50" i="11" s="1"/>
  <c r="CH50" i="11" s="1"/>
  <c r="M352" i="1" s="1"/>
  <c r="BL52" i="11"/>
  <c r="CF52" i="11" s="1"/>
  <c r="CH52" i="11" s="1"/>
  <c r="M358" i="1" s="1"/>
  <c r="BL54" i="11"/>
  <c r="CF54" i="11" s="1"/>
  <c r="CH54" i="11" s="1"/>
  <c r="M364" i="1" s="1"/>
  <c r="AL55" i="11"/>
  <c r="BP55" i="11" s="1"/>
  <c r="BR55" i="11" s="1"/>
  <c r="M365" i="1" s="1"/>
  <c r="BL56" i="11"/>
  <c r="CF56" i="11" s="1"/>
  <c r="CH56" i="11" s="1"/>
  <c r="M370" i="1" s="1"/>
  <c r="BL58" i="11"/>
  <c r="CF58" i="11" s="1"/>
  <c r="CH58" i="11" s="1"/>
  <c r="M376" i="1" s="1"/>
  <c r="BL60" i="11"/>
  <c r="CF60" i="11" s="1"/>
  <c r="CH60" i="11" s="1"/>
  <c r="BL62" i="11"/>
  <c r="CF62" i="11" s="1"/>
  <c r="CH62" i="11" s="1"/>
  <c r="AL63" i="11"/>
  <c r="BP63" i="11" s="1"/>
  <c r="BR63" i="11" s="1"/>
  <c r="BL64" i="11"/>
  <c r="CF64" i="11" s="1"/>
  <c r="CH64" i="11" s="1"/>
  <c r="BL66" i="11"/>
  <c r="CF66" i="11" s="1"/>
  <c r="CH66" i="11" s="1"/>
  <c r="AL67" i="11"/>
  <c r="BP67" i="11" s="1"/>
  <c r="BR67" i="11" s="1"/>
  <c r="BL68" i="11"/>
  <c r="CF68" i="11" s="1"/>
  <c r="CH68" i="11" s="1"/>
  <c r="AL69" i="11"/>
  <c r="BP69" i="11" s="1"/>
  <c r="BR69" i="11" s="1"/>
  <c r="BL70" i="11"/>
  <c r="CF70" i="11" s="1"/>
  <c r="CH70" i="11" s="1"/>
  <c r="AL71" i="11"/>
  <c r="BP71" i="11" s="1"/>
  <c r="BR71" i="11" s="1"/>
  <c r="BL72" i="11"/>
  <c r="CF72" i="11" s="1"/>
  <c r="CH72" i="11" s="1"/>
  <c r="AL73" i="11"/>
  <c r="BP73" i="11" s="1"/>
  <c r="BR73" i="11" s="1"/>
  <c r="BL74" i="11"/>
  <c r="CF74" i="11" s="1"/>
  <c r="CH74" i="11" s="1"/>
  <c r="AL75" i="11"/>
  <c r="BP75" i="11" s="1"/>
  <c r="BR75" i="11" s="1"/>
  <c r="BL76" i="11"/>
  <c r="CF76" i="11" s="1"/>
  <c r="CH76" i="11" s="1"/>
  <c r="AL77" i="11"/>
  <c r="BP77" i="11" s="1"/>
  <c r="BR77" i="11" s="1"/>
  <c r="BL78" i="11"/>
  <c r="CF78" i="11" s="1"/>
  <c r="CH78" i="11" s="1"/>
  <c r="AL79" i="11"/>
  <c r="BP79" i="11" s="1"/>
  <c r="BR79" i="11" s="1"/>
  <c r="BL80" i="11"/>
  <c r="CF80" i="11" s="1"/>
  <c r="CH80" i="11" s="1"/>
  <c r="AL81" i="11"/>
  <c r="BP81" i="11" s="1"/>
  <c r="BR81" i="11" s="1"/>
  <c r="BL82" i="11"/>
  <c r="CF82" i="11" s="1"/>
  <c r="CH82" i="11" s="1"/>
  <c r="AL83" i="11"/>
  <c r="BP83" i="11" s="1"/>
  <c r="BR83" i="11" s="1"/>
  <c r="BL84" i="11"/>
  <c r="CF84" i="11" s="1"/>
  <c r="CH84" i="11" s="1"/>
  <c r="AL85" i="11"/>
  <c r="BP85" i="11" s="1"/>
  <c r="BR85" i="11" s="1"/>
  <c r="BL86" i="11"/>
  <c r="CF86" i="11" s="1"/>
  <c r="CH86" i="11" s="1"/>
  <c r="AL87" i="11"/>
  <c r="BP87" i="11" s="1"/>
  <c r="BR87" i="11" s="1"/>
  <c r="BL88" i="11"/>
  <c r="CF88" i="11" s="1"/>
  <c r="CH88" i="11" s="1"/>
  <c r="AL89" i="11"/>
  <c r="BP89" i="11" s="1"/>
  <c r="BR89" i="11" s="1"/>
  <c r="BL90" i="11"/>
  <c r="CF90" i="11" s="1"/>
  <c r="CH90" i="11" s="1"/>
  <c r="AL91" i="11"/>
  <c r="BP91" i="11" s="1"/>
  <c r="BR91" i="11" s="1"/>
  <c r="AL93" i="11"/>
  <c r="BP93" i="11" s="1"/>
  <c r="BR93" i="11" s="1"/>
  <c r="AL95" i="11"/>
  <c r="BP95" i="11" s="1"/>
  <c r="BR95" i="11" s="1"/>
  <c r="BL96" i="11"/>
  <c r="CF96" i="11" s="1"/>
  <c r="CH96" i="11" s="1"/>
  <c r="AL97" i="11"/>
  <c r="BP97" i="11" s="1"/>
  <c r="BR97" i="11" s="1"/>
  <c r="BL98" i="11"/>
  <c r="CF98" i="11" s="1"/>
  <c r="CH98" i="11" s="1"/>
  <c r="AL99" i="11"/>
  <c r="BP99" i="11" s="1"/>
  <c r="BR99" i="11" s="1"/>
  <c r="BL100" i="11"/>
  <c r="CF100" i="11" s="1"/>
  <c r="CH100" i="11" s="1"/>
  <c r="AL101" i="11"/>
  <c r="BP101" i="11" s="1"/>
  <c r="BR101" i="11" s="1"/>
  <c r="BL102" i="11"/>
  <c r="CF102" i="11" s="1"/>
  <c r="CH102" i="11" s="1"/>
  <c r="AL103" i="11"/>
  <c r="BP103" i="11" s="1"/>
  <c r="BR103" i="11" s="1"/>
  <c r="BL104" i="11"/>
  <c r="CF104" i="11" s="1"/>
  <c r="CH104" i="11" s="1"/>
  <c r="AE11" i="12"/>
  <c r="AF11" i="12" s="1"/>
  <c r="AE19" i="12"/>
  <c r="AE27" i="12"/>
  <c r="R7" i="13"/>
  <c r="S7" i="13" s="1"/>
  <c r="R20" i="13"/>
  <c r="S20" i="13" s="1"/>
  <c r="AO22" i="13"/>
  <c r="AP22" i="13" s="1"/>
  <c r="AS22" i="13" s="1"/>
  <c r="AU22" i="13" s="1"/>
  <c r="M443" i="1" s="1"/>
  <c r="R52" i="14"/>
  <c r="S52" i="14" s="1"/>
  <c r="AT9" i="15"/>
  <c r="AU9" i="15" s="1"/>
  <c r="R18" i="15"/>
  <c r="S18" i="15" s="1"/>
  <c r="AT24" i="15"/>
  <c r="AX24" i="15" s="1"/>
  <c r="AZ24" i="15" s="1"/>
  <c r="M541" i="1" s="1"/>
  <c r="R11" i="16"/>
  <c r="S11" i="16" s="1"/>
  <c r="R21" i="16"/>
  <c r="S21" i="16" s="1"/>
  <c r="R16" i="17"/>
  <c r="S16" i="17" s="1"/>
  <c r="AT50" i="17"/>
  <c r="AT28" i="18"/>
  <c r="AX28" i="18" s="1"/>
  <c r="AZ28" i="18" s="1"/>
  <c r="M689" i="1" s="1"/>
  <c r="AT36" i="18"/>
  <c r="R45" i="18"/>
  <c r="S45" i="18" s="1"/>
  <c r="AP15" i="19"/>
  <c r="AZ7" i="7"/>
  <c r="AZ8" i="7"/>
  <c r="AY44" i="11"/>
  <c r="BX44" i="11" s="1"/>
  <c r="BZ44" i="11" s="1"/>
  <c r="M333" i="1" s="1"/>
  <c r="AY48" i="11"/>
  <c r="BX48" i="11" s="1"/>
  <c r="BZ48" i="11" s="1"/>
  <c r="M345" i="1" s="1"/>
  <c r="AY50" i="11"/>
  <c r="BX50" i="11" s="1"/>
  <c r="BZ50" i="11" s="1"/>
  <c r="M351" i="1" s="1"/>
  <c r="AY52" i="11"/>
  <c r="BX52" i="11" s="1"/>
  <c r="BZ52" i="11" s="1"/>
  <c r="M357" i="1" s="1"/>
  <c r="AY56" i="11"/>
  <c r="BX56" i="11" s="1"/>
  <c r="BZ56" i="11" s="1"/>
  <c r="M369" i="1" s="1"/>
  <c r="AY58" i="11"/>
  <c r="BX58" i="11" s="1"/>
  <c r="BZ58" i="11" s="1"/>
  <c r="M375" i="1" s="1"/>
  <c r="AY60" i="11"/>
  <c r="BX60" i="11" s="1"/>
  <c r="BZ60" i="11" s="1"/>
  <c r="AY64" i="11"/>
  <c r="BX64" i="11" s="1"/>
  <c r="BZ64" i="11" s="1"/>
  <c r="AY66" i="11"/>
  <c r="BX66" i="11" s="1"/>
  <c r="BZ66" i="11" s="1"/>
  <c r="AY68" i="11"/>
  <c r="BX68" i="11" s="1"/>
  <c r="BZ68" i="11" s="1"/>
  <c r="AY70" i="11"/>
  <c r="BX70" i="11" s="1"/>
  <c r="BZ70" i="11" s="1"/>
  <c r="AY72" i="11"/>
  <c r="BX72" i="11" s="1"/>
  <c r="BZ72" i="11" s="1"/>
  <c r="AY74" i="11"/>
  <c r="BX74" i="11" s="1"/>
  <c r="BZ74" i="11" s="1"/>
  <c r="AY76" i="11"/>
  <c r="BX76" i="11" s="1"/>
  <c r="BZ76" i="11" s="1"/>
  <c r="AY78" i="11"/>
  <c r="BX78" i="11" s="1"/>
  <c r="BZ78" i="11" s="1"/>
  <c r="AY80" i="11"/>
  <c r="BX80" i="11" s="1"/>
  <c r="BZ80" i="11" s="1"/>
  <c r="AY82" i="11"/>
  <c r="BX82" i="11" s="1"/>
  <c r="BZ82" i="11" s="1"/>
  <c r="AY84" i="11"/>
  <c r="BX84" i="11" s="1"/>
  <c r="BZ84" i="11" s="1"/>
  <c r="AY86" i="11"/>
  <c r="BX86" i="11" s="1"/>
  <c r="BZ86" i="11" s="1"/>
  <c r="AY88" i="11"/>
  <c r="BX88" i="11" s="1"/>
  <c r="BZ88" i="11" s="1"/>
  <c r="AY90" i="11"/>
  <c r="BX90" i="11" s="1"/>
  <c r="BZ90" i="11" s="1"/>
  <c r="AY92" i="11"/>
  <c r="BX92" i="11" s="1"/>
  <c r="BZ92" i="11" s="1"/>
  <c r="AY94" i="11"/>
  <c r="BX94" i="11" s="1"/>
  <c r="BZ94" i="11" s="1"/>
  <c r="AY96" i="11"/>
  <c r="BX96" i="11" s="1"/>
  <c r="BZ96" i="11" s="1"/>
  <c r="AY98" i="11"/>
  <c r="BX98" i="11" s="1"/>
  <c r="BZ98" i="11" s="1"/>
  <c r="AY100" i="11"/>
  <c r="BX100" i="11" s="1"/>
  <c r="BZ100" i="11" s="1"/>
  <c r="AY102" i="11"/>
  <c r="BX102" i="11" s="1"/>
  <c r="BZ102" i="11" s="1"/>
  <c r="AY104" i="11"/>
  <c r="BX104" i="11" s="1"/>
  <c r="BZ104" i="11" s="1"/>
  <c r="AE13" i="12"/>
  <c r="AE21" i="12"/>
  <c r="AI21" i="12" s="1"/>
  <c r="AK21" i="12" s="1"/>
  <c r="M394" i="1" s="1"/>
  <c r="AE29" i="12"/>
  <c r="R8" i="13"/>
  <c r="S8" i="13" s="1"/>
  <c r="O8" i="13"/>
  <c r="AO15" i="13"/>
  <c r="AP15" i="13" s="1"/>
  <c r="AS15" i="13" s="1"/>
  <c r="AU15" i="13" s="1"/>
  <c r="M436" i="1" s="1"/>
  <c r="R21" i="13"/>
  <c r="S21" i="13" s="1"/>
  <c r="O21" i="13"/>
  <c r="AO24" i="13"/>
  <c r="AP24" i="13" s="1"/>
  <c r="AS24" i="13" s="1"/>
  <c r="AU24" i="13" s="1"/>
  <c r="M445" i="1" s="1"/>
  <c r="R31" i="13"/>
  <c r="S31" i="13" s="1"/>
  <c r="O31" i="13"/>
  <c r="AO45" i="13"/>
  <c r="AP45" i="13" s="1"/>
  <c r="AS45" i="13" s="1"/>
  <c r="AU45" i="13" s="1"/>
  <c r="M466" i="1" s="1"/>
  <c r="R52" i="13"/>
  <c r="S52" i="13" s="1"/>
  <c r="O52" i="13"/>
  <c r="AT16" i="14"/>
  <c r="AX16" i="14" s="1"/>
  <c r="AZ16" i="14" s="1"/>
  <c r="M485" i="1" s="1"/>
  <c r="AT24" i="14"/>
  <c r="R31" i="14"/>
  <c r="S31" i="14" s="1"/>
  <c r="O31" i="14"/>
  <c r="AT34" i="14"/>
  <c r="AT36" i="14"/>
  <c r="AT43" i="14"/>
  <c r="AU43" i="14" s="1"/>
  <c r="AT11" i="15"/>
  <c r="AT16" i="15"/>
  <c r="AX16" i="15" s="1"/>
  <c r="AZ16" i="15" s="1"/>
  <c r="M533" i="1" s="1"/>
  <c r="AT21" i="15"/>
  <c r="R33" i="15"/>
  <c r="S33" i="15" s="1"/>
  <c r="O33" i="15"/>
  <c r="R48" i="15"/>
  <c r="S48" i="15" s="1"/>
  <c r="O48" i="15"/>
  <c r="R52" i="16"/>
  <c r="S52" i="16" s="1"/>
  <c r="O52" i="16"/>
  <c r="R14" i="17"/>
  <c r="S14" i="17" s="1"/>
  <c r="O14" i="17"/>
  <c r="R19" i="17"/>
  <c r="S19" i="17" s="1"/>
  <c r="O19" i="17"/>
  <c r="AT22" i="17"/>
  <c r="AU22" i="17" s="1"/>
  <c r="R29" i="17"/>
  <c r="S29" i="17" s="1"/>
  <c r="O29" i="17"/>
  <c r="R34" i="17"/>
  <c r="S34" i="17" s="1"/>
  <c r="O34" i="17"/>
  <c r="AT42" i="17"/>
  <c r="R11" i="18"/>
  <c r="S11" i="18" s="1"/>
  <c r="O11" i="18"/>
  <c r="R19" i="18"/>
  <c r="S19" i="18" s="1"/>
  <c r="O19" i="18"/>
  <c r="R27" i="18"/>
  <c r="S27" i="18" s="1"/>
  <c r="O27" i="18"/>
  <c r="AT45" i="18"/>
  <c r="AU45" i="18" s="1"/>
  <c r="R17" i="19"/>
  <c r="S17" i="19" s="1"/>
  <c r="O17" i="19"/>
  <c r="R29" i="19"/>
  <c r="S29" i="19" s="1"/>
  <c r="O29" i="19"/>
  <c r="AP34" i="19"/>
  <c r="AP35" i="19"/>
  <c r="AT35" i="19" s="1"/>
  <c r="AV35" i="19" s="1"/>
  <c r="M744" i="1" s="1"/>
  <c r="AP46" i="19"/>
  <c r="AP47" i="19"/>
  <c r="AT47" i="19" s="1"/>
  <c r="AV47" i="19" s="1"/>
  <c r="M756" i="1" s="1"/>
  <c r="R52" i="19"/>
  <c r="S52" i="19" s="1"/>
  <c r="O52" i="19"/>
  <c r="R9" i="21"/>
  <c r="S9" i="21" s="1"/>
  <c r="O9" i="21"/>
  <c r="R40" i="13"/>
  <c r="S40" i="13" s="1"/>
  <c r="O40" i="13"/>
  <c r="R16" i="14"/>
  <c r="S16" i="14" s="1"/>
  <c r="O16" i="14"/>
  <c r="R24" i="14"/>
  <c r="S24" i="14" s="1"/>
  <c r="O24" i="14"/>
  <c r="R38" i="15"/>
  <c r="S38" i="15" s="1"/>
  <c r="O38" i="15"/>
  <c r="R53" i="15"/>
  <c r="S53" i="15" s="1"/>
  <c r="O53" i="15"/>
  <c r="AT45" i="16"/>
  <c r="AU45" i="16" s="1"/>
  <c r="R22" i="17"/>
  <c r="S22" i="17" s="1"/>
  <c r="O22" i="17"/>
  <c r="R27" i="17"/>
  <c r="S27" i="17" s="1"/>
  <c r="O27" i="17"/>
  <c r="AT52" i="17"/>
  <c r="R14" i="18"/>
  <c r="S14" i="18" s="1"/>
  <c r="O14" i="18"/>
  <c r="R22" i="18"/>
  <c r="S22" i="18" s="1"/>
  <c r="O22" i="18"/>
  <c r="R30" i="18"/>
  <c r="S30" i="18" s="1"/>
  <c r="O30" i="18"/>
  <c r="AT43" i="18"/>
  <c r="AX43" i="18" s="1"/>
  <c r="AZ43" i="18" s="1"/>
  <c r="M704" i="1" s="1"/>
  <c r="AT48" i="18"/>
  <c r="R16" i="19"/>
  <c r="S16" i="19" s="1"/>
  <c r="O16" i="19"/>
  <c r="AP20" i="19"/>
  <c r="AP21" i="19"/>
  <c r="AQ21" i="19" s="1"/>
  <c r="R28" i="19"/>
  <c r="S28" i="19" s="1"/>
  <c r="O28" i="19"/>
  <c r="AP32" i="19"/>
  <c r="AQ32" i="19" s="1"/>
  <c r="R40" i="19"/>
  <c r="S40" i="19" s="1"/>
  <c r="O40" i="19"/>
  <c r="AZ10" i="21"/>
  <c r="BE10" i="21" s="1"/>
  <c r="BG10" i="21" s="1"/>
  <c r="M774" i="1" s="1"/>
  <c r="R13" i="21"/>
  <c r="S13" i="21" s="1"/>
  <c r="O13" i="21"/>
  <c r="D21" i="23"/>
  <c r="D70" i="23"/>
  <c r="D134" i="23"/>
  <c r="D198" i="23"/>
  <c r="D262" i="23"/>
  <c r="D326" i="23"/>
  <c r="D390" i="23"/>
  <c r="D454" i="23"/>
  <c r="D518" i="23"/>
  <c r="D582" i="23"/>
  <c r="D39" i="23"/>
  <c r="D103" i="23"/>
  <c r="D167" i="23"/>
  <c r="D24" i="23"/>
  <c r="D88" i="23"/>
  <c r="D152" i="23"/>
  <c r="D216" i="23"/>
  <c r="D280" i="23"/>
  <c r="D344" i="23"/>
  <c r="D408" i="23"/>
  <c r="D472" i="23"/>
  <c r="D536" i="23"/>
  <c r="D600" i="23"/>
  <c r="D664" i="23"/>
  <c r="D49" i="23"/>
  <c r="D113" i="23"/>
  <c r="D177" i="23"/>
  <c r="D241" i="23"/>
  <c r="D305" i="23"/>
  <c r="D369" i="23"/>
  <c r="D433" i="23"/>
  <c r="D497" i="23"/>
  <c r="D561" i="23"/>
  <c r="D625" i="23"/>
  <c r="D689" i="23"/>
  <c r="D74" i="23"/>
  <c r="D138" i="23"/>
  <c r="D202" i="23"/>
  <c r="D266" i="23"/>
  <c r="D330" i="23"/>
  <c r="D394" i="23"/>
  <c r="D458" i="23"/>
  <c r="D522" i="23"/>
  <c r="D586" i="23"/>
  <c r="D650" i="23"/>
  <c r="D35" i="23"/>
  <c r="D99" i="23"/>
  <c r="D163" i="23"/>
  <c r="D227" i="23"/>
  <c r="D291" i="23"/>
  <c r="D355" i="23"/>
  <c r="D419" i="23"/>
  <c r="D483" i="23"/>
  <c r="D547" i="23"/>
  <c r="D611" i="23"/>
  <c r="D675" i="23"/>
  <c r="D68" i="23"/>
  <c r="D132" i="23"/>
  <c r="D196" i="23"/>
  <c r="D260" i="23"/>
  <c r="D324" i="23"/>
  <c r="D388" i="23"/>
  <c r="D452" i="23"/>
  <c r="D516" i="23"/>
  <c r="D580" i="23"/>
  <c r="D644" i="23"/>
  <c r="D29" i="23"/>
  <c r="D93" i="23"/>
  <c r="D157" i="23"/>
  <c r="D221" i="23"/>
  <c r="D285" i="23"/>
  <c r="D349" i="23"/>
  <c r="D413" i="23"/>
  <c r="D477" i="23"/>
  <c r="D541" i="23"/>
  <c r="D605" i="23"/>
  <c r="D669" i="23"/>
  <c r="D423" i="23"/>
  <c r="D721" i="23"/>
  <c r="D785" i="23"/>
  <c r="D367" i="23"/>
  <c r="D714" i="23"/>
  <c r="D778" i="23"/>
  <c r="D630" i="23"/>
  <c r="D747" i="23"/>
  <c r="D811" i="23"/>
  <c r="D575" i="23"/>
  <c r="D740" i="23"/>
  <c r="D804" i="23"/>
  <c r="D263" i="23"/>
  <c r="D699" i="23"/>
  <c r="D765" i="23"/>
  <c r="D829" i="23"/>
  <c r="D607" i="23"/>
  <c r="D744" i="23"/>
  <c r="D808" i="23"/>
  <c r="D742" i="23"/>
  <c r="D782" i="23"/>
  <c r="D790" i="23"/>
  <c r="D791" i="23"/>
  <c r="D702" i="23"/>
  <c r="D535" i="23"/>
  <c r="D38" i="23"/>
  <c r="D102" i="23"/>
  <c r="D166" i="23"/>
  <c r="D230" i="23"/>
  <c r="D294" i="23"/>
  <c r="D358" i="23"/>
  <c r="D422" i="23"/>
  <c r="D486" i="23"/>
  <c r="D550" i="23"/>
  <c r="D614" i="23"/>
  <c r="D71" i="23"/>
  <c r="D135" i="23"/>
  <c r="D199" i="23"/>
  <c r="D56" i="23"/>
  <c r="D120" i="23"/>
  <c r="D184" i="23"/>
  <c r="D248" i="23"/>
  <c r="D312" i="23"/>
  <c r="D376" i="23"/>
  <c r="D440" i="23"/>
  <c r="D504" i="23"/>
  <c r="D568" i="23"/>
  <c r="D632" i="23"/>
  <c r="D696" i="23"/>
  <c r="D81" i="23"/>
  <c r="D145" i="23"/>
  <c r="D209" i="23"/>
  <c r="D273" i="23"/>
  <c r="D337" i="23"/>
  <c r="D401" i="23"/>
  <c r="D465" i="23"/>
  <c r="D529" i="23"/>
  <c r="D593" i="23"/>
  <c r="D657" i="23"/>
  <c r="D42" i="23"/>
  <c r="D106" i="23"/>
  <c r="D170" i="23"/>
  <c r="D234" i="23"/>
  <c r="D298" i="23"/>
  <c r="D362" i="23"/>
  <c r="D426" i="23"/>
  <c r="D490" i="23"/>
  <c r="D554" i="23"/>
  <c r="D618" i="23"/>
  <c r="D682" i="23"/>
  <c r="D67" i="23"/>
  <c r="D131" i="23"/>
  <c r="D195" i="23"/>
  <c r="D259" i="23"/>
  <c r="D323" i="23"/>
  <c r="D387" i="23"/>
  <c r="D451" i="23"/>
  <c r="D515" i="23"/>
  <c r="D579" i="23"/>
  <c r="D643" i="23"/>
  <c r="D36" i="23"/>
  <c r="D100" i="23"/>
  <c r="D164" i="23"/>
  <c r="D228" i="23"/>
  <c r="D292" i="23"/>
  <c r="D356" i="23"/>
  <c r="D420" i="23"/>
  <c r="D484" i="23"/>
  <c r="D548" i="23"/>
  <c r="D612" i="23"/>
  <c r="D676" i="23"/>
  <c r="D61" i="23"/>
  <c r="D125" i="23"/>
  <c r="D189" i="23"/>
  <c r="D253" i="23"/>
  <c r="D317" i="23"/>
  <c r="D381" i="23"/>
  <c r="D445" i="23"/>
  <c r="D509" i="23"/>
  <c r="D573" i="23"/>
  <c r="D637" i="23"/>
  <c r="D701" i="23"/>
  <c r="D654" i="23"/>
  <c r="D753" i="23"/>
  <c r="D817" i="23"/>
  <c r="D623" i="23"/>
  <c r="D746" i="23"/>
  <c r="D810" i="23"/>
  <c r="D375" i="23"/>
  <c r="D715" i="23"/>
  <c r="D54" i="23"/>
  <c r="D142" i="23"/>
  <c r="D222" i="23"/>
  <c r="D310" i="23"/>
  <c r="D398" i="23"/>
  <c r="D478" i="23"/>
  <c r="D566" i="23"/>
  <c r="D47" i="23"/>
  <c r="D127" i="23"/>
  <c r="D215" i="23"/>
  <c r="D96" i="23"/>
  <c r="D176" i="23"/>
  <c r="D264" i="23"/>
  <c r="D352" i="23"/>
  <c r="D432" i="23"/>
  <c r="D520" i="23"/>
  <c r="D608" i="23"/>
  <c r="D688" i="23"/>
  <c r="D97" i="23"/>
  <c r="D185" i="23"/>
  <c r="D265" i="23"/>
  <c r="D353" i="23"/>
  <c r="D441" i="23"/>
  <c r="D521" i="23"/>
  <c r="D609" i="23"/>
  <c r="D697" i="23"/>
  <c r="D98" i="23"/>
  <c r="D186" i="23"/>
  <c r="D274" i="23"/>
  <c r="D354" i="23"/>
  <c r="D442" i="23"/>
  <c r="D530" i="23"/>
  <c r="D610" i="23"/>
  <c r="D698" i="23"/>
  <c r="D107" i="23"/>
  <c r="D187" i="23"/>
  <c r="D275" i="23"/>
  <c r="D363" i="23"/>
  <c r="D443" i="23"/>
  <c r="D531" i="23"/>
  <c r="D619" i="23"/>
  <c r="D28" i="23"/>
  <c r="D116" i="23"/>
  <c r="D204" i="23"/>
  <c r="D284" i="23"/>
  <c r="D372" i="23"/>
  <c r="D460" i="23"/>
  <c r="D540" i="23"/>
  <c r="D628" i="23"/>
  <c r="D37" i="23"/>
  <c r="D117" i="23"/>
  <c r="D205" i="23"/>
  <c r="D293" i="23"/>
  <c r="D373" i="23"/>
  <c r="D461" i="23"/>
  <c r="D549" i="23"/>
  <c r="D629" i="23"/>
  <c r="D295" i="23"/>
  <c r="D729" i="23"/>
  <c r="D809" i="23"/>
  <c r="D687" i="23"/>
  <c r="D786" i="23"/>
  <c r="D247" i="23"/>
  <c r="D723" i="23"/>
  <c r="D795" i="23"/>
  <c r="D511" i="23"/>
  <c r="D748" i="23"/>
  <c r="D820" i="23"/>
  <c r="D455" i="23"/>
  <c r="D733" i="23"/>
  <c r="D805" i="23"/>
  <c r="D479" i="23"/>
  <c r="D736" i="23"/>
  <c r="D816" i="23"/>
  <c r="D806" i="23"/>
  <c r="D343" i="23"/>
  <c r="D719" i="23"/>
  <c r="D471" i="23"/>
  <c r="D251" i="23"/>
  <c r="D692" i="23"/>
  <c r="D693" i="23"/>
  <c r="D694" i="23"/>
  <c r="D717" i="23"/>
  <c r="D792" i="23"/>
  <c r="D830" i="23"/>
  <c r="D62" i="23"/>
  <c r="D150" i="23"/>
  <c r="D238" i="23"/>
  <c r="D318" i="23"/>
  <c r="D406" i="23"/>
  <c r="D494" i="23"/>
  <c r="D574" i="23"/>
  <c r="D55" i="23"/>
  <c r="D143" i="23"/>
  <c r="D223" i="23"/>
  <c r="D104" i="23"/>
  <c r="D192" i="23"/>
  <c r="D272" i="23"/>
  <c r="D360" i="23"/>
  <c r="D448" i="23"/>
  <c r="D528" i="23"/>
  <c r="D616" i="23"/>
  <c r="D25" i="23"/>
  <c r="D105" i="23"/>
  <c r="D193" i="23"/>
  <c r="D281" i="23"/>
  <c r="D361" i="23"/>
  <c r="D449" i="23"/>
  <c r="D537" i="23"/>
  <c r="D617" i="23"/>
  <c r="D26" i="23"/>
  <c r="D114" i="23"/>
  <c r="D194" i="23"/>
  <c r="D282" i="23"/>
  <c r="D370" i="23"/>
  <c r="D450" i="23"/>
  <c r="D538" i="23"/>
  <c r="D626" i="23"/>
  <c r="D27" i="23"/>
  <c r="D115" i="23"/>
  <c r="D203" i="23"/>
  <c r="D283" i="23"/>
  <c r="D371" i="23"/>
  <c r="D459" i="23"/>
  <c r="D539" i="23"/>
  <c r="D627" i="23"/>
  <c r="D44" i="23"/>
  <c r="D124" i="23"/>
  <c r="D212" i="23"/>
  <c r="D300" i="23"/>
  <c r="D380" i="23"/>
  <c r="D468" i="23"/>
  <c r="D556" i="23"/>
  <c r="D636" i="23"/>
  <c r="D45" i="23"/>
  <c r="D133" i="23"/>
  <c r="D213" i="23"/>
  <c r="D301" i="23"/>
  <c r="D389" i="23"/>
  <c r="D469" i="23"/>
  <c r="D557" i="23"/>
  <c r="D645" i="23"/>
  <c r="D359" i="23"/>
  <c r="D737" i="23"/>
  <c r="D825" i="23"/>
  <c r="D706" i="23"/>
  <c r="D794" i="23"/>
  <c r="D311" i="23"/>
  <c r="D731" i="23"/>
  <c r="D803" i="23"/>
  <c r="D631" i="23"/>
  <c r="D756" i="23"/>
  <c r="D828" i="23"/>
  <c r="D519" i="23"/>
  <c r="D741" i="23"/>
  <c r="D813" i="23"/>
  <c r="D543" i="23"/>
  <c r="D752" i="23"/>
  <c r="D824" i="23"/>
  <c r="D599" i="23"/>
  <c r="D751" i="23"/>
  <c r="D463" i="23"/>
  <c r="D678" i="23"/>
  <c r="D357" i="23"/>
  <c r="D327" i="23"/>
  <c r="D78" i="23"/>
  <c r="D158" i="23"/>
  <c r="D246" i="23"/>
  <c r="D334" i="23"/>
  <c r="D414" i="23"/>
  <c r="D502" i="23"/>
  <c r="D590" i="23"/>
  <c r="D63" i="23"/>
  <c r="D151" i="23"/>
  <c r="D32" i="23"/>
  <c r="D112" i="23"/>
  <c r="D200" i="23"/>
  <c r="D288" i="23"/>
  <c r="D368" i="23"/>
  <c r="D456" i="23"/>
  <c r="D544" i="23"/>
  <c r="D624" i="23"/>
  <c r="D33" i="23"/>
  <c r="D121" i="23"/>
  <c r="D201" i="23"/>
  <c r="D289" i="23"/>
  <c r="D377" i="23"/>
  <c r="D457" i="23"/>
  <c r="D545" i="23"/>
  <c r="D633" i="23"/>
  <c r="D34" i="23"/>
  <c r="D122" i="23"/>
  <c r="D210" i="23"/>
  <c r="D290" i="23"/>
  <c r="D378" i="23"/>
  <c r="D466" i="23"/>
  <c r="D546" i="23"/>
  <c r="D634" i="23"/>
  <c r="D43" i="23"/>
  <c r="D123" i="23"/>
  <c r="D211" i="23"/>
  <c r="D299" i="23"/>
  <c r="D379" i="23"/>
  <c r="D467" i="23"/>
  <c r="D555" i="23"/>
  <c r="D635" i="23"/>
  <c r="D52" i="23"/>
  <c r="D140" i="23"/>
  <c r="D220" i="23"/>
  <c r="D308" i="23"/>
  <c r="D396" i="23"/>
  <c r="D476" i="23"/>
  <c r="D564" i="23"/>
  <c r="D652" i="23"/>
  <c r="D53" i="23"/>
  <c r="D141" i="23"/>
  <c r="D229" i="23"/>
  <c r="D309" i="23"/>
  <c r="D397" i="23"/>
  <c r="D485" i="23"/>
  <c r="D565" i="23"/>
  <c r="D653" i="23"/>
  <c r="D487" i="23"/>
  <c r="D745" i="23"/>
  <c r="D239" i="23"/>
  <c r="D722" i="23"/>
  <c r="D802" i="23"/>
  <c r="D439" i="23"/>
  <c r="D739" i="23"/>
  <c r="D819" i="23"/>
  <c r="D663" i="23"/>
  <c r="D764" i="23"/>
  <c r="D583" i="23"/>
  <c r="D749" i="23"/>
  <c r="D821" i="23"/>
  <c r="D647" i="23"/>
  <c r="D760" i="23"/>
  <c r="D711" i="23"/>
  <c r="D399" i="23"/>
  <c r="D783" i="23"/>
  <c r="D671" i="23"/>
  <c r="D727" i="23"/>
  <c r="D527" i="23"/>
  <c r="D703" i="23"/>
  <c r="D268" i="23"/>
  <c r="D705" i="23"/>
  <c r="D796" i="23"/>
  <c r="D710" i="23"/>
  <c r="D86" i="23"/>
  <c r="D174" i="23"/>
  <c r="D254" i="23"/>
  <c r="D342" i="23"/>
  <c r="D430" i="23"/>
  <c r="D510" i="23"/>
  <c r="D598" i="23"/>
  <c r="D79" i="23"/>
  <c r="D159" i="23"/>
  <c r="D40" i="23"/>
  <c r="D128" i="23"/>
  <c r="D208" i="23"/>
  <c r="D296" i="23"/>
  <c r="D384" i="23"/>
  <c r="D464" i="23"/>
  <c r="D552" i="23"/>
  <c r="D640" i="23"/>
  <c r="D41" i="23"/>
  <c r="D129" i="23"/>
  <c r="D217" i="23"/>
  <c r="D297" i="23"/>
  <c r="D385" i="23"/>
  <c r="D473" i="23"/>
  <c r="D553" i="23"/>
  <c r="D641" i="23"/>
  <c r="D50" i="23"/>
  <c r="D130" i="23"/>
  <c r="D218" i="23"/>
  <c r="D306" i="23"/>
  <c r="D386" i="23"/>
  <c r="D474" i="23"/>
  <c r="D562" i="23"/>
  <c r="D642" i="23"/>
  <c r="D51" i="23"/>
  <c r="D139" i="23"/>
  <c r="D219" i="23"/>
  <c r="D307" i="23"/>
  <c r="D395" i="23"/>
  <c r="D475" i="23"/>
  <c r="D563" i="23"/>
  <c r="D651" i="23"/>
  <c r="D60" i="23"/>
  <c r="D148" i="23"/>
  <c r="D236" i="23"/>
  <c r="D316" i="23"/>
  <c r="D404" i="23"/>
  <c r="D492" i="23"/>
  <c r="D572" i="23"/>
  <c r="D660" i="23"/>
  <c r="D69" i="23"/>
  <c r="D149" i="23"/>
  <c r="D237" i="23"/>
  <c r="D325" i="23"/>
  <c r="D405" i="23"/>
  <c r="D493" i="23"/>
  <c r="D581" i="23"/>
  <c r="D661" i="23"/>
  <c r="D551" i="23"/>
  <c r="D761" i="23"/>
  <c r="D303" i="23"/>
  <c r="D730" i="23"/>
  <c r="D818" i="23"/>
  <c r="D503" i="23"/>
  <c r="D755" i="23"/>
  <c r="D827" i="23"/>
  <c r="D695" i="23"/>
  <c r="D772" i="23"/>
  <c r="D638" i="23"/>
  <c r="D757" i="23"/>
  <c r="D271" i="23"/>
  <c r="D679" i="23"/>
  <c r="D768" i="23"/>
  <c r="D743" i="23"/>
  <c r="D639" i="23"/>
  <c r="D815" i="23"/>
  <c r="D726" i="23"/>
  <c r="D759" i="23"/>
  <c r="D734" i="23"/>
  <c r="D735" i="23"/>
  <c r="D30" i="23"/>
  <c r="D286" i="23"/>
  <c r="D462" i="23"/>
  <c r="D23" i="23"/>
  <c r="D191" i="23"/>
  <c r="D160" i="23"/>
  <c r="D240" i="23"/>
  <c r="D416" i="23"/>
  <c r="D584" i="23"/>
  <c r="D73" i="23"/>
  <c r="D249" i="23"/>
  <c r="D417" i="23"/>
  <c r="D585" i="23"/>
  <c r="D82" i="23"/>
  <c r="D250" i="23"/>
  <c r="D418" i="23"/>
  <c r="D594" i="23"/>
  <c r="D83" i="23"/>
  <c r="D427" i="23"/>
  <c r="D595" i="23"/>
  <c r="D92" i="23"/>
  <c r="D348" i="23"/>
  <c r="D524" i="23"/>
  <c r="D181" i="23"/>
  <c r="D525" i="23"/>
  <c r="D559" i="23"/>
  <c r="D383" i="23"/>
  <c r="D720" i="23"/>
  <c r="D814" i="23"/>
  <c r="D94" i="23"/>
  <c r="D182" i="23"/>
  <c r="D270" i="23"/>
  <c r="D350" i="23"/>
  <c r="D438" i="23"/>
  <c r="D526" i="23"/>
  <c r="D606" i="23"/>
  <c r="D87" i="23"/>
  <c r="D175" i="23"/>
  <c r="D48" i="23"/>
  <c r="D136" i="23"/>
  <c r="D224" i="23"/>
  <c r="D304" i="23"/>
  <c r="D392" i="23"/>
  <c r="D480" i="23"/>
  <c r="D560" i="23"/>
  <c r="D648" i="23"/>
  <c r="D57" i="23"/>
  <c r="D137" i="23"/>
  <c r="D225" i="23"/>
  <c r="D313" i="23"/>
  <c r="D393" i="23"/>
  <c r="D481" i="23"/>
  <c r="D569" i="23"/>
  <c r="D649" i="23"/>
  <c r="D58" i="23"/>
  <c r="D146" i="23"/>
  <c r="D226" i="23"/>
  <c r="D314" i="23"/>
  <c r="D402" i="23"/>
  <c r="D482" i="23"/>
  <c r="D570" i="23"/>
  <c r="D658" i="23"/>
  <c r="D59" i="23"/>
  <c r="D147" i="23"/>
  <c r="D235" i="23"/>
  <c r="D315" i="23"/>
  <c r="D403" i="23"/>
  <c r="D491" i="23"/>
  <c r="D571" i="23"/>
  <c r="D659" i="23"/>
  <c r="D76" i="23"/>
  <c r="D156" i="23"/>
  <c r="D244" i="23"/>
  <c r="D332" i="23"/>
  <c r="D412" i="23"/>
  <c r="D500" i="23"/>
  <c r="D588" i="23"/>
  <c r="D668" i="23"/>
  <c r="D77" i="23"/>
  <c r="D165" i="23"/>
  <c r="D245" i="23"/>
  <c r="D333" i="23"/>
  <c r="D421" i="23"/>
  <c r="D501" i="23"/>
  <c r="D589" i="23"/>
  <c r="D677" i="23"/>
  <c r="D615" i="23"/>
  <c r="D769" i="23"/>
  <c r="D431" i="23"/>
  <c r="D738" i="23"/>
  <c r="D826" i="23"/>
  <c r="D567" i="23"/>
  <c r="D763" i="23"/>
  <c r="D255" i="23"/>
  <c r="D708" i="23"/>
  <c r="D780" i="23"/>
  <c r="D670" i="23"/>
  <c r="D773" i="23"/>
  <c r="D335" i="23"/>
  <c r="D704" i="23"/>
  <c r="D776" i="23"/>
  <c r="D279" i="23"/>
  <c r="D775" i="23"/>
  <c r="D718" i="23"/>
  <c r="D758" i="23"/>
  <c r="D823" i="23"/>
  <c r="D766" i="23"/>
  <c r="D767" i="23"/>
  <c r="D118" i="23"/>
  <c r="D206" i="23"/>
  <c r="D374" i="23"/>
  <c r="D542" i="23"/>
  <c r="D111" i="23"/>
  <c r="D72" i="23"/>
  <c r="D328" i="23"/>
  <c r="D496" i="23"/>
  <c r="D672" i="23"/>
  <c r="D161" i="23"/>
  <c r="D329" i="23"/>
  <c r="D505" i="23"/>
  <c r="D673" i="23"/>
  <c r="D162" i="23"/>
  <c r="D338" i="23"/>
  <c r="D506" i="23"/>
  <c r="D674" i="23"/>
  <c r="D171" i="23"/>
  <c r="D507" i="23"/>
  <c r="D683" i="23"/>
  <c r="D180" i="23"/>
  <c r="D436" i="23"/>
  <c r="D604" i="23"/>
  <c r="D269" i="23"/>
  <c r="D613" i="23"/>
  <c r="D762" i="23"/>
  <c r="D724" i="23"/>
  <c r="D351" i="23"/>
  <c r="D407" i="23"/>
  <c r="D22" i="23"/>
  <c r="D110" i="23"/>
  <c r="D190" i="23"/>
  <c r="D278" i="23"/>
  <c r="D366" i="23"/>
  <c r="D446" i="23"/>
  <c r="D534" i="23"/>
  <c r="D622" i="23"/>
  <c r="D95" i="23"/>
  <c r="D183" i="23"/>
  <c r="D64" i="23"/>
  <c r="D144" i="23"/>
  <c r="D232" i="23"/>
  <c r="D320" i="23"/>
  <c r="D400" i="23"/>
  <c r="D488" i="23"/>
  <c r="D576" i="23"/>
  <c r="D656" i="23"/>
  <c r="D65" i="23"/>
  <c r="D153" i="23"/>
  <c r="D233" i="23"/>
  <c r="D321" i="23"/>
  <c r="D409" i="23"/>
  <c r="D489" i="23"/>
  <c r="D577" i="23"/>
  <c r="D665" i="23"/>
  <c r="D66" i="23"/>
  <c r="D154" i="23"/>
  <c r="D242" i="23"/>
  <c r="D322" i="23"/>
  <c r="D410" i="23"/>
  <c r="D498" i="23"/>
  <c r="D578" i="23"/>
  <c r="D666" i="23"/>
  <c r="D75" i="23"/>
  <c r="D155" i="23"/>
  <c r="D243" i="23"/>
  <c r="D331" i="23"/>
  <c r="D411" i="23"/>
  <c r="D499" i="23"/>
  <c r="D587" i="23"/>
  <c r="D667" i="23"/>
  <c r="D84" i="23"/>
  <c r="D172" i="23"/>
  <c r="D252" i="23"/>
  <c r="D340" i="23"/>
  <c r="D428" i="23"/>
  <c r="D508" i="23"/>
  <c r="D596" i="23"/>
  <c r="D684" i="23"/>
  <c r="D85" i="23"/>
  <c r="D173" i="23"/>
  <c r="D261" i="23"/>
  <c r="D341" i="23"/>
  <c r="D429" i="23"/>
  <c r="D517" i="23"/>
  <c r="D597" i="23"/>
  <c r="D685" i="23"/>
  <c r="D686" i="23"/>
  <c r="D777" i="23"/>
  <c r="D495" i="23"/>
  <c r="D754" i="23"/>
  <c r="D662" i="23"/>
  <c r="D771" i="23"/>
  <c r="D319" i="23"/>
  <c r="D716" i="23"/>
  <c r="D788" i="23"/>
  <c r="D709" i="23"/>
  <c r="D781" i="23"/>
  <c r="D287" i="23"/>
  <c r="D712" i="23"/>
  <c r="D784" i="23"/>
  <c r="D591" i="23"/>
  <c r="D807" i="23"/>
  <c r="D750" i="23"/>
  <c r="D822" i="23"/>
  <c r="D798" i="23"/>
  <c r="D46" i="23"/>
  <c r="D126" i="23"/>
  <c r="D214" i="23"/>
  <c r="D302" i="23"/>
  <c r="D382" i="23"/>
  <c r="D470" i="23"/>
  <c r="D558" i="23"/>
  <c r="D31" i="23"/>
  <c r="D119" i="23"/>
  <c r="D207" i="23"/>
  <c r="D80" i="23"/>
  <c r="D168" i="23"/>
  <c r="D256" i="23"/>
  <c r="D336" i="23"/>
  <c r="D424" i="23"/>
  <c r="D512" i="23"/>
  <c r="D592" i="23"/>
  <c r="D680" i="23"/>
  <c r="D89" i="23"/>
  <c r="D169" i="23"/>
  <c r="D257" i="23"/>
  <c r="D345" i="23"/>
  <c r="D425" i="23"/>
  <c r="D513" i="23"/>
  <c r="D601" i="23"/>
  <c r="D681" i="23"/>
  <c r="D90" i="23"/>
  <c r="D178" i="23"/>
  <c r="D258" i="23"/>
  <c r="D346" i="23"/>
  <c r="D434" i="23"/>
  <c r="D514" i="23"/>
  <c r="D602" i="23"/>
  <c r="D690" i="23"/>
  <c r="D91" i="23"/>
  <c r="D179" i="23"/>
  <c r="D267" i="23"/>
  <c r="D347" i="23"/>
  <c r="D435" i="23"/>
  <c r="D523" i="23"/>
  <c r="D603" i="23"/>
  <c r="D691" i="23"/>
  <c r="D108" i="23"/>
  <c r="D188" i="23"/>
  <c r="D276" i="23"/>
  <c r="D364" i="23"/>
  <c r="D444" i="23"/>
  <c r="D532" i="23"/>
  <c r="D620" i="23"/>
  <c r="D700" i="23"/>
  <c r="D109" i="23"/>
  <c r="D197" i="23"/>
  <c r="D277" i="23"/>
  <c r="D365" i="23"/>
  <c r="D453" i="23"/>
  <c r="D533" i="23"/>
  <c r="D621" i="23"/>
  <c r="D231" i="23"/>
  <c r="D713" i="23"/>
  <c r="D801" i="23"/>
  <c r="D655" i="23"/>
  <c r="D770" i="23"/>
  <c r="D707" i="23"/>
  <c r="D787" i="23"/>
  <c r="D447" i="23"/>
  <c r="D732" i="23"/>
  <c r="D812" i="23"/>
  <c r="D391" i="23"/>
  <c r="D725" i="23"/>
  <c r="D797" i="23"/>
  <c r="D415" i="23"/>
  <c r="D728" i="23"/>
  <c r="D800" i="23"/>
  <c r="D774" i="23"/>
  <c r="D646" i="23"/>
  <c r="D799" i="23"/>
  <c r="D831" i="23"/>
  <c r="D339" i="23"/>
  <c r="D101" i="23"/>
  <c r="D437" i="23"/>
  <c r="D793" i="23"/>
  <c r="D779" i="23"/>
  <c r="D789" i="23"/>
  <c r="T92" i="9"/>
  <c r="AC92" i="9" s="1"/>
  <c r="AI92" i="9" s="1"/>
  <c r="F780" i="1" s="1"/>
  <c r="T100" i="9"/>
  <c r="AC100" i="9" s="1"/>
  <c r="AI100" i="9" s="1"/>
  <c r="F788" i="1" s="1"/>
  <c r="T132" i="9"/>
  <c r="AC132" i="9" s="1"/>
  <c r="AI132" i="9" s="1"/>
  <c r="F820" i="1" s="1"/>
  <c r="T140" i="9"/>
  <c r="AC140" i="9" s="1"/>
  <c r="AI140" i="9" s="1"/>
  <c r="F828" i="1" s="1"/>
  <c r="T119" i="9"/>
  <c r="AC119" i="9" s="1"/>
  <c r="AI119" i="9" s="1"/>
  <c r="AZ7" i="6"/>
  <c r="R18" i="13"/>
  <c r="S18" i="13" s="1"/>
  <c r="O18" i="13"/>
  <c r="R29" i="13"/>
  <c r="S29" i="13" s="1"/>
  <c r="O29" i="13"/>
  <c r="R38" i="13"/>
  <c r="S38" i="13" s="1"/>
  <c r="O38" i="13"/>
  <c r="R50" i="13"/>
  <c r="S50" i="13" s="1"/>
  <c r="O50" i="13"/>
  <c r="R11" i="14"/>
  <c r="S11" i="14" s="1"/>
  <c r="O11" i="14"/>
  <c r="R19" i="14"/>
  <c r="S19" i="14" s="1"/>
  <c r="O19" i="14"/>
  <c r="R14" i="15"/>
  <c r="S14" i="15" s="1"/>
  <c r="O14" i="15"/>
  <c r="R31" i="15"/>
  <c r="S31" i="15" s="1"/>
  <c r="O31" i="15"/>
  <c r="R46" i="15"/>
  <c r="S46" i="15" s="1"/>
  <c r="O46" i="15"/>
  <c r="R17" i="17"/>
  <c r="S17" i="17" s="1"/>
  <c r="O17" i="17"/>
  <c r="R9" i="18"/>
  <c r="S9" i="18" s="1"/>
  <c r="O9" i="18"/>
  <c r="R50" i="19"/>
  <c r="S50" i="19" s="1"/>
  <c r="O50" i="19"/>
  <c r="T111" i="9"/>
  <c r="AC111" i="9" s="1"/>
  <c r="AI111" i="9" s="1"/>
  <c r="AE18" i="12"/>
  <c r="AF18" i="12" s="1"/>
  <c r="AE26" i="12"/>
  <c r="AF26" i="12" s="1"/>
  <c r="AO9" i="13"/>
  <c r="AP9" i="13" s="1"/>
  <c r="AS9" i="13" s="1"/>
  <c r="AU9" i="13" s="1"/>
  <c r="M430" i="1" s="1"/>
  <c r="R17" i="13"/>
  <c r="S17" i="13" s="1"/>
  <c r="O17" i="13"/>
  <c r="AO21" i="13"/>
  <c r="AP21" i="13" s="1"/>
  <c r="AS21" i="13" s="1"/>
  <c r="AU21" i="13" s="1"/>
  <c r="M442" i="1" s="1"/>
  <c r="AO31" i="13"/>
  <c r="AP31" i="13" s="1"/>
  <c r="AS31" i="13" s="1"/>
  <c r="AU31" i="13" s="1"/>
  <c r="M452" i="1" s="1"/>
  <c r="R39" i="13"/>
  <c r="S39" i="13" s="1"/>
  <c r="R48" i="13"/>
  <c r="S48" i="13" s="1"/>
  <c r="O48" i="13"/>
  <c r="R9" i="14"/>
  <c r="S9" i="14" s="1"/>
  <c r="O9" i="14"/>
  <c r="R14" i="14"/>
  <c r="S14" i="14" s="1"/>
  <c r="O14" i="14"/>
  <c r="R22" i="14"/>
  <c r="S22" i="14" s="1"/>
  <c r="O22" i="14"/>
  <c r="R29" i="14"/>
  <c r="S29" i="14" s="1"/>
  <c r="R46" i="14"/>
  <c r="S46" i="14" s="1"/>
  <c r="O46" i="14"/>
  <c r="AT12" i="15"/>
  <c r="AU12" i="15" s="1"/>
  <c r="AT17" i="15"/>
  <c r="AU17" i="15" s="1"/>
  <c r="AT22" i="15"/>
  <c r="AX22" i="15" s="1"/>
  <c r="AZ22" i="15" s="1"/>
  <c r="M539" i="1" s="1"/>
  <c r="R26" i="15"/>
  <c r="S26" i="15" s="1"/>
  <c r="AT29" i="15"/>
  <c r="AU29" i="15" s="1"/>
  <c r="AT34" i="15"/>
  <c r="AX34" i="15" s="1"/>
  <c r="AZ34" i="15" s="1"/>
  <c r="M551" i="1" s="1"/>
  <c r="AT39" i="15"/>
  <c r="AX39" i="15" s="1"/>
  <c r="AZ39" i="15" s="1"/>
  <c r="M556" i="1" s="1"/>
  <c r="AT44" i="15"/>
  <c r="AX44" i="15" s="1"/>
  <c r="AZ44" i="15" s="1"/>
  <c r="M561" i="1" s="1"/>
  <c r="AT49" i="15"/>
  <c r="AX49" i="15" s="1"/>
  <c r="AZ49" i="15" s="1"/>
  <c r="M566" i="1" s="1"/>
  <c r="AT54" i="15"/>
  <c r="AX54" i="15" s="1"/>
  <c r="AZ54" i="15" s="1"/>
  <c r="M571" i="1" s="1"/>
  <c r="AT11" i="16"/>
  <c r="AU11" i="16" s="1"/>
  <c r="AT26" i="16"/>
  <c r="AX26" i="16" s="1"/>
  <c r="AZ26" i="16" s="1"/>
  <c r="M591" i="1" s="1"/>
  <c r="R35" i="16"/>
  <c r="S35" i="16" s="1"/>
  <c r="AT38" i="16"/>
  <c r="AX38" i="16" s="1"/>
  <c r="AZ38" i="16" s="1"/>
  <c r="M603" i="1" s="1"/>
  <c r="R7" i="17"/>
  <c r="S7" i="17" s="1"/>
  <c r="R15" i="17"/>
  <c r="S15" i="17" s="1"/>
  <c r="O15" i="17"/>
  <c r="R20" i="17"/>
  <c r="S20" i="17" s="1"/>
  <c r="O20" i="17"/>
  <c r="AT30" i="17"/>
  <c r="AX30" i="17" s="1"/>
  <c r="AZ30" i="17" s="1"/>
  <c r="M643" i="1" s="1"/>
  <c r="R37" i="17"/>
  <c r="S37" i="17" s="1"/>
  <c r="R47" i="17"/>
  <c r="S47" i="17" s="1"/>
  <c r="AT7" i="18"/>
  <c r="AX7" i="18" s="1"/>
  <c r="AZ7" i="18" s="1"/>
  <c r="M668" i="1" s="1"/>
  <c r="R12" i="18"/>
  <c r="S12" i="18" s="1"/>
  <c r="O12" i="18"/>
  <c r="R20" i="18"/>
  <c r="S20" i="18" s="1"/>
  <c r="O20" i="18"/>
  <c r="R28" i="18"/>
  <c r="S28" i="18" s="1"/>
  <c r="O28" i="18"/>
  <c r="R36" i="18"/>
  <c r="S36" i="18" s="1"/>
  <c r="O36" i="18"/>
  <c r="AP18" i="19"/>
  <c r="AT18" i="19" s="1"/>
  <c r="AV18" i="19" s="1"/>
  <c r="M727" i="1" s="1"/>
  <c r="R24" i="19"/>
  <c r="S24" i="19" s="1"/>
  <c r="O24" i="19"/>
  <c r="AP29" i="19"/>
  <c r="AQ29" i="19" s="1"/>
  <c r="AP30" i="19"/>
  <c r="AQ30" i="19" s="1"/>
  <c r="R38" i="19"/>
  <c r="S38" i="19" s="1"/>
  <c r="O38" i="19"/>
  <c r="AP41" i="19"/>
  <c r="AT41" i="19" s="1"/>
  <c r="AV41" i="19" s="1"/>
  <c r="M750" i="1" s="1"/>
  <c r="AP53" i="19"/>
  <c r="AT53" i="19" s="1"/>
  <c r="AV53" i="19" s="1"/>
  <c r="M762" i="1" s="1"/>
  <c r="R8" i="20"/>
  <c r="S8" i="20" s="1"/>
  <c r="O8" i="20"/>
  <c r="AQ9" i="20"/>
  <c r="AT9" i="20" s="1"/>
  <c r="AV9" i="20" s="1"/>
  <c r="M766" i="1" s="1"/>
  <c r="R12" i="20"/>
  <c r="S12" i="20" s="1"/>
  <c r="O12" i="20"/>
  <c r="R12" i="21"/>
  <c r="S12" i="21" s="1"/>
  <c r="O12" i="21"/>
  <c r="AE9" i="12"/>
  <c r="AF9" i="12" s="1"/>
  <c r="AE25" i="12"/>
  <c r="AI25" i="12" s="1"/>
  <c r="AK25" i="12" s="1"/>
  <c r="M398" i="1" s="1"/>
  <c r="AE40" i="12"/>
  <c r="AF40" i="12" s="1"/>
  <c r="AE48" i="12"/>
  <c r="AF48" i="12" s="1"/>
  <c r="R16" i="13"/>
  <c r="S16" i="13" s="1"/>
  <c r="O16" i="13"/>
  <c r="R28" i="13"/>
  <c r="S28" i="13" s="1"/>
  <c r="AO30" i="13"/>
  <c r="AP30" i="13" s="1"/>
  <c r="AS30" i="13" s="1"/>
  <c r="AU30" i="13" s="1"/>
  <c r="M451" i="1" s="1"/>
  <c r="R36" i="13"/>
  <c r="S36" i="13" s="1"/>
  <c r="O36" i="13"/>
  <c r="AO41" i="13"/>
  <c r="AP41" i="13" s="1"/>
  <c r="AS41" i="13" s="1"/>
  <c r="AU41" i="13" s="1"/>
  <c r="M462" i="1" s="1"/>
  <c r="R46" i="13"/>
  <c r="S46" i="13" s="1"/>
  <c r="O46" i="13"/>
  <c r="R49" i="13"/>
  <c r="S49" i="13" s="1"/>
  <c r="AO51" i="13"/>
  <c r="AP51" i="13" s="1"/>
  <c r="AS51" i="13" s="1"/>
  <c r="AU51" i="13" s="1"/>
  <c r="M472" i="1" s="1"/>
  <c r="AT12" i="14"/>
  <c r="AX12" i="14" s="1"/>
  <c r="AZ12" i="14" s="1"/>
  <c r="M481" i="1" s="1"/>
  <c r="R17" i="14"/>
  <c r="S17" i="14" s="1"/>
  <c r="O17" i="14"/>
  <c r="R27" i="14"/>
  <c r="S27" i="14" s="1"/>
  <c r="AT35" i="14"/>
  <c r="AU35" i="14" s="1"/>
  <c r="R39" i="14"/>
  <c r="S39" i="14" s="1"/>
  <c r="O39" i="14"/>
  <c r="AT42" i="14"/>
  <c r="AX42" i="14" s="1"/>
  <c r="AZ42" i="14" s="1"/>
  <c r="M511" i="1" s="1"/>
  <c r="R44" i="14"/>
  <c r="S44" i="14" s="1"/>
  <c r="O44" i="14"/>
  <c r="R51" i="14"/>
  <c r="S51" i="14" s="1"/>
  <c r="R53" i="14"/>
  <c r="S53" i="14" s="1"/>
  <c r="R12" i="15"/>
  <c r="S12" i="15" s="1"/>
  <c r="O12" i="15"/>
  <c r="AT15" i="15"/>
  <c r="AU15" i="15" s="1"/>
  <c r="R22" i="15"/>
  <c r="S22" i="15" s="1"/>
  <c r="O22" i="15"/>
  <c r="R24" i="15"/>
  <c r="S24" i="15" s="1"/>
  <c r="R29" i="15"/>
  <c r="S29" i="15" s="1"/>
  <c r="O29" i="15"/>
  <c r="AT32" i="15"/>
  <c r="AX32" i="15" s="1"/>
  <c r="AZ32" i="15" s="1"/>
  <c r="M549" i="1" s="1"/>
  <c r="R36" i="15"/>
  <c r="S36" i="15" s="1"/>
  <c r="R39" i="15"/>
  <c r="S39" i="15" s="1"/>
  <c r="O39" i="15"/>
  <c r="R44" i="15"/>
  <c r="S44" i="15" s="1"/>
  <c r="O44" i="15"/>
  <c r="AT47" i="15"/>
  <c r="AU47" i="15" s="1"/>
  <c r="R51" i="15"/>
  <c r="S51" i="15" s="1"/>
  <c r="R54" i="15"/>
  <c r="S54" i="15" s="1"/>
  <c r="O54" i="15"/>
  <c r="R13" i="16"/>
  <c r="S13" i="16" s="1"/>
  <c r="AT51" i="16"/>
  <c r="AU51" i="16" s="1"/>
  <c r="AT13" i="17"/>
  <c r="AU13" i="17" s="1"/>
  <c r="R23" i="17"/>
  <c r="S23" i="17" s="1"/>
  <c r="O23" i="17"/>
  <c r="AT28" i="17"/>
  <c r="AU28" i="17" s="1"/>
  <c r="AT33" i="17"/>
  <c r="AX33" i="17" s="1"/>
  <c r="AZ33" i="17" s="1"/>
  <c r="M646" i="1" s="1"/>
  <c r="AT38" i="17"/>
  <c r="AX38" i="17" s="1"/>
  <c r="AZ38" i="17" s="1"/>
  <c r="M651" i="1" s="1"/>
  <c r="AT48" i="17"/>
  <c r="AX48" i="17" s="1"/>
  <c r="AZ48" i="17" s="1"/>
  <c r="M661" i="1" s="1"/>
  <c r="AT53" i="17"/>
  <c r="AX53" i="17" s="1"/>
  <c r="AZ53" i="17" s="1"/>
  <c r="M666" i="1" s="1"/>
  <c r="AT10" i="18"/>
  <c r="AX10" i="18" s="1"/>
  <c r="AZ10" i="18" s="1"/>
  <c r="M671" i="1" s="1"/>
  <c r="R15" i="18"/>
  <c r="S15" i="18" s="1"/>
  <c r="O15" i="18"/>
  <c r="AT18" i="18"/>
  <c r="AU18" i="18" s="1"/>
  <c r="R23" i="18"/>
  <c r="S23" i="18" s="1"/>
  <c r="O23" i="18"/>
  <c r="AT26" i="18"/>
  <c r="AX26" i="18" s="1"/>
  <c r="AZ26" i="18" s="1"/>
  <c r="M687" i="1" s="1"/>
  <c r="AT39" i="18"/>
  <c r="AX39" i="18" s="1"/>
  <c r="AZ39" i="18" s="1"/>
  <c r="M700" i="1" s="1"/>
  <c r="AT44" i="18"/>
  <c r="AX44" i="18" s="1"/>
  <c r="AZ44" i="18" s="1"/>
  <c r="M705" i="1" s="1"/>
  <c r="R53" i="18"/>
  <c r="S53" i="18" s="1"/>
  <c r="R11" i="19"/>
  <c r="S11" i="19" s="1"/>
  <c r="O11" i="19"/>
  <c r="R13" i="19"/>
  <c r="S13" i="19" s="1"/>
  <c r="R14" i="19"/>
  <c r="S14" i="19" s="1"/>
  <c r="AP16" i="19"/>
  <c r="AT16" i="19" s="1"/>
  <c r="AV16" i="19" s="1"/>
  <c r="M725" i="1" s="1"/>
  <c r="R25" i="19"/>
  <c r="S25" i="19" s="1"/>
  <c r="R26" i="19"/>
  <c r="S26" i="19" s="1"/>
  <c r="R36" i="19"/>
  <c r="S36" i="19" s="1"/>
  <c r="O36" i="19"/>
  <c r="AP40" i="19"/>
  <c r="AQ40" i="19" s="1"/>
  <c r="R48" i="19"/>
  <c r="S48" i="19" s="1"/>
  <c r="O48" i="19"/>
  <c r="R7" i="21"/>
  <c r="S7" i="21" s="1"/>
  <c r="O7" i="21"/>
  <c r="AZ8" i="21"/>
  <c r="BE8" i="21" s="1"/>
  <c r="BG8" i="21" s="1"/>
  <c r="M772" i="1" s="1"/>
  <c r="AE16" i="12"/>
  <c r="AI16" i="12" s="1"/>
  <c r="AK16" i="12" s="1"/>
  <c r="M389" i="1" s="1"/>
  <c r="AE24" i="12"/>
  <c r="AI24" i="12" s="1"/>
  <c r="AK24" i="12" s="1"/>
  <c r="M397" i="1" s="1"/>
  <c r="AE32" i="12"/>
  <c r="AF32" i="12" s="1"/>
  <c r="R24" i="13"/>
  <c r="S24" i="13" s="1"/>
  <c r="O24" i="13"/>
  <c r="AO38" i="13"/>
  <c r="AP38" i="13" s="1"/>
  <c r="AS38" i="13" s="1"/>
  <c r="AU38" i="13" s="1"/>
  <c r="M459" i="1" s="1"/>
  <c r="AT15" i="14"/>
  <c r="AX15" i="14" s="1"/>
  <c r="AZ15" i="14" s="1"/>
  <c r="M484" i="1" s="1"/>
  <c r="AT23" i="14"/>
  <c r="AX23" i="14" s="1"/>
  <c r="AZ23" i="14" s="1"/>
  <c r="M492" i="1" s="1"/>
  <c r="R30" i="14"/>
  <c r="S30" i="14" s="1"/>
  <c r="O30" i="14"/>
  <c r="AT33" i="14"/>
  <c r="AX33" i="14" s="1"/>
  <c r="AZ33" i="14" s="1"/>
  <c r="M502" i="1" s="1"/>
  <c r="AT10" i="15"/>
  <c r="AX10" i="15" s="1"/>
  <c r="AZ10" i="15" s="1"/>
  <c r="M527" i="1" s="1"/>
  <c r="AT20" i="15"/>
  <c r="AX20" i="15" s="1"/>
  <c r="AZ20" i="15" s="1"/>
  <c r="M537" i="1" s="1"/>
  <c r="AT25" i="15"/>
  <c r="AX25" i="15" s="1"/>
  <c r="AZ25" i="15" s="1"/>
  <c r="M542" i="1" s="1"/>
  <c r="R27" i="15"/>
  <c r="S27" i="15" s="1"/>
  <c r="O27" i="15"/>
  <c r="R32" i="15"/>
  <c r="S32" i="15" s="1"/>
  <c r="O32" i="15"/>
  <c r="AT37" i="15"/>
  <c r="AU37" i="15" s="1"/>
  <c r="AT42" i="15"/>
  <c r="AX42" i="15" s="1"/>
  <c r="AZ42" i="15" s="1"/>
  <c r="M559" i="1" s="1"/>
  <c r="R47" i="15"/>
  <c r="S47" i="15" s="1"/>
  <c r="O47" i="15"/>
  <c r="AT14" i="16"/>
  <c r="AX14" i="16" s="1"/>
  <c r="AZ14" i="16" s="1"/>
  <c r="M579" i="1" s="1"/>
  <c r="AT19" i="16"/>
  <c r="AX19" i="16" s="1"/>
  <c r="AZ19" i="16" s="1"/>
  <c r="M584" i="1" s="1"/>
  <c r="R46" i="16"/>
  <c r="S46" i="16" s="1"/>
  <c r="O46" i="16"/>
  <c r="R18" i="17"/>
  <c r="S18" i="17" s="1"/>
  <c r="O18" i="17"/>
  <c r="AT21" i="17"/>
  <c r="AX21" i="17" s="1"/>
  <c r="AZ21" i="17" s="1"/>
  <c r="M634" i="1" s="1"/>
  <c r="AT26" i="17"/>
  <c r="AU26" i="17" s="1"/>
  <c r="R33" i="17"/>
  <c r="S33" i="17" s="1"/>
  <c r="O33" i="17"/>
  <c r="AT41" i="17"/>
  <c r="AX41" i="17" s="1"/>
  <c r="AZ41" i="17" s="1"/>
  <c r="M654" i="1" s="1"/>
  <c r="R18" i="18"/>
  <c r="S18" i="18" s="1"/>
  <c r="O18" i="18"/>
  <c r="R26" i="18"/>
  <c r="S26" i="18" s="1"/>
  <c r="O26" i="18"/>
  <c r="R10" i="19"/>
  <c r="S10" i="19" s="1"/>
  <c r="O10" i="19"/>
  <c r="R33" i="19"/>
  <c r="S33" i="19" s="1"/>
  <c r="O33" i="19"/>
  <c r="AL6" i="11"/>
  <c r="BP6" i="11" s="1"/>
  <c r="BR6" i="11" s="1"/>
  <c r="M218" i="1" s="1"/>
  <c r="BL7" i="11"/>
  <c r="CF7" i="11" s="1"/>
  <c r="CH7" i="11" s="1"/>
  <c r="M223" i="1" s="1"/>
  <c r="AL8" i="11"/>
  <c r="BP8" i="11" s="1"/>
  <c r="BR8" i="11" s="1"/>
  <c r="M224" i="1" s="1"/>
  <c r="BL9" i="11"/>
  <c r="CF9" i="11" s="1"/>
  <c r="CH9" i="11" s="1"/>
  <c r="M229" i="1" s="1"/>
  <c r="AL10" i="11"/>
  <c r="BP10" i="11" s="1"/>
  <c r="BR10" i="11" s="1"/>
  <c r="M230" i="1" s="1"/>
  <c r="BL11" i="11"/>
  <c r="CF11" i="11" s="1"/>
  <c r="CH11" i="11" s="1"/>
  <c r="M235" i="1" s="1"/>
  <c r="AL12" i="11"/>
  <c r="BP12" i="11" s="1"/>
  <c r="BR12" i="11" s="1"/>
  <c r="M236" i="1" s="1"/>
  <c r="BL13" i="11"/>
  <c r="CF13" i="11" s="1"/>
  <c r="CH13" i="11" s="1"/>
  <c r="M241" i="1" s="1"/>
  <c r="AL14" i="11"/>
  <c r="BP14" i="11" s="1"/>
  <c r="BR14" i="11" s="1"/>
  <c r="M242" i="1" s="1"/>
  <c r="BL15" i="11"/>
  <c r="CF15" i="11" s="1"/>
  <c r="CH15" i="11" s="1"/>
  <c r="M247" i="1" s="1"/>
  <c r="AL16" i="11"/>
  <c r="BP16" i="11" s="1"/>
  <c r="BR16" i="11" s="1"/>
  <c r="M248" i="1" s="1"/>
  <c r="BL17" i="11"/>
  <c r="CF17" i="11" s="1"/>
  <c r="CH17" i="11" s="1"/>
  <c r="M253" i="1" s="1"/>
  <c r="AL18" i="11"/>
  <c r="BP18" i="11" s="1"/>
  <c r="BR18" i="11" s="1"/>
  <c r="M254" i="1" s="1"/>
  <c r="BL19" i="11"/>
  <c r="CF19" i="11" s="1"/>
  <c r="CH19" i="11" s="1"/>
  <c r="M259" i="1" s="1"/>
  <c r="AL20" i="11"/>
  <c r="BP20" i="11" s="1"/>
  <c r="BR20" i="11" s="1"/>
  <c r="M260" i="1" s="1"/>
  <c r="BL21" i="11"/>
  <c r="CF21" i="11" s="1"/>
  <c r="CH21" i="11" s="1"/>
  <c r="M265" i="1" s="1"/>
  <c r="AL22" i="11"/>
  <c r="BP22" i="11" s="1"/>
  <c r="BR22" i="11" s="1"/>
  <c r="M266" i="1" s="1"/>
  <c r="BL23" i="11"/>
  <c r="CF23" i="11" s="1"/>
  <c r="CH23" i="11" s="1"/>
  <c r="M271" i="1" s="1"/>
  <c r="AL24" i="11"/>
  <c r="BP24" i="11" s="1"/>
  <c r="BR24" i="11" s="1"/>
  <c r="M272" i="1" s="1"/>
  <c r="BL25" i="11"/>
  <c r="CF25" i="11" s="1"/>
  <c r="CH25" i="11" s="1"/>
  <c r="M277" i="1" s="1"/>
  <c r="AL26" i="11"/>
  <c r="BP26" i="11" s="1"/>
  <c r="BR26" i="11" s="1"/>
  <c r="M278" i="1" s="1"/>
  <c r="BL27" i="11"/>
  <c r="CF27" i="11" s="1"/>
  <c r="CH27" i="11" s="1"/>
  <c r="M283" i="1" s="1"/>
  <c r="AL28" i="11"/>
  <c r="BP28" i="11" s="1"/>
  <c r="BR28" i="11" s="1"/>
  <c r="M284" i="1" s="1"/>
  <c r="BL29" i="11"/>
  <c r="CF29" i="11" s="1"/>
  <c r="CH29" i="11" s="1"/>
  <c r="M289" i="1" s="1"/>
  <c r="AL30" i="11"/>
  <c r="BP30" i="11" s="1"/>
  <c r="BR30" i="11" s="1"/>
  <c r="M290" i="1" s="1"/>
  <c r="BL31" i="11"/>
  <c r="CF31" i="11" s="1"/>
  <c r="CH31" i="11" s="1"/>
  <c r="M295" i="1" s="1"/>
  <c r="AL32" i="11"/>
  <c r="BP32" i="11" s="1"/>
  <c r="BR32" i="11" s="1"/>
  <c r="M296" i="1" s="1"/>
  <c r="BL33" i="11"/>
  <c r="CF33" i="11" s="1"/>
  <c r="CH33" i="11" s="1"/>
  <c r="M301" i="1" s="1"/>
  <c r="AL34" i="11"/>
  <c r="BP34" i="11" s="1"/>
  <c r="BR34" i="11" s="1"/>
  <c r="M302" i="1" s="1"/>
  <c r="BL35" i="11"/>
  <c r="CF35" i="11" s="1"/>
  <c r="CH35" i="11" s="1"/>
  <c r="M307" i="1" s="1"/>
  <c r="AL36" i="11"/>
  <c r="BP36" i="11" s="1"/>
  <c r="BR36" i="11" s="1"/>
  <c r="M308" i="1" s="1"/>
  <c r="BL37" i="11"/>
  <c r="CF37" i="11" s="1"/>
  <c r="CH37" i="11" s="1"/>
  <c r="M313" i="1" s="1"/>
  <c r="AL38" i="11"/>
  <c r="BP38" i="11" s="1"/>
  <c r="BR38" i="11" s="1"/>
  <c r="M314" i="1" s="1"/>
  <c r="BL39" i="11"/>
  <c r="CF39" i="11" s="1"/>
  <c r="CH39" i="11" s="1"/>
  <c r="M319" i="1" s="1"/>
  <c r="AL40" i="11"/>
  <c r="BP40" i="11" s="1"/>
  <c r="BR40" i="11" s="1"/>
  <c r="M320" i="1" s="1"/>
  <c r="BL41" i="11"/>
  <c r="CF41" i="11" s="1"/>
  <c r="CH41" i="11" s="1"/>
  <c r="M325" i="1" s="1"/>
  <c r="AL42" i="11"/>
  <c r="BP42" i="11" s="1"/>
  <c r="BR42" i="11" s="1"/>
  <c r="M326" i="1" s="1"/>
  <c r="BL43" i="11"/>
  <c r="CF43" i="11" s="1"/>
  <c r="CH43" i="11" s="1"/>
  <c r="M331" i="1" s="1"/>
  <c r="BL45" i="11"/>
  <c r="CF45" i="11" s="1"/>
  <c r="CH45" i="11" s="1"/>
  <c r="M337" i="1" s="1"/>
  <c r="AL46" i="11"/>
  <c r="BP46" i="11" s="1"/>
  <c r="BR46" i="11" s="1"/>
  <c r="M338" i="1" s="1"/>
  <c r="BL47" i="11"/>
  <c r="CF47" i="11" s="1"/>
  <c r="CH47" i="11" s="1"/>
  <c r="M343" i="1" s="1"/>
  <c r="AL48" i="11"/>
  <c r="BP48" i="11" s="1"/>
  <c r="BR48" i="11" s="1"/>
  <c r="M344" i="1" s="1"/>
  <c r="BL49" i="11"/>
  <c r="CF49" i="11" s="1"/>
  <c r="CH49" i="11" s="1"/>
  <c r="M349" i="1" s="1"/>
  <c r="AL50" i="11"/>
  <c r="BP50" i="11" s="1"/>
  <c r="BR50" i="11" s="1"/>
  <c r="M350" i="1" s="1"/>
  <c r="BL51" i="11"/>
  <c r="CF51" i="11" s="1"/>
  <c r="CH51" i="11" s="1"/>
  <c r="M355" i="1" s="1"/>
  <c r="BL53" i="11"/>
  <c r="CF53" i="11" s="1"/>
  <c r="CH53" i="11" s="1"/>
  <c r="M361" i="1" s="1"/>
  <c r="AL54" i="11"/>
  <c r="BP54" i="11" s="1"/>
  <c r="BR54" i="11" s="1"/>
  <c r="M362" i="1" s="1"/>
  <c r="BL55" i="11"/>
  <c r="CF55" i="11" s="1"/>
  <c r="CH55" i="11" s="1"/>
  <c r="M367" i="1" s="1"/>
  <c r="AL56" i="11"/>
  <c r="BP56" i="11" s="1"/>
  <c r="BR56" i="11" s="1"/>
  <c r="M368" i="1" s="1"/>
  <c r="BL57" i="11"/>
  <c r="CF57" i="11" s="1"/>
  <c r="CH57" i="11" s="1"/>
  <c r="M373" i="1" s="1"/>
  <c r="AL58" i="11"/>
  <c r="BP58" i="11" s="1"/>
  <c r="BR58" i="11" s="1"/>
  <c r="M374" i="1" s="1"/>
  <c r="BL59" i="11"/>
  <c r="CF59" i="11" s="1"/>
  <c r="CH59" i="11" s="1"/>
  <c r="M379" i="1" s="1"/>
  <c r="BL61" i="11"/>
  <c r="CF61" i="11" s="1"/>
  <c r="CH61" i="11" s="1"/>
  <c r="AL62" i="11"/>
  <c r="BP62" i="11" s="1"/>
  <c r="BR62" i="11" s="1"/>
  <c r="BL63" i="11"/>
  <c r="CF63" i="11" s="1"/>
  <c r="CH63" i="11" s="1"/>
  <c r="BL65" i="11"/>
  <c r="CF65" i="11" s="1"/>
  <c r="CH65" i="11" s="1"/>
  <c r="AL66" i="11"/>
  <c r="BP66" i="11" s="1"/>
  <c r="BR66" i="11" s="1"/>
  <c r="BL67" i="11"/>
  <c r="CF67" i="11" s="1"/>
  <c r="CH67" i="11" s="1"/>
  <c r="AL68" i="11"/>
  <c r="BP68" i="11" s="1"/>
  <c r="BR68" i="11" s="1"/>
  <c r="BL69" i="11"/>
  <c r="CF69" i="11" s="1"/>
  <c r="CH69" i="11" s="1"/>
  <c r="AL70" i="11"/>
  <c r="BP70" i="11" s="1"/>
  <c r="BR70" i="11" s="1"/>
  <c r="BL71" i="11"/>
  <c r="CF71" i="11" s="1"/>
  <c r="CH71" i="11" s="1"/>
  <c r="AL72" i="11"/>
  <c r="BP72" i="11" s="1"/>
  <c r="BR72" i="11" s="1"/>
  <c r="BL73" i="11"/>
  <c r="CF73" i="11" s="1"/>
  <c r="CH73" i="11" s="1"/>
  <c r="AL74" i="11"/>
  <c r="BP74" i="11" s="1"/>
  <c r="BR74" i="11" s="1"/>
  <c r="BL75" i="11"/>
  <c r="CF75" i="11" s="1"/>
  <c r="CH75" i="11" s="1"/>
  <c r="AL76" i="11"/>
  <c r="BP76" i="11" s="1"/>
  <c r="BR76" i="11" s="1"/>
  <c r="BL77" i="11"/>
  <c r="CF77" i="11" s="1"/>
  <c r="CH77" i="11" s="1"/>
  <c r="AL78" i="11"/>
  <c r="BP78" i="11" s="1"/>
  <c r="BR78" i="11" s="1"/>
  <c r="BL79" i="11"/>
  <c r="CF79" i="11" s="1"/>
  <c r="CH79" i="11" s="1"/>
  <c r="AL80" i="11"/>
  <c r="BP80" i="11" s="1"/>
  <c r="BR80" i="11" s="1"/>
  <c r="BL81" i="11"/>
  <c r="CF81" i="11" s="1"/>
  <c r="CH81" i="11" s="1"/>
  <c r="AL82" i="11"/>
  <c r="BP82" i="11" s="1"/>
  <c r="BR82" i="11" s="1"/>
  <c r="BL83" i="11"/>
  <c r="CF83" i="11" s="1"/>
  <c r="CH83" i="11" s="1"/>
  <c r="AL84" i="11"/>
  <c r="BP84" i="11" s="1"/>
  <c r="BR84" i="11" s="1"/>
  <c r="BL85" i="11"/>
  <c r="CF85" i="11" s="1"/>
  <c r="CH85" i="11" s="1"/>
  <c r="AL86" i="11"/>
  <c r="BP86" i="11" s="1"/>
  <c r="BR86" i="11" s="1"/>
  <c r="BL87" i="11"/>
  <c r="CF87" i="11" s="1"/>
  <c r="CH87" i="11" s="1"/>
  <c r="AL88" i="11"/>
  <c r="BP88" i="11" s="1"/>
  <c r="BR88" i="11" s="1"/>
  <c r="BL89" i="11"/>
  <c r="CF89" i="11" s="1"/>
  <c r="CH89" i="11" s="1"/>
  <c r="AL90" i="11"/>
  <c r="BP90" i="11" s="1"/>
  <c r="BR90" i="11" s="1"/>
  <c r="AL92" i="11"/>
  <c r="BP92" i="11" s="1"/>
  <c r="BR92" i="11" s="1"/>
  <c r="BL93" i="11"/>
  <c r="CF93" i="11" s="1"/>
  <c r="CH93" i="11" s="1"/>
  <c r="AL94" i="11"/>
  <c r="BP94" i="11" s="1"/>
  <c r="BR94" i="11" s="1"/>
  <c r="BL95" i="11"/>
  <c r="CF95" i="11" s="1"/>
  <c r="CH95" i="11" s="1"/>
  <c r="AL96" i="11"/>
  <c r="BP96" i="11" s="1"/>
  <c r="BR96" i="11" s="1"/>
  <c r="BL97" i="11"/>
  <c r="CF97" i="11" s="1"/>
  <c r="CH97" i="11" s="1"/>
  <c r="AL98" i="11"/>
  <c r="BP98" i="11" s="1"/>
  <c r="BR98" i="11" s="1"/>
  <c r="BL99" i="11"/>
  <c r="CF99" i="11" s="1"/>
  <c r="CH99" i="11" s="1"/>
  <c r="AL100" i="11"/>
  <c r="BP100" i="11" s="1"/>
  <c r="BR100" i="11" s="1"/>
  <c r="BL101" i="11"/>
  <c r="CF101" i="11" s="1"/>
  <c r="CH101" i="11" s="1"/>
  <c r="AL102" i="11"/>
  <c r="BP102" i="11" s="1"/>
  <c r="BR102" i="11" s="1"/>
  <c r="BL103" i="11"/>
  <c r="CF103" i="11" s="1"/>
  <c r="CH103" i="11" s="1"/>
  <c r="AL104" i="11"/>
  <c r="BP104" i="11" s="1"/>
  <c r="BR104" i="11" s="1"/>
  <c r="AE7" i="12"/>
  <c r="AI7" i="12" s="1"/>
  <c r="AK7" i="12" s="1"/>
  <c r="M380" i="1" s="1"/>
  <c r="AE15" i="12"/>
  <c r="AI15" i="12" s="1"/>
  <c r="AK15" i="12" s="1"/>
  <c r="M388" i="1" s="1"/>
  <c r="AE23" i="12"/>
  <c r="AF23" i="12" s="1"/>
  <c r="AE31" i="12"/>
  <c r="AF31" i="12" s="1"/>
  <c r="AE38" i="12"/>
  <c r="AI38" i="12" s="1"/>
  <c r="AK38" i="12" s="1"/>
  <c r="M411" i="1" s="1"/>
  <c r="AE46" i="12"/>
  <c r="AI46" i="12" s="1"/>
  <c r="AK46" i="12" s="1"/>
  <c r="M419" i="1" s="1"/>
  <c r="AE54" i="12"/>
  <c r="AF54" i="12" s="1"/>
  <c r="AO17" i="13"/>
  <c r="AP17" i="13" s="1"/>
  <c r="AS17" i="13" s="1"/>
  <c r="AU17" i="13" s="1"/>
  <c r="M438" i="1" s="1"/>
  <c r="R23" i="13"/>
  <c r="S23" i="13" s="1"/>
  <c r="O23" i="13"/>
  <c r="AO28" i="13"/>
  <c r="AP28" i="13" s="1"/>
  <c r="AS28" i="13" s="1"/>
  <c r="AU28" i="13" s="1"/>
  <c r="M449" i="1" s="1"/>
  <c r="R33" i="13"/>
  <c r="S33" i="13" s="1"/>
  <c r="O33" i="13"/>
  <c r="R44" i="13"/>
  <c r="S44" i="13" s="1"/>
  <c r="O44" i="13"/>
  <c r="AO49" i="13"/>
  <c r="AP49" i="13" s="1"/>
  <c r="AS49" i="13" s="1"/>
  <c r="AU49" i="13" s="1"/>
  <c r="M470" i="1" s="1"/>
  <c r="R54" i="13"/>
  <c r="S54" i="13" s="1"/>
  <c r="O54" i="13"/>
  <c r="R15" i="14"/>
  <c r="S15" i="14" s="1"/>
  <c r="O15" i="14"/>
  <c r="AT18" i="14"/>
  <c r="AX18" i="14" s="1"/>
  <c r="AZ18" i="14" s="1"/>
  <c r="M487" i="1" s="1"/>
  <c r="R23" i="14"/>
  <c r="S23" i="14" s="1"/>
  <c r="O23" i="14"/>
  <c r="AT26" i="14"/>
  <c r="AX26" i="14" s="1"/>
  <c r="AZ26" i="14" s="1"/>
  <c r="M495" i="1" s="1"/>
  <c r="R47" i="14"/>
  <c r="S47" i="14" s="1"/>
  <c r="O47" i="14"/>
  <c r="AT50" i="14"/>
  <c r="AX50" i="14" s="1"/>
  <c r="AZ50" i="14" s="1"/>
  <c r="M519" i="1" s="1"/>
  <c r="AT52" i="14"/>
  <c r="AX52" i="14" s="1"/>
  <c r="AZ52" i="14" s="1"/>
  <c r="M521" i="1" s="1"/>
  <c r="AT54" i="14"/>
  <c r="AU54" i="14" s="1"/>
  <c r="AT8" i="15"/>
  <c r="AX8" i="15" s="1"/>
  <c r="AZ8" i="15" s="1"/>
  <c r="M525" i="1" s="1"/>
  <c r="AT13" i="15"/>
  <c r="AX13" i="15" s="1"/>
  <c r="AZ13" i="15" s="1"/>
  <c r="M530" i="1" s="1"/>
  <c r="R20" i="15"/>
  <c r="S20" i="15" s="1"/>
  <c r="O20" i="15"/>
  <c r="AT23" i="15"/>
  <c r="AU23" i="15" s="1"/>
  <c r="AT30" i="15"/>
  <c r="AX30" i="15" s="1"/>
  <c r="AZ30" i="15" s="1"/>
  <c r="M547" i="1" s="1"/>
  <c r="AT35" i="15"/>
  <c r="AU35" i="15" s="1"/>
  <c r="R37" i="15"/>
  <c r="S37" i="15" s="1"/>
  <c r="O37" i="15"/>
  <c r="AT40" i="15"/>
  <c r="AU40" i="15" s="1"/>
  <c r="AT50" i="15"/>
  <c r="AX50" i="15" s="1"/>
  <c r="AZ50" i="15" s="1"/>
  <c r="M567" i="1" s="1"/>
  <c r="R52" i="15"/>
  <c r="S52" i="15" s="1"/>
  <c r="O52" i="15"/>
  <c r="R54" i="16"/>
  <c r="S54" i="16" s="1"/>
  <c r="O54" i="16"/>
  <c r="R21" i="17"/>
  <c r="S21" i="17" s="1"/>
  <c r="O21" i="17"/>
  <c r="R26" i="17"/>
  <c r="S26" i="17" s="1"/>
  <c r="O26" i="17"/>
  <c r="R29" i="18"/>
  <c r="S29" i="18" s="1"/>
  <c r="O29" i="18"/>
  <c r="AT32" i="18"/>
  <c r="AU32" i="18" s="1"/>
  <c r="AT52" i="18"/>
  <c r="AU52" i="18" s="1"/>
  <c r="AP13" i="19"/>
  <c r="AQ13" i="19" s="1"/>
  <c r="AP14" i="19"/>
  <c r="AT14" i="19" s="1"/>
  <c r="AV14" i="19" s="1"/>
  <c r="M723" i="1" s="1"/>
  <c r="R20" i="19"/>
  <c r="S20" i="19" s="1"/>
  <c r="O20" i="19"/>
  <c r="AP25" i="19"/>
  <c r="AQ25" i="19" s="1"/>
  <c r="AP26" i="19"/>
  <c r="AT26" i="19" s="1"/>
  <c r="AV26" i="19" s="1"/>
  <c r="M735" i="1" s="1"/>
  <c r="R32" i="19"/>
  <c r="S32" i="19" s="1"/>
  <c r="O32" i="19"/>
  <c r="AP38" i="19"/>
  <c r="AQ38" i="19" s="1"/>
  <c r="R44" i="19"/>
  <c r="S44" i="19" s="1"/>
  <c r="O44" i="19"/>
  <c r="AP49" i="19"/>
  <c r="AQ49" i="19" s="1"/>
  <c r="AZ7" i="21"/>
  <c r="BE7" i="21" s="1"/>
  <c r="BG7" i="21" s="1"/>
  <c r="M771" i="1" s="1"/>
  <c r="AE14" i="12"/>
  <c r="AI14" i="12" s="1"/>
  <c r="AK14" i="12" s="1"/>
  <c r="M387" i="1" s="1"/>
  <c r="AE22" i="12"/>
  <c r="AI22" i="12" s="1"/>
  <c r="AK22" i="12" s="1"/>
  <c r="M395" i="1" s="1"/>
  <c r="AE30" i="12"/>
  <c r="AF30" i="12" s="1"/>
  <c r="R10" i="13"/>
  <c r="S10" i="13" s="1"/>
  <c r="O10" i="13"/>
  <c r="AO25" i="13"/>
  <c r="AP25" i="13" s="1"/>
  <c r="AS25" i="13" s="1"/>
  <c r="AU25" i="13" s="1"/>
  <c r="M446" i="1" s="1"/>
  <c r="R32" i="13"/>
  <c r="S32" i="13" s="1"/>
  <c r="O32" i="13"/>
  <c r="AO36" i="13"/>
  <c r="AP36" i="13" s="1"/>
  <c r="AS36" i="13" s="1"/>
  <c r="AU36" i="13" s="1"/>
  <c r="M457" i="1" s="1"/>
  <c r="AO46" i="13"/>
  <c r="AP46" i="13" s="1"/>
  <c r="AS46" i="13" s="1"/>
  <c r="AU46" i="13" s="1"/>
  <c r="M467" i="1" s="1"/>
  <c r="AO47" i="13"/>
  <c r="AP47" i="13" s="1"/>
  <c r="AS47" i="13" s="1"/>
  <c r="AU47" i="13" s="1"/>
  <c r="M468" i="1" s="1"/>
  <c r="R53" i="13"/>
  <c r="S53" i="13" s="1"/>
  <c r="O53" i="13"/>
  <c r="AT8" i="14"/>
  <c r="AX8" i="14" s="1"/>
  <c r="AZ8" i="14" s="1"/>
  <c r="M477" i="1" s="1"/>
  <c r="AT13" i="14"/>
  <c r="AU13" i="14" s="1"/>
  <c r="R18" i="14"/>
  <c r="S18" i="14" s="1"/>
  <c r="O18" i="14"/>
  <c r="AT21" i="14"/>
  <c r="AU21" i="14" s="1"/>
  <c r="R30" i="15"/>
  <c r="S30" i="15" s="1"/>
  <c r="O30" i="15"/>
  <c r="AT33" i="15"/>
  <c r="AU33" i="15" s="1"/>
  <c r="R35" i="15"/>
  <c r="S35" i="15" s="1"/>
  <c r="O35" i="15"/>
  <c r="R45" i="15"/>
  <c r="S45" i="15" s="1"/>
  <c r="O45" i="15"/>
  <c r="AT48" i="15"/>
  <c r="AX48" i="15" s="1"/>
  <c r="AZ48" i="15" s="1"/>
  <c r="M565" i="1" s="1"/>
  <c r="R50" i="15"/>
  <c r="S50" i="15" s="1"/>
  <c r="O50" i="15"/>
  <c r="AT10" i="16"/>
  <c r="AX10" i="16" s="1"/>
  <c r="AZ10" i="16" s="1"/>
  <c r="M575" i="1" s="1"/>
  <c r="AT42" i="16"/>
  <c r="AX42" i="16" s="1"/>
  <c r="AZ42" i="16" s="1"/>
  <c r="M607" i="1" s="1"/>
  <c r="AT47" i="16"/>
  <c r="AU47" i="16" s="1"/>
  <c r="R11" i="17"/>
  <c r="S11" i="17" s="1"/>
  <c r="O11" i="17"/>
  <c r="AT14" i="17"/>
  <c r="AX14" i="17" s="1"/>
  <c r="AZ14" i="17" s="1"/>
  <c r="M627" i="1" s="1"/>
  <c r="AT19" i="17"/>
  <c r="AX19" i="17" s="1"/>
  <c r="AZ19" i="17" s="1"/>
  <c r="M632" i="1" s="1"/>
  <c r="AT29" i="17"/>
  <c r="AX29" i="17" s="1"/>
  <c r="AZ29" i="17" s="1"/>
  <c r="M642" i="1" s="1"/>
  <c r="AT34" i="17"/>
  <c r="AU34" i="17" s="1"/>
  <c r="R8" i="18"/>
  <c r="S8" i="18" s="1"/>
  <c r="O8" i="18"/>
  <c r="R16" i="18"/>
  <c r="S16" i="18" s="1"/>
  <c r="O16" i="18"/>
  <c r="R24" i="18"/>
  <c r="S24" i="18" s="1"/>
  <c r="O24" i="18"/>
  <c r="AT35" i="18"/>
  <c r="AU35" i="18" s="1"/>
  <c r="AT40" i="18"/>
  <c r="AU40" i="18" s="1"/>
  <c r="AP36" i="19"/>
  <c r="AT36" i="19" s="1"/>
  <c r="AV36" i="19" s="1"/>
  <c r="M745" i="1" s="1"/>
  <c r="R42" i="19"/>
  <c r="S42" i="19" s="1"/>
  <c r="O42" i="19"/>
  <c r="AP48" i="19"/>
  <c r="AT48" i="19" s="1"/>
  <c r="AV48" i="19" s="1"/>
  <c r="M757" i="1" s="1"/>
  <c r="AQ7" i="20"/>
  <c r="AT7" i="20" s="1"/>
  <c r="AV7" i="20" s="1"/>
  <c r="M764" i="1" s="1"/>
  <c r="R10" i="20"/>
  <c r="S10" i="20" s="1"/>
  <c r="O10" i="20"/>
  <c r="AQ11" i="20"/>
  <c r="AT11" i="20" s="1"/>
  <c r="AV11" i="20" s="1"/>
  <c r="M768" i="1" s="1"/>
  <c r="AZ11" i="21"/>
  <c r="BE11" i="21" s="1"/>
  <c r="BG11" i="21" s="1"/>
  <c r="M775" i="1" s="1"/>
  <c r="T120" i="9"/>
  <c r="AC120" i="9" s="1"/>
  <c r="AI120" i="9" s="1"/>
  <c r="T108" i="9"/>
  <c r="AC108" i="9" s="1"/>
  <c r="AI108" i="9" s="1"/>
  <c r="T116" i="9"/>
  <c r="AC116" i="9" s="1"/>
  <c r="AI116" i="9" s="1"/>
  <c r="J14" i="10"/>
  <c r="P14" i="10" s="1"/>
  <c r="F215" i="1" s="1"/>
  <c r="J9" i="8"/>
  <c r="D38" i="6" s="1"/>
  <c r="M38" i="6" s="1"/>
  <c r="M44" i="1"/>
  <c r="J16" i="10"/>
  <c r="P16" i="10" s="1"/>
  <c r="F217" i="1" s="1"/>
  <c r="T128" i="9"/>
  <c r="AC128" i="9" s="1"/>
  <c r="AI128" i="9" s="1"/>
  <c r="F816" i="1" s="1"/>
  <c r="T136" i="9"/>
  <c r="AC136" i="9" s="1"/>
  <c r="AI136" i="9" s="1"/>
  <c r="F824" i="1" s="1"/>
  <c r="K824" i="1" s="1"/>
  <c r="T94" i="9"/>
  <c r="AC94" i="9" s="1"/>
  <c r="AI94" i="9" s="1"/>
  <c r="F782" i="1" s="1"/>
  <c r="T102" i="9"/>
  <c r="AC102" i="9" s="1"/>
  <c r="AI102" i="9" s="1"/>
  <c r="F790" i="1" s="1"/>
  <c r="T134" i="9"/>
  <c r="AC134" i="9" s="1"/>
  <c r="AI134" i="9" s="1"/>
  <c r="F822" i="1" s="1"/>
  <c r="T124" i="9"/>
  <c r="AC124" i="9" s="1"/>
  <c r="AI124" i="9" s="1"/>
  <c r="F812" i="1" s="1"/>
  <c r="T122" i="9"/>
  <c r="AC122" i="9" s="1"/>
  <c r="AI122" i="9" s="1"/>
  <c r="D25" i="6" s="1"/>
  <c r="E25" i="6" s="1"/>
  <c r="T129" i="9"/>
  <c r="AC129" i="9" s="1"/>
  <c r="AI129" i="9" s="1"/>
  <c r="F817" i="1" s="1"/>
  <c r="K817" i="1" s="1"/>
  <c r="T137" i="9"/>
  <c r="AC137" i="9" s="1"/>
  <c r="AI137" i="9" s="1"/>
  <c r="F825" i="1" s="1"/>
  <c r="L825" i="1" s="1"/>
  <c r="T98" i="9"/>
  <c r="AC98" i="9" s="1"/>
  <c r="AI98" i="9" s="1"/>
  <c r="F786" i="1" s="1"/>
  <c r="T130" i="9"/>
  <c r="AC130" i="9" s="1"/>
  <c r="AI130" i="9" s="1"/>
  <c r="F818" i="1" s="1"/>
  <c r="K818" i="1" s="1"/>
  <c r="T138" i="9"/>
  <c r="AC138" i="9" s="1"/>
  <c r="AI138" i="9" s="1"/>
  <c r="F826" i="1" s="1"/>
  <c r="K826" i="1" s="1"/>
  <c r="T91" i="9"/>
  <c r="AC91" i="9" s="1"/>
  <c r="AI91" i="9" s="1"/>
  <c r="F779" i="1" s="1"/>
  <c r="T99" i="9"/>
  <c r="AC99" i="9" s="1"/>
  <c r="AI99" i="9" s="1"/>
  <c r="F787" i="1" s="1"/>
  <c r="AC142" i="9"/>
  <c r="AI142" i="9" s="1"/>
  <c r="AC144" i="9"/>
  <c r="AI144" i="9" s="1"/>
  <c r="AC146" i="9"/>
  <c r="AI146" i="9" s="1"/>
  <c r="AC148" i="9"/>
  <c r="AI148" i="9" s="1"/>
  <c r="AC158" i="9"/>
  <c r="AI158" i="9" s="1"/>
  <c r="AC159" i="9"/>
  <c r="AI159" i="9" s="1"/>
  <c r="J33" i="8"/>
  <c r="F68" i="1" s="1"/>
  <c r="M68" i="1"/>
  <c r="J65" i="8"/>
  <c r="F100" i="1" s="1"/>
  <c r="M100" i="1"/>
  <c r="J19" i="8"/>
  <c r="F54" i="1" s="1"/>
  <c r="M54" i="1"/>
  <c r="J59" i="8"/>
  <c r="F94" i="1" s="1"/>
  <c r="M94" i="1"/>
  <c r="P9" i="10"/>
  <c r="F210" i="1" s="1"/>
  <c r="M210" i="1"/>
  <c r="T112" i="9"/>
  <c r="AC112" i="9" s="1"/>
  <c r="AI112" i="9" s="1"/>
  <c r="J4" i="8"/>
  <c r="F39" i="1" s="1"/>
  <c r="M39" i="1"/>
  <c r="J12" i="8"/>
  <c r="F47" i="1" s="1"/>
  <c r="M47" i="1"/>
  <c r="J20" i="8"/>
  <c r="F55" i="1" s="1"/>
  <c r="M55" i="1"/>
  <c r="J28" i="8"/>
  <c r="F63" i="1" s="1"/>
  <c r="M63" i="1"/>
  <c r="J36" i="8"/>
  <c r="F71" i="1" s="1"/>
  <c r="M71" i="1"/>
  <c r="J44" i="8"/>
  <c r="F79" i="1" s="1"/>
  <c r="M79" i="1"/>
  <c r="J52" i="8"/>
  <c r="F87" i="1" s="1"/>
  <c r="M87" i="1"/>
  <c r="J60" i="8"/>
  <c r="F95" i="1" s="1"/>
  <c r="M95" i="1"/>
  <c r="J68" i="8"/>
  <c r="F103" i="1" s="1"/>
  <c r="M103" i="1"/>
  <c r="J84" i="8"/>
  <c r="F119" i="1" s="1"/>
  <c r="M119" i="1"/>
  <c r="T97" i="9"/>
  <c r="AC97" i="9" s="1"/>
  <c r="AI97" i="9" s="1"/>
  <c r="F785" i="1" s="1"/>
  <c r="T106" i="9"/>
  <c r="AC106" i="9" s="1"/>
  <c r="AI106" i="9" s="1"/>
  <c r="D9" i="6" s="1"/>
  <c r="E9" i="6" s="1"/>
  <c r="T114" i="9"/>
  <c r="AC114" i="9" s="1"/>
  <c r="AI114" i="9" s="1"/>
  <c r="D17" i="6" s="1"/>
  <c r="E17" i="6" s="1"/>
  <c r="J42" i="8"/>
  <c r="F77" i="1" s="1"/>
  <c r="M77" i="1"/>
  <c r="J75" i="8"/>
  <c r="F110" i="1" s="1"/>
  <c r="M110" i="1"/>
  <c r="P6" i="10"/>
  <c r="F207" i="1" s="1"/>
  <c r="M207" i="1"/>
  <c r="T104" i="9"/>
  <c r="AC104" i="9" s="1"/>
  <c r="AI104" i="9" s="1"/>
  <c r="J76" i="8"/>
  <c r="F111" i="1" s="1"/>
  <c r="M111" i="1"/>
  <c r="J5" i="8"/>
  <c r="F40" i="1" s="1"/>
  <c r="M40" i="1"/>
  <c r="J13" i="8"/>
  <c r="F48" i="1" s="1"/>
  <c r="M48" i="1"/>
  <c r="J21" i="8"/>
  <c r="F56" i="1" s="1"/>
  <c r="M56" i="1"/>
  <c r="J29" i="8"/>
  <c r="F64" i="1" s="1"/>
  <c r="M64" i="1"/>
  <c r="J37" i="8"/>
  <c r="F72" i="1" s="1"/>
  <c r="M72" i="1"/>
  <c r="J45" i="8"/>
  <c r="F80" i="1" s="1"/>
  <c r="M80" i="1"/>
  <c r="J53" i="8"/>
  <c r="F88" i="1" s="1"/>
  <c r="M88" i="1"/>
  <c r="J61" i="8"/>
  <c r="F96" i="1" s="1"/>
  <c r="M96" i="1"/>
  <c r="J69" i="8"/>
  <c r="F104" i="1" s="1"/>
  <c r="M104" i="1"/>
  <c r="J77" i="8"/>
  <c r="F112" i="1" s="1"/>
  <c r="M112" i="1"/>
  <c r="J85" i="8"/>
  <c r="F120" i="1" s="1"/>
  <c r="M120" i="1"/>
  <c r="T90" i="9"/>
  <c r="AC90" i="9" s="1"/>
  <c r="AI90" i="9" s="1"/>
  <c r="F778" i="1" s="1"/>
  <c r="T107" i="9"/>
  <c r="AC107" i="9" s="1"/>
  <c r="AI107" i="9" s="1"/>
  <c r="J41" i="8"/>
  <c r="F76" i="1" s="1"/>
  <c r="M76" i="1"/>
  <c r="J81" i="8"/>
  <c r="F116" i="1" s="1"/>
  <c r="M116" i="1"/>
  <c r="M215" i="1"/>
  <c r="J18" i="8"/>
  <c r="F53" i="1" s="1"/>
  <c r="M53" i="1"/>
  <c r="J26" i="8"/>
  <c r="F61" i="1" s="1"/>
  <c r="M61" i="1"/>
  <c r="J50" i="8"/>
  <c r="F85" i="1" s="1"/>
  <c r="M85" i="1"/>
  <c r="J66" i="8"/>
  <c r="F101" i="1" s="1"/>
  <c r="M101" i="1"/>
  <c r="J74" i="8"/>
  <c r="F109" i="1" s="1"/>
  <c r="M109" i="1"/>
  <c r="F8" i="19"/>
  <c r="X8" i="19" s="1"/>
  <c r="Y8" i="19" s="1"/>
  <c r="J6" i="8"/>
  <c r="F41" i="1" s="1"/>
  <c r="M41" i="1"/>
  <c r="J14" i="8"/>
  <c r="D42" i="7" s="1"/>
  <c r="M49" i="1"/>
  <c r="J22" i="8"/>
  <c r="F57" i="1" s="1"/>
  <c r="M57" i="1"/>
  <c r="J30" i="8"/>
  <c r="F65" i="1" s="1"/>
  <c r="M65" i="1"/>
  <c r="J38" i="8"/>
  <c r="F73" i="1" s="1"/>
  <c r="M73" i="1"/>
  <c r="J46" i="8"/>
  <c r="F81" i="1" s="1"/>
  <c r="M81" i="1"/>
  <c r="J54" i="8"/>
  <c r="F89" i="1" s="1"/>
  <c r="M89" i="1"/>
  <c r="J62" i="8"/>
  <c r="F97" i="1" s="1"/>
  <c r="M97" i="1"/>
  <c r="J70" i="8"/>
  <c r="F105" i="1" s="1"/>
  <c r="M105" i="1"/>
  <c r="J78" i="8"/>
  <c r="F113" i="1" s="1"/>
  <c r="M113" i="1"/>
  <c r="J86" i="8"/>
  <c r="F121" i="1" s="1"/>
  <c r="M121" i="1"/>
  <c r="T13" i="9"/>
  <c r="AC13" i="9" s="1"/>
  <c r="AI13" i="9" s="1"/>
  <c r="P7" i="10"/>
  <c r="F208" i="1" s="1"/>
  <c r="M208" i="1"/>
  <c r="P10" i="10"/>
  <c r="F211" i="1" s="1"/>
  <c r="M211" i="1"/>
  <c r="P13" i="10"/>
  <c r="F214" i="1" s="1"/>
  <c r="M214" i="1"/>
  <c r="T131" i="9"/>
  <c r="AC131" i="9" s="1"/>
  <c r="AI131" i="9" s="1"/>
  <c r="F819" i="1" s="1"/>
  <c r="T139" i="9"/>
  <c r="AC139" i="9" s="1"/>
  <c r="AI139" i="9" s="1"/>
  <c r="F827" i="1" s="1"/>
  <c r="T125" i="9"/>
  <c r="AC125" i="9" s="1"/>
  <c r="AI125" i="9" s="1"/>
  <c r="F813" i="1" s="1"/>
  <c r="K813" i="1" s="1"/>
  <c r="J25" i="8"/>
  <c r="F60" i="1" s="1"/>
  <c r="M60" i="1"/>
  <c r="J49" i="8"/>
  <c r="F84" i="1" s="1"/>
  <c r="M84" i="1"/>
  <c r="J57" i="8"/>
  <c r="F92" i="1" s="1"/>
  <c r="M92" i="1"/>
  <c r="J89" i="8"/>
  <c r="J51" i="7" s="1"/>
  <c r="M124" i="1"/>
  <c r="P11" i="10"/>
  <c r="F212" i="1" s="1"/>
  <c r="M212" i="1"/>
  <c r="J90" i="8"/>
  <c r="F125" i="1" s="1"/>
  <c r="M125" i="1"/>
  <c r="T126" i="9"/>
  <c r="AC126" i="9" s="1"/>
  <c r="AI126" i="9" s="1"/>
  <c r="F814" i="1" s="1"/>
  <c r="J11" i="8"/>
  <c r="F46" i="1" s="1"/>
  <c r="M46" i="1"/>
  <c r="J35" i="8"/>
  <c r="F70" i="1" s="1"/>
  <c r="M70" i="1"/>
  <c r="J51" i="8"/>
  <c r="M86" i="1"/>
  <c r="J67" i="8"/>
  <c r="H51" i="7" s="1"/>
  <c r="M102" i="1"/>
  <c r="J91" i="8"/>
  <c r="F126" i="1" s="1"/>
  <c r="M126" i="1"/>
  <c r="J7" i="8"/>
  <c r="M42" i="1"/>
  <c r="J15" i="8"/>
  <c r="F50" i="1" s="1"/>
  <c r="M50" i="1"/>
  <c r="J23" i="8"/>
  <c r="F58" i="1" s="1"/>
  <c r="M58" i="1"/>
  <c r="J31" i="8"/>
  <c r="F66" i="1" s="1"/>
  <c r="M66" i="1"/>
  <c r="J39" i="8"/>
  <c r="F74" i="1" s="1"/>
  <c r="M74" i="1"/>
  <c r="J47" i="8"/>
  <c r="F82" i="1" s="1"/>
  <c r="M82" i="1"/>
  <c r="J55" i="8"/>
  <c r="F90" i="1" s="1"/>
  <c r="M90" i="1"/>
  <c r="J63" i="8"/>
  <c r="F98" i="1" s="1"/>
  <c r="M98" i="1"/>
  <c r="J71" i="8"/>
  <c r="F106" i="1" s="1"/>
  <c r="M106" i="1"/>
  <c r="J79" i="8"/>
  <c r="F114" i="1" s="1"/>
  <c r="M114" i="1"/>
  <c r="J87" i="8"/>
  <c r="F122" i="1" s="1"/>
  <c r="M122" i="1"/>
  <c r="T49" i="9"/>
  <c r="AC49" i="9" s="1"/>
  <c r="AI49" i="9" s="1"/>
  <c r="T95" i="9"/>
  <c r="AC95" i="9" s="1"/>
  <c r="AI95" i="9" s="1"/>
  <c r="F783" i="1" s="1"/>
  <c r="T127" i="9"/>
  <c r="AC127" i="9" s="1"/>
  <c r="AI127" i="9" s="1"/>
  <c r="F815" i="1" s="1"/>
  <c r="T135" i="9"/>
  <c r="AC135" i="9" s="1"/>
  <c r="AI135" i="9" s="1"/>
  <c r="F823" i="1" s="1"/>
  <c r="T109" i="9"/>
  <c r="AC109" i="9" s="1"/>
  <c r="AI109" i="9" s="1"/>
  <c r="T117" i="9"/>
  <c r="AC117" i="9" s="1"/>
  <c r="AI117" i="9" s="1"/>
  <c r="J17" i="8"/>
  <c r="F52" i="1" s="1"/>
  <c r="M52" i="1"/>
  <c r="J73" i="8"/>
  <c r="F108" i="1" s="1"/>
  <c r="M108" i="1"/>
  <c r="J10" i="8"/>
  <c r="F45" i="1" s="1"/>
  <c r="M45" i="1"/>
  <c r="J34" i="8"/>
  <c r="F69" i="1" s="1"/>
  <c r="M69" i="1"/>
  <c r="J58" i="8"/>
  <c r="H42" i="7" s="1"/>
  <c r="M93" i="1"/>
  <c r="J82" i="8"/>
  <c r="F117" i="1" s="1"/>
  <c r="M117" i="1"/>
  <c r="J27" i="8"/>
  <c r="F62" i="1" s="1"/>
  <c r="M62" i="1"/>
  <c r="J43" i="8"/>
  <c r="F78" i="1" s="1"/>
  <c r="M78" i="1"/>
  <c r="J83" i="8"/>
  <c r="F118" i="1" s="1"/>
  <c r="M118" i="1"/>
  <c r="J8" i="8"/>
  <c r="F43" i="1" s="1"/>
  <c r="M43" i="1"/>
  <c r="J16" i="8"/>
  <c r="F51" i="1" s="1"/>
  <c r="M51" i="1"/>
  <c r="J24" i="8"/>
  <c r="F59" i="1" s="1"/>
  <c r="M59" i="1"/>
  <c r="J32" i="8"/>
  <c r="F67" i="1" s="1"/>
  <c r="M67" i="1"/>
  <c r="J40" i="8"/>
  <c r="F75" i="1" s="1"/>
  <c r="M75" i="1"/>
  <c r="J48" i="8"/>
  <c r="F83" i="1" s="1"/>
  <c r="M83" i="1"/>
  <c r="J56" i="8"/>
  <c r="F91" i="1" s="1"/>
  <c r="M91" i="1"/>
  <c r="J64" i="8"/>
  <c r="F99" i="1" s="1"/>
  <c r="M99" i="1"/>
  <c r="J72" i="8"/>
  <c r="F107" i="1" s="1"/>
  <c r="M107" i="1"/>
  <c r="J80" i="8"/>
  <c r="J43" i="6" s="1"/>
  <c r="M115" i="1"/>
  <c r="J88" i="8"/>
  <c r="F123" i="1" s="1"/>
  <c r="M123" i="1"/>
  <c r="T96" i="9"/>
  <c r="AC96" i="9" s="1"/>
  <c r="AI96" i="9" s="1"/>
  <c r="F784" i="1" s="1"/>
  <c r="AI32" i="9"/>
  <c r="M149" i="1"/>
  <c r="AI33" i="9"/>
  <c r="M150" i="1"/>
  <c r="AI12" i="9"/>
  <c r="M129" i="1"/>
  <c r="AI34" i="9"/>
  <c r="M151" i="1"/>
  <c r="AI123" i="9"/>
  <c r="D26" i="6" s="1"/>
  <c r="E26" i="6" s="1"/>
  <c r="AI54" i="9"/>
  <c r="M171" i="1"/>
  <c r="AI11" i="9"/>
  <c r="M128" i="1"/>
  <c r="AI10" i="9"/>
  <c r="M127" i="1"/>
  <c r="AI55" i="9"/>
  <c r="M172" i="1"/>
  <c r="AI56" i="9"/>
  <c r="M173" i="1"/>
  <c r="AZ13" i="21"/>
  <c r="BE13" i="21" s="1"/>
  <c r="BG13" i="21" s="1"/>
  <c r="M777" i="1" s="1"/>
  <c r="R8" i="21"/>
  <c r="S8" i="21" s="1"/>
  <c r="R11" i="20"/>
  <c r="S11" i="20" s="1"/>
  <c r="AQ12" i="20"/>
  <c r="AT12" i="20" s="1"/>
  <c r="AV12" i="20" s="1"/>
  <c r="M769" i="1" s="1"/>
  <c r="AQ13" i="20"/>
  <c r="AT13" i="20" s="1"/>
  <c r="AV13" i="20" s="1"/>
  <c r="M770" i="1" s="1"/>
  <c r="AP24" i="19"/>
  <c r="AT24" i="19" s="1"/>
  <c r="AV24" i="19" s="1"/>
  <c r="M733" i="1" s="1"/>
  <c r="AP33" i="19"/>
  <c r="AQ33" i="19" s="1"/>
  <c r="AP39" i="19"/>
  <c r="AT39" i="19" s="1"/>
  <c r="AV39" i="19" s="1"/>
  <c r="M748" i="1" s="1"/>
  <c r="AP45" i="19"/>
  <c r="AT45" i="19" s="1"/>
  <c r="AV45" i="19" s="1"/>
  <c r="M754" i="1" s="1"/>
  <c r="AP52" i="19"/>
  <c r="AQ52" i="19" s="1"/>
  <c r="R9" i="19"/>
  <c r="S9" i="19" s="1"/>
  <c r="R22" i="19"/>
  <c r="S22" i="19" s="1"/>
  <c r="F32" i="19"/>
  <c r="X32" i="19" s="1"/>
  <c r="Y32" i="19" s="1"/>
  <c r="AP37" i="19"/>
  <c r="AT37" i="19" s="1"/>
  <c r="AV37" i="19" s="1"/>
  <c r="M746" i="1" s="1"/>
  <c r="AP43" i="19"/>
  <c r="AQ43" i="19" s="1"/>
  <c r="AP54" i="19"/>
  <c r="AT54" i="19" s="1"/>
  <c r="AV54" i="19" s="1"/>
  <c r="M763" i="1" s="1"/>
  <c r="AP9" i="19"/>
  <c r="AT9" i="19" s="1"/>
  <c r="AV9" i="19" s="1"/>
  <c r="M718" i="1" s="1"/>
  <c r="AP28" i="19"/>
  <c r="AT28" i="19" s="1"/>
  <c r="AV28" i="19" s="1"/>
  <c r="M737" i="1" s="1"/>
  <c r="AP44" i="19"/>
  <c r="AT44" i="19" s="1"/>
  <c r="AV44" i="19" s="1"/>
  <c r="M753" i="1" s="1"/>
  <c r="R45" i="19"/>
  <c r="S45" i="19" s="1"/>
  <c r="AP50" i="19"/>
  <c r="AQ50" i="19" s="1"/>
  <c r="AP51" i="19"/>
  <c r="AT51" i="19" s="1"/>
  <c r="AV51" i="19" s="1"/>
  <c r="M760" i="1" s="1"/>
  <c r="AP11" i="19"/>
  <c r="AT11" i="19" s="1"/>
  <c r="AV11" i="19" s="1"/>
  <c r="M720" i="1" s="1"/>
  <c r="AP12" i="19"/>
  <c r="AQ12" i="19" s="1"/>
  <c r="AP17" i="19"/>
  <c r="AT17" i="19" s="1"/>
  <c r="AV17" i="19" s="1"/>
  <c r="M726" i="1" s="1"/>
  <c r="AP22" i="19"/>
  <c r="AT22" i="19" s="1"/>
  <c r="AV22" i="19" s="1"/>
  <c r="M731" i="1" s="1"/>
  <c r="AP23" i="19"/>
  <c r="AT23" i="19" s="1"/>
  <c r="AV23" i="19" s="1"/>
  <c r="M732" i="1" s="1"/>
  <c r="AT12" i="18"/>
  <c r="AX12" i="18" s="1"/>
  <c r="AZ12" i="18" s="1"/>
  <c r="M673" i="1" s="1"/>
  <c r="R13" i="18"/>
  <c r="S13" i="18" s="1"/>
  <c r="AT13" i="18"/>
  <c r="AX13" i="18" s="1"/>
  <c r="AZ13" i="18" s="1"/>
  <c r="M674" i="1" s="1"/>
  <c r="AT20" i="18"/>
  <c r="AX20" i="18" s="1"/>
  <c r="AZ20" i="18" s="1"/>
  <c r="M681" i="1" s="1"/>
  <c r="R21" i="18"/>
  <c r="S21" i="18" s="1"/>
  <c r="AT21" i="18"/>
  <c r="AU21" i="18" s="1"/>
  <c r="AT30" i="18"/>
  <c r="AX30" i="18" s="1"/>
  <c r="AZ30" i="18" s="1"/>
  <c r="M691" i="1" s="1"/>
  <c r="R31" i="18"/>
  <c r="S31" i="18" s="1"/>
  <c r="AT31" i="18"/>
  <c r="AX31" i="18" s="1"/>
  <c r="AZ31" i="18" s="1"/>
  <c r="M692" i="1" s="1"/>
  <c r="AT9" i="18"/>
  <c r="AU9" i="18" s="1"/>
  <c r="R10" i="18"/>
  <c r="S10" i="18" s="1"/>
  <c r="AT16" i="18"/>
  <c r="AX16" i="18" s="1"/>
  <c r="AZ16" i="18" s="1"/>
  <c r="M677" i="1" s="1"/>
  <c r="R17" i="18"/>
  <c r="S17" i="18" s="1"/>
  <c r="AT17" i="18"/>
  <c r="AX17" i="18" s="1"/>
  <c r="AZ17" i="18" s="1"/>
  <c r="M678" i="1" s="1"/>
  <c r="AT24" i="18"/>
  <c r="AX24" i="18" s="1"/>
  <c r="AZ24" i="18" s="1"/>
  <c r="M685" i="1" s="1"/>
  <c r="R25" i="18"/>
  <c r="S25" i="18" s="1"/>
  <c r="R33" i="18"/>
  <c r="S33" i="18" s="1"/>
  <c r="R35" i="18"/>
  <c r="S35" i="18" s="1"/>
  <c r="R39" i="18"/>
  <c r="S39" i="18" s="1"/>
  <c r="R43" i="18"/>
  <c r="S43" i="18" s="1"/>
  <c r="R47" i="18"/>
  <c r="S47" i="18" s="1"/>
  <c r="AT14" i="18"/>
  <c r="AX14" i="18" s="1"/>
  <c r="AZ14" i="18" s="1"/>
  <c r="M675" i="1" s="1"/>
  <c r="AT22" i="18"/>
  <c r="AX22" i="18" s="1"/>
  <c r="AZ22" i="18" s="1"/>
  <c r="M683" i="1" s="1"/>
  <c r="AT33" i="18"/>
  <c r="AU33" i="18" s="1"/>
  <c r="AT38" i="18"/>
  <c r="AU38" i="18" s="1"/>
  <c r="AT42" i="18"/>
  <c r="AU42" i="18" s="1"/>
  <c r="AT46" i="18"/>
  <c r="AU46" i="18" s="1"/>
  <c r="AT50" i="18"/>
  <c r="AU50" i="18" s="1"/>
  <c r="R51" i="18"/>
  <c r="S51" i="18" s="1"/>
  <c r="AT51" i="18"/>
  <c r="AX51" i="18" s="1"/>
  <c r="AZ51" i="18" s="1"/>
  <c r="M712" i="1" s="1"/>
  <c r="AT7" i="17"/>
  <c r="AX7" i="17" s="1"/>
  <c r="AZ7" i="17" s="1"/>
  <c r="M620" i="1" s="1"/>
  <c r="AT27" i="17"/>
  <c r="AU27" i="17" s="1"/>
  <c r="AT36" i="17"/>
  <c r="AX36" i="17" s="1"/>
  <c r="AZ36" i="17" s="1"/>
  <c r="M649" i="1" s="1"/>
  <c r="AT46" i="17"/>
  <c r="AX46" i="17" s="1"/>
  <c r="AZ46" i="17" s="1"/>
  <c r="M659" i="1" s="1"/>
  <c r="AT51" i="17"/>
  <c r="AX51" i="17" s="1"/>
  <c r="AZ51" i="17" s="1"/>
  <c r="M664" i="1" s="1"/>
  <c r="AT54" i="17"/>
  <c r="AX54" i="17" s="1"/>
  <c r="AZ54" i="17" s="1"/>
  <c r="M667" i="1" s="1"/>
  <c r="D28" i="17"/>
  <c r="R49" i="17"/>
  <c r="S49" i="17" s="1"/>
  <c r="R35" i="17"/>
  <c r="S35" i="17" s="1"/>
  <c r="R45" i="17"/>
  <c r="S45" i="17" s="1"/>
  <c r="R53" i="17"/>
  <c r="S53" i="17" s="1"/>
  <c r="R10" i="17"/>
  <c r="S10" i="17" s="1"/>
  <c r="AT11" i="17"/>
  <c r="AX11" i="17" s="1"/>
  <c r="AZ11" i="17" s="1"/>
  <c r="M624" i="1" s="1"/>
  <c r="R12" i="17"/>
  <c r="S12" i="17" s="1"/>
  <c r="AT17" i="17"/>
  <c r="AX17" i="17" s="1"/>
  <c r="AZ17" i="17" s="1"/>
  <c r="M630" i="1" s="1"/>
  <c r="AT18" i="17"/>
  <c r="AU18" i="17" s="1"/>
  <c r="AT20" i="17"/>
  <c r="AX20" i="17" s="1"/>
  <c r="AZ20" i="17" s="1"/>
  <c r="M633" i="1" s="1"/>
  <c r="AT39" i="17"/>
  <c r="AX39" i="17" s="1"/>
  <c r="AZ39" i="17" s="1"/>
  <c r="M652" i="1" s="1"/>
  <c r="AT44" i="17"/>
  <c r="AX44" i="17" s="1"/>
  <c r="AZ44" i="17" s="1"/>
  <c r="M657" i="1" s="1"/>
  <c r="R41" i="17"/>
  <c r="S41" i="17" s="1"/>
  <c r="AT10" i="17"/>
  <c r="AX10" i="17" s="1"/>
  <c r="AZ10" i="17" s="1"/>
  <c r="M623" i="1" s="1"/>
  <c r="AT12" i="17"/>
  <c r="AX12" i="17" s="1"/>
  <c r="AZ12" i="17" s="1"/>
  <c r="M625" i="1" s="1"/>
  <c r="AT32" i="17"/>
  <c r="AU32" i="17" s="1"/>
  <c r="R39" i="17"/>
  <c r="S39" i="17" s="1"/>
  <c r="AT16" i="17"/>
  <c r="AX16" i="17" s="1"/>
  <c r="AZ16" i="17" s="1"/>
  <c r="M629" i="1" s="1"/>
  <c r="AT24" i="17"/>
  <c r="AX24" i="17" s="1"/>
  <c r="AZ24" i="17" s="1"/>
  <c r="M637" i="1" s="1"/>
  <c r="AT43" i="17"/>
  <c r="AX43" i="17" s="1"/>
  <c r="AZ43" i="17" s="1"/>
  <c r="M656" i="1" s="1"/>
  <c r="AT47" i="17"/>
  <c r="AX47" i="17" s="1"/>
  <c r="AZ47" i="17" s="1"/>
  <c r="M660" i="1" s="1"/>
  <c r="AT49" i="16"/>
  <c r="AU49" i="16" s="1"/>
  <c r="R50" i="16"/>
  <c r="S50" i="16" s="1"/>
  <c r="AT12" i="16"/>
  <c r="AX12" i="16" s="1"/>
  <c r="AZ12" i="16" s="1"/>
  <c r="M577" i="1" s="1"/>
  <c r="AT13" i="16"/>
  <c r="AX13" i="16" s="1"/>
  <c r="AZ13" i="16" s="1"/>
  <c r="M578" i="1" s="1"/>
  <c r="AT20" i="16"/>
  <c r="AX20" i="16" s="1"/>
  <c r="AZ20" i="16" s="1"/>
  <c r="M585" i="1" s="1"/>
  <c r="AT28" i="16"/>
  <c r="AU28" i="16" s="1"/>
  <c r="AT36" i="16"/>
  <c r="AU36" i="16" s="1"/>
  <c r="AT43" i="16"/>
  <c r="AU43" i="16" s="1"/>
  <c r="AT8" i="16"/>
  <c r="AX8" i="16" s="1"/>
  <c r="AZ8" i="16" s="1"/>
  <c r="M573" i="1" s="1"/>
  <c r="R9" i="16"/>
  <c r="S9" i="16" s="1"/>
  <c r="AT9" i="16"/>
  <c r="AX9" i="16" s="1"/>
  <c r="AZ9" i="16" s="1"/>
  <c r="M574" i="1" s="1"/>
  <c r="AT16" i="16"/>
  <c r="AX16" i="16" s="1"/>
  <c r="AZ16" i="16" s="1"/>
  <c r="M581" i="1" s="1"/>
  <c r="R17" i="16"/>
  <c r="S17" i="16" s="1"/>
  <c r="AT17" i="16"/>
  <c r="AX17" i="16" s="1"/>
  <c r="AZ17" i="16" s="1"/>
  <c r="M582" i="1" s="1"/>
  <c r="AT24" i="16"/>
  <c r="AU24" i="16" s="1"/>
  <c r="R25" i="16"/>
  <c r="S25" i="16" s="1"/>
  <c r="AT32" i="16"/>
  <c r="AX32" i="16" s="1"/>
  <c r="AZ32" i="16" s="1"/>
  <c r="M597" i="1" s="1"/>
  <c r="R33" i="16"/>
  <c r="S33" i="16" s="1"/>
  <c r="AT40" i="16"/>
  <c r="AX40" i="16" s="1"/>
  <c r="AZ40" i="16" s="1"/>
  <c r="M605" i="1" s="1"/>
  <c r="R41" i="16"/>
  <c r="S41" i="16" s="1"/>
  <c r="R7" i="16"/>
  <c r="S7" i="16" s="1"/>
  <c r="AT7" i="16"/>
  <c r="AX7" i="16" s="1"/>
  <c r="AZ7" i="16" s="1"/>
  <c r="M572" i="1" s="1"/>
  <c r="R15" i="16"/>
  <c r="S15" i="16" s="1"/>
  <c r="AT15" i="16"/>
  <c r="AX15" i="16" s="1"/>
  <c r="AZ15" i="16" s="1"/>
  <c r="M580" i="1" s="1"/>
  <c r="AT22" i="16"/>
  <c r="AX22" i="16" s="1"/>
  <c r="AZ22" i="16" s="1"/>
  <c r="M587" i="1" s="1"/>
  <c r="R23" i="16"/>
  <c r="S23" i="16" s="1"/>
  <c r="AT30" i="16"/>
  <c r="AX30" i="16" s="1"/>
  <c r="AZ30" i="16" s="1"/>
  <c r="M595" i="1" s="1"/>
  <c r="R31" i="16"/>
  <c r="S31" i="16" s="1"/>
  <c r="R39" i="16"/>
  <c r="S39" i="16" s="1"/>
  <c r="R40" i="15"/>
  <c r="S40" i="15" s="1"/>
  <c r="AT38" i="15"/>
  <c r="AX38" i="15" s="1"/>
  <c r="AZ38" i="15" s="1"/>
  <c r="M555" i="1" s="1"/>
  <c r="AT45" i="15"/>
  <c r="AX45" i="15" s="1"/>
  <c r="AZ45" i="15" s="1"/>
  <c r="M562" i="1" s="1"/>
  <c r="AT52" i="15"/>
  <c r="AX52" i="15" s="1"/>
  <c r="AZ52" i="15" s="1"/>
  <c r="M569" i="1" s="1"/>
  <c r="AT53" i="15"/>
  <c r="AU53" i="15" s="1"/>
  <c r="AT27" i="15"/>
  <c r="AU27" i="15" s="1"/>
  <c r="AT28" i="15"/>
  <c r="AX28" i="15" s="1"/>
  <c r="AZ28" i="15" s="1"/>
  <c r="M545" i="1" s="1"/>
  <c r="AT43" i="15"/>
  <c r="AX43" i="15" s="1"/>
  <c r="AZ43" i="15" s="1"/>
  <c r="M560" i="1" s="1"/>
  <c r="AT7" i="14"/>
  <c r="AU7" i="14" s="1"/>
  <c r="R26" i="14"/>
  <c r="S26" i="14" s="1"/>
  <c r="AT49" i="14"/>
  <c r="AX49" i="14" s="1"/>
  <c r="AZ49" i="14" s="1"/>
  <c r="M518" i="1" s="1"/>
  <c r="R7" i="14"/>
  <c r="S7" i="14" s="1"/>
  <c r="R25" i="14"/>
  <c r="S25" i="14" s="1"/>
  <c r="R48" i="14"/>
  <c r="S48" i="14" s="1"/>
  <c r="F8" i="14"/>
  <c r="AT19" i="14"/>
  <c r="AU19" i="14" s="1"/>
  <c r="R40" i="14"/>
  <c r="S40" i="14" s="1"/>
  <c r="AT40" i="14"/>
  <c r="AU40" i="14" s="1"/>
  <c r="AT48" i="14"/>
  <c r="AU48" i="14" s="1"/>
  <c r="AT10" i="14"/>
  <c r="AX10" i="14" s="1"/>
  <c r="AZ10" i="14" s="1"/>
  <c r="M479" i="1" s="1"/>
  <c r="AT29" i="14"/>
  <c r="AX29" i="14" s="1"/>
  <c r="AZ29" i="14" s="1"/>
  <c r="M498" i="1" s="1"/>
  <c r="AT44" i="14"/>
  <c r="AX44" i="14" s="1"/>
  <c r="AZ44" i="14" s="1"/>
  <c r="M513" i="1" s="1"/>
  <c r="AT45" i="14"/>
  <c r="AU45" i="14" s="1"/>
  <c r="AT46" i="14"/>
  <c r="AX46" i="14" s="1"/>
  <c r="AZ46" i="14" s="1"/>
  <c r="M515" i="1" s="1"/>
  <c r="AO29" i="13"/>
  <c r="AP29" i="13" s="1"/>
  <c r="AS29" i="13" s="1"/>
  <c r="AU29" i="13" s="1"/>
  <c r="M450" i="1" s="1"/>
  <c r="R25" i="13"/>
  <c r="S25" i="13" s="1"/>
  <c r="AO7" i="13"/>
  <c r="AP7" i="13" s="1"/>
  <c r="AS7" i="13" s="1"/>
  <c r="AU7" i="13" s="1"/>
  <c r="M428" i="1" s="1"/>
  <c r="AO20" i="13"/>
  <c r="AP20" i="13" s="1"/>
  <c r="AS20" i="13" s="1"/>
  <c r="AU20" i="13" s="1"/>
  <c r="M441" i="1" s="1"/>
  <c r="AO26" i="13"/>
  <c r="AP26" i="13" s="1"/>
  <c r="AS26" i="13" s="1"/>
  <c r="AU26" i="13" s="1"/>
  <c r="M447" i="1" s="1"/>
  <c r="AO39" i="13"/>
  <c r="AP39" i="13" s="1"/>
  <c r="AS39" i="13" s="1"/>
  <c r="AU39" i="13" s="1"/>
  <c r="M460" i="1" s="1"/>
  <c r="R42" i="13"/>
  <c r="S42" i="13" s="1"/>
  <c r="AO12" i="13"/>
  <c r="AP12" i="13" s="1"/>
  <c r="AS12" i="13" s="1"/>
  <c r="AU12" i="13" s="1"/>
  <c r="M433" i="1" s="1"/>
  <c r="AO14" i="13"/>
  <c r="AP14" i="13" s="1"/>
  <c r="AS14" i="13" s="1"/>
  <c r="AU14" i="13" s="1"/>
  <c r="M435" i="1" s="1"/>
  <c r="AO16" i="13"/>
  <c r="AP16" i="13" s="1"/>
  <c r="AS16" i="13" s="1"/>
  <c r="AU16" i="13" s="1"/>
  <c r="M437" i="1" s="1"/>
  <c r="AO18" i="13"/>
  <c r="AP18" i="13" s="1"/>
  <c r="AS18" i="13" s="1"/>
  <c r="AU18" i="13" s="1"/>
  <c r="M439" i="1" s="1"/>
  <c r="AO35" i="13"/>
  <c r="AP35" i="13" s="1"/>
  <c r="AS35" i="13" s="1"/>
  <c r="AU35" i="13" s="1"/>
  <c r="M456" i="1" s="1"/>
  <c r="AO52" i="13"/>
  <c r="AP52" i="13" s="1"/>
  <c r="AS52" i="13" s="1"/>
  <c r="AU52" i="13" s="1"/>
  <c r="M473" i="1" s="1"/>
  <c r="AE44" i="12"/>
  <c r="AF44" i="12" s="1"/>
  <c r="AE42" i="12"/>
  <c r="AI42" i="12" s="1"/>
  <c r="AK42" i="12" s="1"/>
  <c r="M415" i="1" s="1"/>
  <c r="AE33" i="12"/>
  <c r="AF33" i="12" s="1"/>
  <c r="AE34" i="12"/>
  <c r="AI34" i="12" s="1"/>
  <c r="AK34" i="12" s="1"/>
  <c r="M407" i="1" s="1"/>
  <c r="AE35" i="12"/>
  <c r="AF35" i="12" s="1"/>
  <c r="AE36" i="12"/>
  <c r="AI36" i="12" s="1"/>
  <c r="AK36" i="12" s="1"/>
  <c r="M409" i="1" s="1"/>
  <c r="AE52" i="12"/>
  <c r="AF52" i="12" s="1"/>
  <c r="AE50" i="12"/>
  <c r="AF50" i="12" s="1"/>
  <c r="C11" i="2"/>
  <c r="C10" i="2"/>
  <c r="C12" i="2" s="1"/>
  <c r="L22" i="2"/>
  <c r="AC150" i="9"/>
  <c r="AI150" i="9" s="1"/>
  <c r="AC153" i="9"/>
  <c r="AI153" i="9" s="1"/>
  <c r="AC155" i="9"/>
  <c r="AI155" i="9" s="1"/>
  <c r="AC156" i="9"/>
  <c r="AI156" i="9" s="1"/>
  <c r="AC157" i="9"/>
  <c r="AI157" i="9" s="1"/>
  <c r="T105" i="9"/>
  <c r="AC105" i="9" s="1"/>
  <c r="AI105" i="9" s="1"/>
  <c r="T113" i="9"/>
  <c r="AC113" i="9" s="1"/>
  <c r="AI113" i="9" s="1"/>
  <c r="T121" i="9"/>
  <c r="AC121" i="9" s="1"/>
  <c r="AI121" i="9" s="1"/>
  <c r="AT20" i="14"/>
  <c r="AX20" i="14" s="1"/>
  <c r="AZ20" i="14" s="1"/>
  <c r="M489" i="1" s="1"/>
  <c r="AI133" i="9"/>
  <c r="F821" i="1" s="1"/>
  <c r="AY7" i="7"/>
  <c r="BB7" i="7" s="1"/>
  <c r="BH7" i="7" s="1"/>
  <c r="R33" i="7" s="1"/>
  <c r="AC152" i="9"/>
  <c r="AI152" i="9" s="1"/>
  <c r="AC154" i="9"/>
  <c r="AI154" i="9" s="1"/>
  <c r="T44" i="9"/>
  <c r="AC44" i="9" s="1"/>
  <c r="AI44" i="9" s="1"/>
  <c r="T46" i="9"/>
  <c r="AC46" i="9" s="1"/>
  <c r="AI46" i="9" s="1"/>
  <c r="AI101" i="9"/>
  <c r="F789" i="1" s="1"/>
  <c r="D31" i="12"/>
  <c r="AC143" i="9"/>
  <c r="AI143" i="9" s="1"/>
  <c r="AC145" i="9"/>
  <c r="AI145" i="9" s="1"/>
  <c r="AC147" i="9"/>
  <c r="AI147" i="9" s="1"/>
  <c r="AC149" i="9"/>
  <c r="AI149" i="9" s="1"/>
  <c r="AC160" i="9"/>
  <c r="AI160" i="9" s="1"/>
  <c r="D7" i="14"/>
  <c r="T110" i="9"/>
  <c r="AC110" i="9" s="1"/>
  <c r="AI110" i="9" s="1"/>
  <c r="AC151" i="9"/>
  <c r="AI151" i="9" s="1"/>
  <c r="X77" i="9"/>
  <c r="T103" i="9"/>
  <c r="AC103" i="9" s="1"/>
  <c r="AI103" i="9" s="1"/>
  <c r="AO37" i="13"/>
  <c r="AP37" i="13" s="1"/>
  <c r="AS37" i="13" s="1"/>
  <c r="AU37" i="13" s="1"/>
  <c r="M458" i="1" s="1"/>
  <c r="AX51" i="14"/>
  <c r="AZ51" i="14" s="1"/>
  <c r="M520" i="1" s="1"/>
  <c r="AT49" i="17"/>
  <c r="AX49" i="17" s="1"/>
  <c r="AZ49" i="17" s="1"/>
  <c r="M662" i="1" s="1"/>
  <c r="AI118" i="9"/>
  <c r="AI115" i="9"/>
  <c r="AC69" i="9"/>
  <c r="AI69" i="9" s="1"/>
  <c r="P47" i="7"/>
  <c r="Q47" i="7" s="1"/>
  <c r="D30" i="17"/>
  <c r="T6" i="5"/>
  <c r="T25" i="9"/>
  <c r="AC25" i="9" s="1"/>
  <c r="AI25" i="9" s="1"/>
  <c r="D33" i="12"/>
  <c r="D34" i="12"/>
  <c r="AT21" i="16"/>
  <c r="AX21" i="16" s="1"/>
  <c r="AZ21" i="16" s="1"/>
  <c r="M586" i="1" s="1"/>
  <c r="D18" i="17"/>
  <c r="D20" i="17"/>
  <c r="T81" i="9"/>
  <c r="AC81" i="9" s="1"/>
  <c r="AI81" i="9" s="1"/>
  <c r="F198" i="1" s="1"/>
  <c r="D16" i="17"/>
  <c r="T36" i="9"/>
  <c r="X10" i="9"/>
  <c r="T62" i="9"/>
  <c r="AC62" i="9" s="1"/>
  <c r="AI62" i="9" s="1"/>
  <c r="AY22" i="11"/>
  <c r="BX22" i="11" s="1"/>
  <c r="BZ22" i="11" s="1"/>
  <c r="M267" i="1" s="1"/>
  <c r="AY26" i="11"/>
  <c r="BX26" i="11" s="1"/>
  <c r="BZ26" i="11" s="1"/>
  <c r="M279" i="1" s="1"/>
  <c r="AY30" i="11"/>
  <c r="BX30" i="11" s="1"/>
  <c r="BZ30" i="11" s="1"/>
  <c r="M291" i="1" s="1"/>
  <c r="AY34" i="11"/>
  <c r="BX34" i="11" s="1"/>
  <c r="BZ34" i="11" s="1"/>
  <c r="M303" i="1" s="1"/>
  <c r="AY38" i="11"/>
  <c r="BX38" i="11" s="1"/>
  <c r="BZ38" i="11" s="1"/>
  <c r="M315" i="1" s="1"/>
  <c r="AY42" i="11"/>
  <c r="BX42" i="11" s="1"/>
  <c r="BZ42" i="11" s="1"/>
  <c r="M327" i="1" s="1"/>
  <c r="F37" i="14"/>
  <c r="AT8" i="18"/>
  <c r="AX8" i="18" s="1"/>
  <c r="AZ8" i="18" s="1"/>
  <c r="M669" i="1" s="1"/>
  <c r="T30" i="9"/>
  <c r="T60" i="9"/>
  <c r="AC60" i="9" s="1"/>
  <c r="AI60" i="9" s="1"/>
  <c r="S8" i="11"/>
  <c r="BO8" i="11" s="1"/>
  <c r="S12" i="11"/>
  <c r="BO12" i="11" s="1"/>
  <c r="S16" i="11"/>
  <c r="BO16" i="11" s="1"/>
  <c r="S20" i="11"/>
  <c r="BO20" i="11" s="1"/>
  <c r="BS20" i="11" s="1"/>
  <c r="F260" i="1" s="1"/>
  <c r="S24" i="11"/>
  <c r="BO24" i="11" s="1"/>
  <c r="S28" i="11"/>
  <c r="V28" i="11" s="1"/>
  <c r="S32" i="11"/>
  <c r="V32" i="11" s="1"/>
  <c r="S36" i="11"/>
  <c r="BO36" i="11" s="1"/>
  <c r="S40" i="11"/>
  <c r="V40" i="11" s="1"/>
  <c r="AX43" i="14"/>
  <c r="AZ43" i="14" s="1"/>
  <c r="M512" i="1" s="1"/>
  <c r="X88" i="9"/>
  <c r="M36" i="6"/>
  <c r="T17" i="9"/>
  <c r="T19" i="9"/>
  <c r="T33" i="9"/>
  <c r="T65" i="9"/>
  <c r="P43" i="7" s="1"/>
  <c r="Q43" i="7" s="1"/>
  <c r="T87" i="9"/>
  <c r="S77" i="11"/>
  <c r="BO77" i="11" s="1"/>
  <c r="BS77" i="11" s="1"/>
  <c r="S85" i="11"/>
  <c r="V85" i="11" s="1"/>
  <c r="D54" i="14"/>
  <c r="AT33" i="16"/>
  <c r="AX33" i="16" s="1"/>
  <c r="AZ33" i="16" s="1"/>
  <c r="M598" i="1" s="1"/>
  <c r="M53" i="7"/>
  <c r="S59" i="11"/>
  <c r="BO59" i="11" s="1"/>
  <c r="S65" i="11"/>
  <c r="V65" i="11" s="1"/>
  <c r="S104" i="11"/>
  <c r="BO104" i="11" s="1"/>
  <c r="AU16" i="15"/>
  <c r="T86" i="9"/>
  <c r="M33" i="6"/>
  <c r="AY20" i="7"/>
  <c r="T24" i="9"/>
  <c r="T42" i="9"/>
  <c r="T66" i="9"/>
  <c r="AC66" i="9" s="1"/>
  <c r="AI66" i="9" s="1"/>
  <c r="AY20" i="11"/>
  <c r="BX20" i="11" s="1"/>
  <c r="BZ20" i="11" s="1"/>
  <c r="M261" i="1" s="1"/>
  <c r="AY24" i="11"/>
  <c r="BX24" i="11" s="1"/>
  <c r="BZ24" i="11" s="1"/>
  <c r="M273" i="1" s="1"/>
  <c r="AY28" i="11"/>
  <c r="BX28" i="11" s="1"/>
  <c r="BZ28" i="11" s="1"/>
  <c r="M285" i="1" s="1"/>
  <c r="AY32" i="11"/>
  <c r="BX32" i="11" s="1"/>
  <c r="BZ32" i="11" s="1"/>
  <c r="M297" i="1" s="1"/>
  <c r="AY36" i="11"/>
  <c r="BX36" i="11" s="1"/>
  <c r="BZ36" i="11" s="1"/>
  <c r="M309" i="1" s="1"/>
  <c r="AY40" i="11"/>
  <c r="BX40" i="11" s="1"/>
  <c r="BZ40" i="11" s="1"/>
  <c r="M321" i="1" s="1"/>
  <c r="S52" i="11"/>
  <c r="V52" i="11" s="1"/>
  <c r="AT47" i="14"/>
  <c r="AX47" i="14" s="1"/>
  <c r="AZ47" i="14" s="1"/>
  <c r="M516" i="1" s="1"/>
  <c r="F15" i="16"/>
  <c r="AT31" i="16"/>
  <c r="AU31" i="16" s="1"/>
  <c r="X71" i="9"/>
  <c r="T89" i="9"/>
  <c r="AC89" i="9" s="1"/>
  <c r="AI89" i="9" s="1"/>
  <c r="F206" i="1" s="1"/>
  <c r="S6" i="11"/>
  <c r="V6" i="11" s="1"/>
  <c r="S10" i="11"/>
  <c r="V10" i="11" s="1"/>
  <c r="S14" i="11"/>
  <c r="BO14" i="11" s="1"/>
  <c r="S18" i="11"/>
  <c r="BO18" i="11" s="1"/>
  <c r="S22" i="11"/>
  <c r="V22" i="11" s="1"/>
  <c r="S26" i="11"/>
  <c r="V26" i="11" s="1"/>
  <c r="S30" i="11"/>
  <c r="V30" i="11" s="1"/>
  <c r="S34" i="11"/>
  <c r="BO34" i="11" s="1"/>
  <c r="S38" i="11"/>
  <c r="BO38" i="11" s="1"/>
  <c r="S42" i="11"/>
  <c r="BO42" i="11" s="1"/>
  <c r="S100" i="11"/>
  <c r="BO100" i="11" s="1"/>
  <c r="F13" i="16"/>
  <c r="AP7" i="19"/>
  <c r="AT7" i="19" s="1"/>
  <c r="AV7" i="19" s="1"/>
  <c r="M716" i="1" s="1"/>
  <c r="X67" i="9"/>
  <c r="T15" i="9"/>
  <c r="AC15" i="9" s="1"/>
  <c r="AI15" i="9" s="1"/>
  <c r="X33" i="9"/>
  <c r="T80" i="9"/>
  <c r="T38" i="9"/>
  <c r="F9" i="17"/>
  <c r="AU25" i="15"/>
  <c r="AY8" i="7"/>
  <c r="BB8" i="7" s="1"/>
  <c r="BH8" i="7" s="1"/>
  <c r="BJ8" i="7" s="1"/>
  <c r="AY14" i="7"/>
  <c r="AY24" i="7"/>
  <c r="BA25" i="7"/>
  <c r="E50" i="4" s="1"/>
  <c r="M43" i="7"/>
  <c r="X24" i="9"/>
  <c r="X41" i="9"/>
  <c r="T57" i="9"/>
  <c r="P36" i="6" s="1"/>
  <c r="Q36" i="6" s="1"/>
  <c r="S91" i="11"/>
  <c r="V91" i="11" s="1"/>
  <c r="S96" i="11"/>
  <c r="BO96" i="11" s="1"/>
  <c r="F16" i="14"/>
  <c r="F9" i="15"/>
  <c r="F11" i="16"/>
  <c r="AT23" i="16"/>
  <c r="AX23" i="16" s="1"/>
  <c r="AZ23" i="16" s="1"/>
  <c r="M588" i="1" s="1"/>
  <c r="D31" i="17"/>
  <c r="F7" i="21"/>
  <c r="AG7" i="21" s="1"/>
  <c r="AH7" i="21" s="1"/>
  <c r="F12" i="21"/>
  <c r="D13" i="22"/>
  <c r="F21" i="1" s="1"/>
  <c r="F35" i="22"/>
  <c r="F33" i="1" s="1"/>
  <c r="C46" i="22"/>
  <c r="F35" i="1" s="1"/>
  <c r="P48" i="6"/>
  <c r="Q48" i="6" s="1"/>
  <c r="BA9" i="7"/>
  <c r="E7" i="4" s="1"/>
  <c r="X13" i="9"/>
  <c r="AY8" i="11"/>
  <c r="BX8" i="11" s="1"/>
  <c r="BZ8" i="11" s="1"/>
  <c r="M225" i="1" s="1"/>
  <c r="AY12" i="11"/>
  <c r="BX12" i="11" s="1"/>
  <c r="BZ12" i="11" s="1"/>
  <c r="M237" i="1" s="1"/>
  <c r="AY16" i="11"/>
  <c r="BX16" i="11" s="1"/>
  <c r="BZ16" i="11" s="1"/>
  <c r="M249" i="1" s="1"/>
  <c r="S46" i="11"/>
  <c r="BO46" i="11" s="1"/>
  <c r="S51" i="11"/>
  <c r="BO51" i="11" s="1"/>
  <c r="S54" i="11"/>
  <c r="BO54" i="11" s="1"/>
  <c r="S58" i="11"/>
  <c r="BO58" i="11" s="1"/>
  <c r="S61" i="11"/>
  <c r="BO61" i="11" s="1"/>
  <c r="S68" i="11"/>
  <c r="V68" i="11" s="1"/>
  <c r="S72" i="11"/>
  <c r="BO72" i="11" s="1"/>
  <c r="S76" i="11"/>
  <c r="V76" i="11" s="1"/>
  <c r="S84" i="11"/>
  <c r="V84" i="11" s="1"/>
  <c r="F7" i="15"/>
  <c r="F10" i="16"/>
  <c r="AT21" i="19"/>
  <c r="AV21" i="19" s="1"/>
  <c r="M730" i="1" s="1"/>
  <c r="S81" i="11"/>
  <c r="BO81" i="11" s="1"/>
  <c r="BS81" i="11" s="1"/>
  <c r="S89" i="11"/>
  <c r="V89" i="11" s="1"/>
  <c r="D34" i="14"/>
  <c r="D48" i="16"/>
  <c r="D54" i="16"/>
  <c r="M50" i="7"/>
  <c r="T21" i="9"/>
  <c r="T53" i="9"/>
  <c r="D14" i="12"/>
  <c r="F15" i="15"/>
  <c r="AT39" i="16"/>
  <c r="AX39" i="16" s="1"/>
  <c r="AZ39" i="16" s="1"/>
  <c r="M604" i="1" s="1"/>
  <c r="D24" i="17"/>
  <c r="F10" i="21"/>
  <c r="AH19" i="21"/>
  <c r="M42" i="6"/>
  <c r="M50" i="6"/>
  <c r="BA13" i="7"/>
  <c r="E38" i="4" s="1"/>
  <c r="M52" i="7"/>
  <c r="T22" i="9"/>
  <c r="X29" i="9"/>
  <c r="T74" i="9"/>
  <c r="P52" i="7" s="1"/>
  <c r="Q52" i="7" s="1"/>
  <c r="T78" i="9"/>
  <c r="T82" i="9"/>
  <c r="T83" i="9"/>
  <c r="AY46" i="11"/>
  <c r="BX46" i="11" s="1"/>
  <c r="BZ46" i="11" s="1"/>
  <c r="M339" i="1" s="1"/>
  <c r="S49" i="11"/>
  <c r="BO49" i="11" s="1"/>
  <c r="AY54" i="11"/>
  <c r="BX54" i="11" s="1"/>
  <c r="BZ54" i="11" s="1"/>
  <c r="M363" i="1" s="1"/>
  <c r="S56" i="11"/>
  <c r="V56" i="11" s="1"/>
  <c r="D18" i="12"/>
  <c r="AT41" i="14"/>
  <c r="AU41" i="14" s="1"/>
  <c r="F25" i="15"/>
  <c r="AT27" i="16"/>
  <c r="AX27" i="16" s="1"/>
  <c r="AZ27" i="16" s="1"/>
  <c r="M592" i="1" s="1"/>
  <c r="AT37" i="16"/>
  <c r="AX37" i="16" s="1"/>
  <c r="AZ37" i="16" s="1"/>
  <c r="M602" i="1" s="1"/>
  <c r="D46" i="16"/>
  <c r="AT35" i="17"/>
  <c r="AX35" i="17" s="1"/>
  <c r="AZ35" i="17" s="1"/>
  <c r="M648" i="1" s="1"/>
  <c r="AZ26" i="6"/>
  <c r="AY10" i="7"/>
  <c r="M49" i="7"/>
  <c r="X19" i="9"/>
  <c r="T68" i="9"/>
  <c r="AC68" i="9" s="1"/>
  <c r="AI68" i="9" s="1"/>
  <c r="X85" i="9"/>
  <c r="AY6" i="11"/>
  <c r="BX6" i="11" s="1"/>
  <c r="BZ6" i="11" s="1"/>
  <c r="M219" i="1" s="1"/>
  <c r="AY10" i="11"/>
  <c r="BX10" i="11" s="1"/>
  <c r="BZ10" i="11" s="1"/>
  <c r="M231" i="1" s="1"/>
  <c r="AY14" i="11"/>
  <c r="BX14" i="11" s="1"/>
  <c r="BZ14" i="11" s="1"/>
  <c r="M243" i="1" s="1"/>
  <c r="AY18" i="11"/>
  <c r="BX18" i="11" s="1"/>
  <c r="BZ18" i="11" s="1"/>
  <c r="M255" i="1" s="1"/>
  <c r="S44" i="11"/>
  <c r="V44" i="11" s="1"/>
  <c r="S48" i="11"/>
  <c r="BO48" i="11" s="1"/>
  <c r="S66" i="11"/>
  <c r="BO66" i="11" s="1"/>
  <c r="S70" i="11"/>
  <c r="BO70" i="11" s="1"/>
  <c r="S74" i="11"/>
  <c r="V74" i="11" s="1"/>
  <c r="S80" i="11"/>
  <c r="V80" i="11" s="1"/>
  <c r="S88" i="11"/>
  <c r="BO88" i="11" s="1"/>
  <c r="D32" i="14"/>
  <c r="AY18" i="7"/>
  <c r="X11" i="9"/>
  <c r="T14" i="9"/>
  <c r="AC14" i="9" s="1"/>
  <c r="AI14" i="9" s="1"/>
  <c r="T35" i="9"/>
  <c r="T54" i="9"/>
  <c r="BA12" i="6"/>
  <c r="BA14" i="7"/>
  <c r="E39" i="4" s="1"/>
  <c r="AZ10" i="6"/>
  <c r="AZ13" i="6"/>
  <c r="AU31" i="15"/>
  <c r="AX31" i="15"/>
  <c r="AZ31" i="15" s="1"/>
  <c r="M548" i="1" s="1"/>
  <c r="AX36" i="15"/>
  <c r="AZ36" i="15" s="1"/>
  <c r="M553" i="1" s="1"/>
  <c r="AU36" i="15"/>
  <c r="BA17" i="6"/>
  <c r="BA18" i="6"/>
  <c r="M46" i="6"/>
  <c r="M9" i="5"/>
  <c r="X43" i="9"/>
  <c r="F14" i="13"/>
  <c r="F18" i="13"/>
  <c r="AT34" i="19"/>
  <c r="AV34" i="19" s="1"/>
  <c r="M743" i="1" s="1"/>
  <c r="AQ34" i="19"/>
  <c r="M49" i="6"/>
  <c r="M54" i="6"/>
  <c r="V9" i="5"/>
  <c r="W9" i="5" s="1"/>
  <c r="E8" i="5" s="1"/>
  <c r="E17" i="5" s="1"/>
  <c r="X34" i="9"/>
  <c r="T50" i="9"/>
  <c r="T85" i="9"/>
  <c r="M34" i="6"/>
  <c r="BA10" i="7"/>
  <c r="E35" i="4" s="1"/>
  <c r="BA11" i="7"/>
  <c r="E9" i="4" s="1"/>
  <c r="AY27" i="7"/>
  <c r="M45" i="7"/>
  <c r="T52" i="9"/>
  <c r="M44" i="6"/>
  <c r="T31" i="9"/>
  <c r="T32" i="9"/>
  <c r="T48" i="9"/>
  <c r="T63" i="9"/>
  <c r="AC63" i="9" s="1"/>
  <c r="AI63" i="9" s="1"/>
  <c r="BA11" i="6"/>
  <c r="BA15" i="6"/>
  <c r="BA16" i="6"/>
  <c r="BA10" i="6"/>
  <c r="AZ11" i="6"/>
  <c r="BA13" i="6"/>
  <c r="AZ15" i="6"/>
  <c r="AZ16" i="6"/>
  <c r="M35" i="6"/>
  <c r="M41" i="6"/>
  <c r="BA22" i="7"/>
  <c r="E20" i="4" s="1"/>
  <c r="M41" i="7"/>
  <c r="T70" i="9"/>
  <c r="D30" i="12"/>
  <c r="D29" i="12"/>
  <c r="D17" i="12"/>
  <c r="D10" i="12"/>
  <c r="D27" i="12"/>
  <c r="D16" i="12"/>
  <c r="D25" i="12"/>
  <c r="D15" i="12"/>
  <c r="D9" i="12"/>
  <c r="D21" i="12"/>
  <c r="D20" i="12"/>
  <c r="D13" i="12"/>
  <c r="D7" i="12"/>
  <c r="D12" i="12"/>
  <c r="D11" i="12"/>
  <c r="D8" i="12"/>
  <c r="D19" i="12"/>
  <c r="AF7" i="12"/>
  <c r="F46" i="18"/>
  <c r="F12" i="18"/>
  <c r="F7" i="18"/>
  <c r="AU48" i="18"/>
  <c r="AX48" i="18"/>
  <c r="AZ48" i="18" s="1"/>
  <c r="M709" i="1" s="1"/>
  <c r="BA14" i="6"/>
  <c r="BA9" i="6"/>
  <c r="O8" i="5"/>
  <c r="F19" i="5"/>
  <c r="B19" i="5"/>
  <c r="O7" i="5"/>
  <c r="V6" i="5"/>
  <c r="D10" i="5"/>
  <c r="AY6" i="7"/>
  <c r="BB6" i="7" s="1"/>
  <c r="BH6" i="7" s="1"/>
  <c r="BA15" i="7"/>
  <c r="E40" i="4" s="1"/>
  <c r="T45" i="9"/>
  <c r="BA27" i="6"/>
  <c r="M39" i="6"/>
  <c r="M47" i="6"/>
  <c r="M40" i="7"/>
  <c r="M44" i="7"/>
  <c r="X12" i="9"/>
  <c r="X14" i="9"/>
  <c r="X18" i="9"/>
  <c r="T20" i="9"/>
  <c r="T26" i="9"/>
  <c r="X27" i="9"/>
  <c r="X28" i="9"/>
  <c r="T40" i="9"/>
  <c r="X47" i="9"/>
  <c r="X53" i="9"/>
  <c r="X54" i="9"/>
  <c r="T56" i="9"/>
  <c r="T59" i="9"/>
  <c r="P37" i="7" s="1"/>
  <c r="Q37" i="7" s="1"/>
  <c r="X60" i="9"/>
  <c r="X62" i="9"/>
  <c r="X64" i="9"/>
  <c r="D26" i="13"/>
  <c r="D25" i="13"/>
  <c r="D16" i="13"/>
  <c r="D15" i="13"/>
  <c r="G15" i="13" s="1"/>
  <c r="D12" i="13"/>
  <c r="D8" i="13"/>
  <c r="D19" i="13"/>
  <c r="D22" i="13"/>
  <c r="D17" i="13"/>
  <c r="D11" i="13"/>
  <c r="D9" i="13"/>
  <c r="D24" i="13"/>
  <c r="D23" i="13"/>
  <c r="D20" i="13"/>
  <c r="D14" i="13"/>
  <c r="D7" i="13"/>
  <c r="AX36" i="18"/>
  <c r="AZ36" i="18" s="1"/>
  <c r="M697" i="1" s="1"/>
  <c r="AU36" i="18"/>
  <c r="F12" i="20"/>
  <c r="Z12" i="20" s="1"/>
  <c r="AA12" i="20" s="1"/>
  <c r="F9" i="20"/>
  <c r="Z9" i="20" s="1"/>
  <c r="AA9" i="20" s="1"/>
  <c r="AZ27" i="6"/>
  <c r="M37" i="6"/>
  <c r="M45" i="6"/>
  <c r="M18" i="5"/>
  <c r="M39" i="7"/>
  <c r="M48" i="7"/>
  <c r="T16" i="9"/>
  <c r="X32" i="9"/>
  <c r="T43" i="9"/>
  <c r="T47" i="9"/>
  <c r="X49" i="9"/>
  <c r="X50" i="9"/>
  <c r="T58" i="9"/>
  <c r="X58" i="9"/>
  <c r="X63" i="9"/>
  <c r="T64" i="9"/>
  <c r="T67" i="9"/>
  <c r="P45" i="7" s="1"/>
  <c r="Q45" i="7" s="1"/>
  <c r="T73" i="9"/>
  <c r="P51" i="7" s="1"/>
  <c r="Q51" i="7" s="1"/>
  <c r="X83" i="9"/>
  <c r="D28" i="13"/>
  <c r="AO50" i="13"/>
  <c r="AP50" i="13" s="1"/>
  <c r="AS50" i="13" s="1"/>
  <c r="AU50" i="13" s="1"/>
  <c r="M471" i="1" s="1"/>
  <c r="AU14" i="14"/>
  <c r="AX14" i="14"/>
  <c r="AZ14" i="14" s="1"/>
  <c r="M483" i="1" s="1"/>
  <c r="AX24" i="14"/>
  <c r="AZ24" i="14" s="1"/>
  <c r="M493" i="1" s="1"/>
  <c r="AU24" i="14"/>
  <c r="AX9" i="15"/>
  <c r="AZ9" i="15" s="1"/>
  <c r="M526" i="1" s="1"/>
  <c r="D16" i="19"/>
  <c r="V16" i="19" s="1"/>
  <c r="W16" i="19" s="1"/>
  <c r="D24" i="22"/>
  <c r="F26" i="1" s="1"/>
  <c r="F46" i="22"/>
  <c r="F38" i="1" s="1"/>
  <c r="M40" i="6"/>
  <c r="M48" i="6"/>
  <c r="M51" i="6"/>
  <c r="M53" i="6"/>
  <c r="AY12" i="7"/>
  <c r="AY16" i="7"/>
  <c r="M47" i="7"/>
  <c r="X15" i="9"/>
  <c r="X66" i="9"/>
  <c r="AO13" i="13"/>
  <c r="AP13" i="13" s="1"/>
  <c r="AS13" i="13" s="1"/>
  <c r="AU13" i="13" s="1"/>
  <c r="M434" i="1" s="1"/>
  <c r="D30" i="13"/>
  <c r="AX46" i="15"/>
  <c r="AZ46" i="15" s="1"/>
  <c r="M563" i="1" s="1"/>
  <c r="AU46" i="15"/>
  <c r="T7" i="5"/>
  <c r="AZ9" i="7"/>
  <c r="D34" i="4" s="1"/>
  <c r="AZ13" i="7"/>
  <c r="D11" i="4" s="1"/>
  <c r="M46" i="7"/>
  <c r="T23" i="9"/>
  <c r="T29" i="9"/>
  <c r="T34" i="9"/>
  <c r="X51" i="9"/>
  <c r="X70" i="9"/>
  <c r="X74" i="9"/>
  <c r="T75" i="9"/>
  <c r="X80" i="9"/>
  <c r="S93" i="11"/>
  <c r="BO93" i="11" s="1"/>
  <c r="BS93" i="11" s="1"/>
  <c r="AF13" i="12"/>
  <c r="AI13" i="12"/>
  <c r="AK13" i="12" s="1"/>
  <c r="M386" i="1" s="1"/>
  <c r="AX22" i="17"/>
  <c r="AZ22" i="17" s="1"/>
  <c r="M635" i="1" s="1"/>
  <c r="T8" i="5"/>
  <c r="M37" i="7"/>
  <c r="X16" i="9"/>
  <c r="T18" i="9"/>
  <c r="T28" i="9"/>
  <c r="X42" i="9"/>
  <c r="T51" i="9"/>
  <c r="T55" i="9"/>
  <c r="X57" i="9"/>
  <c r="T61" i="9"/>
  <c r="AC61" i="9" s="1"/>
  <c r="AI61" i="9" s="1"/>
  <c r="T72" i="9"/>
  <c r="D8" i="17"/>
  <c r="D10" i="17"/>
  <c r="D9" i="17"/>
  <c r="D22" i="17"/>
  <c r="D7" i="17"/>
  <c r="D26" i="17"/>
  <c r="D12" i="17"/>
  <c r="F13" i="20"/>
  <c r="Z13" i="20" s="1"/>
  <c r="AA13" i="20" s="1"/>
  <c r="D13" i="21"/>
  <c r="G13" i="21" s="1"/>
  <c r="D10" i="21"/>
  <c r="T88" i="9"/>
  <c r="AY7" i="11"/>
  <c r="BX7" i="11" s="1"/>
  <c r="BZ7" i="11" s="1"/>
  <c r="M222" i="1" s="1"/>
  <c r="AY11" i="11"/>
  <c r="BX11" i="11" s="1"/>
  <c r="BZ11" i="11" s="1"/>
  <c r="M234" i="1" s="1"/>
  <c r="AY15" i="11"/>
  <c r="BX15" i="11" s="1"/>
  <c r="BZ15" i="11" s="1"/>
  <c r="M246" i="1" s="1"/>
  <c r="AY19" i="11"/>
  <c r="BX19" i="11" s="1"/>
  <c r="BZ19" i="11" s="1"/>
  <c r="M258" i="1" s="1"/>
  <c r="AY23" i="11"/>
  <c r="BX23" i="11" s="1"/>
  <c r="BZ23" i="11" s="1"/>
  <c r="M270" i="1" s="1"/>
  <c r="AY27" i="11"/>
  <c r="BX27" i="11" s="1"/>
  <c r="BZ27" i="11" s="1"/>
  <c r="M282" i="1" s="1"/>
  <c r="AY31" i="11"/>
  <c r="BX31" i="11" s="1"/>
  <c r="BZ31" i="11" s="1"/>
  <c r="M294" i="1" s="1"/>
  <c r="AY35" i="11"/>
  <c r="BX35" i="11" s="1"/>
  <c r="BZ35" i="11" s="1"/>
  <c r="M306" i="1" s="1"/>
  <c r="AY39" i="11"/>
  <c r="BX39" i="11" s="1"/>
  <c r="BZ39" i="11" s="1"/>
  <c r="M318" i="1" s="1"/>
  <c r="S50" i="11"/>
  <c r="V50" i="11" s="1"/>
  <c r="S55" i="11"/>
  <c r="V55" i="11" s="1"/>
  <c r="AY62" i="11"/>
  <c r="BX62" i="11" s="1"/>
  <c r="BZ62" i="11" s="1"/>
  <c r="S69" i="11"/>
  <c r="V69" i="11" s="1"/>
  <c r="S73" i="11"/>
  <c r="S82" i="11"/>
  <c r="V82" i="11" s="1"/>
  <c r="AO10" i="13"/>
  <c r="AP10" i="13" s="1"/>
  <c r="AS10" i="13" s="1"/>
  <c r="AU10" i="13" s="1"/>
  <c r="M431" i="1" s="1"/>
  <c r="AO34" i="13"/>
  <c r="AP34" i="13" s="1"/>
  <c r="AS34" i="13" s="1"/>
  <c r="AU34" i="13" s="1"/>
  <c r="M455" i="1" s="1"/>
  <c r="AO53" i="13"/>
  <c r="AP53" i="13" s="1"/>
  <c r="AS53" i="13" s="1"/>
  <c r="AU53" i="13" s="1"/>
  <c r="M474" i="1" s="1"/>
  <c r="D18" i="14"/>
  <c r="D31" i="14"/>
  <c r="AT31" i="14"/>
  <c r="AT39" i="14"/>
  <c r="F7" i="16"/>
  <c r="AT35" i="16"/>
  <c r="AX35" i="16" s="1"/>
  <c r="AZ35" i="16" s="1"/>
  <c r="M600" i="1" s="1"/>
  <c r="AT37" i="17"/>
  <c r="AX37" i="17" s="1"/>
  <c r="AZ37" i="17" s="1"/>
  <c r="M650" i="1" s="1"/>
  <c r="E13" i="22"/>
  <c r="F22" i="1" s="1"/>
  <c r="B24" i="22"/>
  <c r="F24" i="1" s="1"/>
  <c r="D46" i="22"/>
  <c r="F36" i="1" s="1"/>
  <c r="T76" i="9"/>
  <c r="S9" i="11"/>
  <c r="BO9" i="11" s="1"/>
  <c r="BS9" i="11" s="1"/>
  <c r="F227" i="1" s="1"/>
  <c r="S13" i="11"/>
  <c r="BO13" i="11" s="1"/>
  <c r="BS13" i="11" s="1"/>
  <c r="F239" i="1" s="1"/>
  <c r="S17" i="11"/>
  <c r="BO17" i="11" s="1"/>
  <c r="BS17" i="11" s="1"/>
  <c r="F251" i="1" s="1"/>
  <c r="S21" i="11"/>
  <c r="BO21" i="11" s="1"/>
  <c r="BS21" i="11" s="1"/>
  <c r="F263" i="1" s="1"/>
  <c r="S25" i="11"/>
  <c r="BO25" i="11" s="1"/>
  <c r="BS25" i="11" s="1"/>
  <c r="F275" i="1" s="1"/>
  <c r="S29" i="11"/>
  <c r="V29" i="11" s="1"/>
  <c r="S33" i="11"/>
  <c r="V33" i="11" s="1"/>
  <c r="S37" i="11"/>
  <c r="V37" i="11" s="1"/>
  <c r="S41" i="11"/>
  <c r="BO41" i="11" s="1"/>
  <c r="BS41" i="11" s="1"/>
  <c r="F323" i="1" s="1"/>
  <c r="S45" i="11"/>
  <c r="BO45" i="11" s="1"/>
  <c r="S60" i="11"/>
  <c r="V60" i="11" s="1"/>
  <c r="S79" i="11"/>
  <c r="BO79" i="11" s="1"/>
  <c r="BS79" i="11" s="1"/>
  <c r="S87" i="11"/>
  <c r="V87" i="11" s="1"/>
  <c r="S97" i="11"/>
  <c r="F8" i="16"/>
  <c r="F9" i="16"/>
  <c r="F13" i="22"/>
  <c r="F23" i="1" s="1"/>
  <c r="C24" i="22"/>
  <c r="F25" i="1" s="1"/>
  <c r="E46" i="22"/>
  <c r="F37" i="1" s="1"/>
  <c r="X84" i="9"/>
  <c r="S63" i="11"/>
  <c r="V63" i="11" s="1"/>
  <c r="BL91" i="11"/>
  <c r="CF91" i="11" s="1"/>
  <c r="CH91" i="11" s="1"/>
  <c r="S94" i="11"/>
  <c r="BO94" i="11" s="1"/>
  <c r="S95" i="11"/>
  <c r="BO95" i="11" s="1"/>
  <c r="BS95" i="11" s="1"/>
  <c r="AO42" i="13"/>
  <c r="AP42" i="13" s="1"/>
  <c r="AS42" i="13" s="1"/>
  <c r="AU42" i="13" s="1"/>
  <c r="M463" i="1" s="1"/>
  <c r="AT9" i="14"/>
  <c r="AX9" i="14" s="1"/>
  <c r="AZ9" i="14" s="1"/>
  <c r="M478" i="1" s="1"/>
  <c r="D46" i="15"/>
  <c r="AT29" i="16"/>
  <c r="AX29" i="16" s="1"/>
  <c r="AZ29" i="16" s="1"/>
  <c r="M594" i="1" s="1"/>
  <c r="D52" i="16"/>
  <c r="AP10" i="19"/>
  <c r="F8" i="21"/>
  <c r="AG8" i="21" s="1"/>
  <c r="AH8" i="21" s="1"/>
  <c r="E24" i="22"/>
  <c r="F27" i="1" s="1"/>
  <c r="B35" i="22"/>
  <c r="F29" i="1" s="1"/>
  <c r="X75" i="9"/>
  <c r="X78" i="9"/>
  <c r="AY9" i="11"/>
  <c r="BX9" i="11" s="1"/>
  <c r="BZ9" i="11" s="1"/>
  <c r="M228" i="1" s="1"/>
  <c r="AY13" i="11"/>
  <c r="BX13" i="11" s="1"/>
  <c r="BZ13" i="11" s="1"/>
  <c r="M240" i="1" s="1"/>
  <c r="AY17" i="11"/>
  <c r="BX17" i="11" s="1"/>
  <c r="BZ17" i="11" s="1"/>
  <c r="M252" i="1" s="1"/>
  <c r="AY21" i="11"/>
  <c r="BX21" i="11" s="1"/>
  <c r="BZ21" i="11" s="1"/>
  <c r="M264" i="1" s="1"/>
  <c r="AY25" i="11"/>
  <c r="BX25" i="11" s="1"/>
  <c r="BZ25" i="11" s="1"/>
  <c r="M276" i="1" s="1"/>
  <c r="AY29" i="11"/>
  <c r="BX29" i="11" s="1"/>
  <c r="BZ29" i="11" s="1"/>
  <c r="M288" i="1" s="1"/>
  <c r="AY33" i="11"/>
  <c r="BX33" i="11" s="1"/>
  <c r="BZ33" i="11" s="1"/>
  <c r="M300" i="1" s="1"/>
  <c r="AY37" i="11"/>
  <c r="BX37" i="11" s="1"/>
  <c r="BZ37" i="11" s="1"/>
  <c r="M312" i="1" s="1"/>
  <c r="AY41" i="11"/>
  <c r="BX41" i="11" s="1"/>
  <c r="BZ41" i="11" s="1"/>
  <c r="M324" i="1" s="1"/>
  <c r="S53" i="11"/>
  <c r="S67" i="11"/>
  <c r="V67" i="11" s="1"/>
  <c r="S71" i="11"/>
  <c r="V71" i="11" s="1"/>
  <c r="S75" i="11"/>
  <c r="V75" i="11" s="1"/>
  <c r="S78" i="11"/>
  <c r="V78" i="11" s="1"/>
  <c r="S86" i="11"/>
  <c r="BO86" i="11" s="1"/>
  <c r="D10" i="14"/>
  <c r="F17" i="15"/>
  <c r="F19" i="15"/>
  <c r="D40" i="15"/>
  <c r="D43" i="15"/>
  <c r="D34" i="19"/>
  <c r="V34" i="19" s="1"/>
  <c r="W34" i="19" s="1"/>
  <c r="F24" i="22"/>
  <c r="F28" i="1" s="1"/>
  <c r="C35" i="22"/>
  <c r="F30" i="1" s="1"/>
  <c r="X87" i="9"/>
  <c r="S7" i="11"/>
  <c r="BO7" i="11" s="1"/>
  <c r="BS7" i="11" s="1"/>
  <c r="F221" i="1" s="1"/>
  <c r="S11" i="11"/>
  <c r="V11" i="11" s="1"/>
  <c r="S15" i="11"/>
  <c r="BO15" i="11" s="1"/>
  <c r="BS15" i="11" s="1"/>
  <c r="F245" i="1" s="1"/>
  <c r="S19" i="11"/>
  <c r="BO19" i="11" s="1"/>
  <c r="BS19" i="11" s="1"/>
  <c r="F257" i="1" s="1"/>
  <c r="S23" i="11"/>
  <c r="BO23" i="11" s="1"/>
  <c r="BS23" i="11" s="1"/>
  <c r="F269" i="1" s="1"/>
  <c r="S27" i="11"/>
  <c r="BO27" i="11" s="1"/>
  <c r="BS27" i="11" s="1"/>
  <c r="F281" i="1" s="1"/>
  <c r="S31" i="11"/>
  <c r="V31" i="11" s="1"/>
  <c r="S35" i="11"/>
  <c r="V35" i="11" s="1"/>
  <c r="S39" i="11"/>
  <c r="BO39" i="11" s="1"/>
  <c r="BS39" i="11" s="1"/>
  <c r="F317" i="1" s="1"/>
  <c r="S43" i="11"/>
  <c r="V43" i="11" s="1"/>
  <c r="S47" i="11"/>
  <c r="BO47" i="11" s="1"/>
  <c r="BS47" i="11" s="1"/>
  <c r="F341" i="1" s="1"/>
  <c r="S57" i="11"/>
  <c r="BO57" i="11" s="1"/>
  <c r="S62" i="11"/>
  <c r="BO62" i="11" s="1"/>
  <c r="S83" i="11"/>
  <c r="BO83" i="11" s="1"/>
  <c r="BS83" i="11" s="1"/>
  <c r="S101" i="11"/>
  <c r="BO101" i="11" s="1"/>
  <c r="BS101" i="11" s="1"/>
  <c r="F43" i="14"/>
  <c r="D46" i="14"/>
  <c r="F21" i="15"/>
  <c r="AT25" i="16"/>
  <c r="AU25" i="16" s="1"/>
  <c r="AT41" i="16"/>
  <c r="AX41" i="16" s="1"/>
  <c r="AZ41" i="16" s="1"/>
  <c r="M606" i="1" s="1"/>
  <c r="D50" i="16"/>
  <c r="D8" i="18"/>
  <c r="F9" i="21"/>
  <c r="AG9" i="21" s="1"/>
  <c r="AH9" i="21" s="1"/>
  <c r="B13" i="22"/>
  <c r="F19" i="1" s="1"/>
  <c r="D35" i="22"/>
  <c r="F31" i="1" s="1"/>
  <c r="C13" i="22"/>
  <c r="F20" i="1" s="1"/>
  <c r="E35" i="22"/>
  <c r="F32" i="1" s="1"/>
  <c r="B46" i="22"/>
  <c r="F34" i="1" s="1"/>
  <c r="C13" i="23"/>
  <c r="C16" i="23"/>
  <c r="AZ17" i="6"/>
  <c r="AZ18" i="6"/>
  <c r="BA23" i="6"/>
  <c r="BA24" i="6"/>
  <c r="AZ14" i="6"/>
  <c r="AZ23" i="6"/>
  <c r="AZ24" i="6"/>
  <c r="BA22" i="6"/>
  <c r="AZ9" i="6"/>
  <c r="BA19" i="6"/>
  <c r="BA20" i="6"/>
  <c r="BA21" i="6"/>
  <c r="AZ22" i="6"/>
  <c r="AZ12" i="6"/>
  <c r="AZ19" i="6"/>
  <c r="AZ20" i="6"/>
  <c r="AZ21" i="6"/>
  <c r="AZ25" i="6"/>
  <c r="BA25" i="6"/>
  <c r="BA26" i="6"/>
  <c r="AZ12" i="7"/>
  <c r="AZ16" i="7"/>
  <c r="AZ17" i="7"/>
  <c r="BA17" i="7"/>
  <c r="AZ18" i="7"/>
  <c r="AZ19" i="7"/>
  <c r="BA19" i="7"/>
  <c r="AZ20" i="7"/>
  <c r="AZ21" i="7"/>
  <c r="BA21" i="7"/>
  <c r="AZ22" i="7"/>
  <c r="AY23" i="7"/>
  <c r="AZ23" i="7"/>
  <c r="L28" i="2"/>
  <c r="L36" i="2"/>
  <c r="L26" i="2"/>
  <c r="AZ11" i="7"/>
  <c r="AZ15" i="7"/>
  <c r="AZ26" i="7"/>
  <c r="L44" i="2"/>
  <c r="D5" i="4"/>
  <c r="I5" i="4" s="1"/>
  <c r="D32" i="4"/>
  <c r="J32" i="4" s="1"/>
  <c r="M32" i="4" s="1"/>
  <c r="AZ25" i="7"/>
  <c r="D33" i="4"/>
  <c r="J33" i="4" s="1"/>
  <c r="M33" i="4" s="1"/>
  <c r="D6" i="4"/>
  <c r="I6" i="4" s="1"/>
  <c r="AZ10" i="7"/>
  <c r="BA12" i="7"/>
  <c r="AZ14" i="7"/>
  <c r="AZ24" i="7"/>
  <c r="AY25" i="7"/>
  <c r="AY22" i="7"/>
  <c r="L49" i="2"/>
  <c r="L41" i="2"/>
  <c r="L33" i="2"/>
  <c r="L25" i="2"/>
  <c r="L46" i="2"/>
  <c r="L38" i="2"/>
  <c r="L30" i="2"/>
  <c r="L43" i="2"/>
  <c r="L35" i="2"/>
  <c r="L27" i="2"/>
  <c r="L48" i="2"/>
  <c r="L40" i="2"/>
  <c r="L32" i="2"/>
  <c r="L24" i="2"/>
  <c r="L45" i="2"/>
  <c r="L37" i="2"/>
  <c r="L29" i="2"/>
  <c r="L21" i="2"/>
  <c r="L50" i="2"/>
  <c r="L42" i="2"/>
  <c r="L47" i="2"/>
  <c r="L39" i="2"/>
  <c r="L31" i="2"/>
  <c r="L23" i="2"/>
  <c r="L34" i="2"/>
  <c r="BA16" i="7"/>
  <c r="BA18" i="7"/>
  <c r="BA20" i="7"/>
  <c r="AZ27" i="7"/>
  <c r="O6" i="5"/>
  <c r="P6" i="5" s="1"/>
  <c r="C19" i="5"/>
  <c r="X17" i="9"/>
  <c r="X22" i="9"/>
  <c r="X38" i="9"/>
  <c r="V8" i="5"/>
  <c r="B10" i="5"/>
  <c r="T10" i="5"/>
  <c r="M14" i="5"/>
  <c r="M15" i="5"/>
  <c r="M16" i="5"/>
  <c r="M17" i="5"/>
  <c r="D19" i="5"/>
  <c r="AY9" i="7"/>
  <c r="AY11" i="7"/>
  <c r="AY13" i="7"/>
  <c r="AY15" i="7"/>
  <c r="AY17" i="7"/>
  <c r="AY19" i="7"/>
  <c r="AY21" i="7"/>
  <c r="M32" i="7"/>
  <c r="M33" i="7"/>
  <c r="M38" i="7"/>
  <c r="X23" i="9"/>
  <c r="T41" i="9"/>
  <c r="M7" i="5"/>
  <c r="C10" i="5"/>
  <c r="V10" i="5"/>
  <c r="O14" i="5"/>
  <c r="O15" i="5"/>
  <c r="O16" i="5"/>
  <c r="O17" i="5"/>
  <c r="E19" i="5"/>
  <c r="C10" i="7"/>
  <c r="C12" i="7"/>
  <c r="C14" i="7"/>
  <c r="C16" i="7"/>
  <c r="C18" i="7"/>
  <c r="C20" i="7"/>
  <c r="C22" i="7"/>
  <c r="M34" i="7"/>
  <c r="M36" i="7"/>
  <c r="T37" i="9"/>
  <c r="BA23" i="7"/>
  <c r="BA24" i="7"/>
  <c r="O9" i="5"/>
  <c r="E10" i="5"/>
  <c r="X25" i="9"/>
  <c r="X40" i="9"/>
  <c r="X44" i="9"/>
  <c r="X48" i="9"/>
  <c r="X55" i="9"/>
  <c r="T71" i="9"/>
  <c r="M8" i="5"/>
  <c r="F10" i="5"/>
  <c r="O18" i="5"/>
  <c r="AY26" i="7"/>
  <c r="BA26" i="7"/>
  <c r="X20" i="9"/>
  <c r="X30" i="9"/>
  <c r="X31" i="9"/>
  <c r="X36" i="9"/>
  <c r="X37" i="9"/>
  <c r="X45" i="9"/>
  <c r="X56" i="9"/>
  <c r="V7" i="5"/>
  <c r="M10" i="5"/>
  <c r="P10" i="5" s="1"/>
  <c r="BA27" i="7"/>
  <c r="X21" i="9"/>
  <c r="AI39" i="9"/>
  <c r="X46" i="9"/>
  <c r="X52" i="9"/>
  <c r="X59" i="9"/>
  <c r="X76" i="9"/>
  <c r="X35" i="9"/>
  <c r="X61" i="9"/>
  <c r="X73" i="9"/>
  <c r="X86" i="9"/>
  <c r="X69" i="9"/>
  <c r="X79" i="9"/>
  <c r="X26" i="9"/>
  <c r="T27" i="9"/>
  <c r="X39" i="9"/>
  <c r="X68" i="9"/>
  <c r="X82" i="9"/>
  <c r="T84" i="9"/>
  <c r="X89" i="9"/>
  <c r="P15" i="10"/>
  <c r="F216" i="1" s="1"/>
  <c r="T77" i="9"/>
  <c r="T79" i="9"/>
  <c r="X65" i="9"/>
  <c r="X72" i="9"/>
  <c r="P12" i="10"/>
  <c r="F213" i="1" s="1"/>
  <c r="X81" i="9"/>
  <c r="P8" i="10"/>
  <c r="F209" i="1" s="1"/>
  <c r="S90" i="11"/>
  <c r="AL45" i="11"/>
  <c r="BP45" i="11" s="1"/>
  <c r="BR45" i="11" s="1"/>
  <c r="M335" i="1" s="1"/>
  <c r="AL53" i="11"/>
  <c r="BP53" i="11" s="1"/>
  <c r="BR53" i="11" s="1"/>
  <c r="M359" i="1" s="1"/>
  <c r="AL61" i="11"/>
  <c r="BP61" i="11" s="1"/>
  <c r="BR61" i="11" s="1"/>
  <c r="AY63" i="11"/>
  <c r="BX63" i="11" s="1"/>
  <c r="BZ63" i="11" s="1"/>
  <c r="AL65" i="11"/>
  <c r="BP65" i="11" s="1"/>
  <c r="BR65" i="11" s="1"/>
  <c r="AL51" i="11"/>
  <c r="BP51" i="11" s="1"/>
  <c r="BR51" i="11" s="1"/>
  <c r="M353" i="1" s="1"/>
  <c r="AL59" i="11"/>
  <c r="BP59" i="11" s="1"/>
  <c r="BR59" i="11" s="1"/>
  <c r="M377" i="1" s="1"/>
  <c r="AY65" i="11"/>
  <c r="BX65" i="11" s="1"/>
  <c r="BZ65" i="11" s="1"/>
  <c r="S64" i="11"/>
  <c r="S92" i="11"/>
  <c r="AL49" i="11"/>
  <c r="BP49" i="11" s="1"/>
  <c r="BR49" i="11" s="1"/>
  <c r="M347" i="1" s="1"/>
  <c r="AL57" i="11"/>
  <c r="BP57" i="11" s="1"/>
  <c r="BR57" i="11" s="1"/>
  <c r="M371" i="1" s="1"/>
  <c r="AL64" i="11"/>
  <c r="BP64" i="11" s="1"/>
  <c r="BR64" i="11" s="1"/>
  <c r="AL44" i="11"/>
  <c r="BP44" i="11" s="1"/>
  <c r="BR44" i="11" s="1"/>
  <c r="M332" i="1" s="1"/>
  <c r="AL52" i="11"/>
  <c r="BP52" i="11" s="1"/>
  <c r="BR52" i="11" s="1"/>
  <c r="M356" i="1" s="1"/>
  <c r="AL60" i="11"/>
  <c r="BP60" i="11" s="1"/>
  <c r="BR60" i="11" s="1"/>
  <c r="S99" i="11"/>
  <c r="S103" i="11"/>
  <c r="BL92" i="11"/>
  <c r="CF92" i="11" s="1"/>
  <c r="CH92" i="11" s="1"/>
  <c r="BL94" i="11"/>
  <c r="CF94" i="11" s="1"/>
  <c r="CH94" i="11" s="1"/>
  <c r="AE10" i="12"/>
  <c r="AI27" i="12"/>
  <c r="AK27" i="12" s="1"/>
  <c r="M400" i="1" s="1"/>
  <c r="AF27" i="12"/>
  <c r="AF28" i="12"/>
  <c r="AI17" i="12"/>
  <c r="AK17" i="12" s="1"/>
  <c r="M390" i="1" s="1"/>
  <c r="AF17" i="12"/>
  <c r="AI29" i="12"/>
  <c r="AK29" i="12" s="1"/>
  <c r="M402" i="1" s="1"/>
  <c r="AF29" i="12"/>
  <c r="AF8" i="12"/>
  <c r="AI8" i="12"/>
  <c r="AK8" i="12" s="1"/>
  <c r="M381" i="1" s="1"/>
  <c r="AI11" i="12"/>
  <c r="AK11" i="12" s="1"/>
  <c r="M384" i="1" s="1"/>
  <c r="AF12" i="12"/>
  <c r="AI12" i="12"/>
  <c r="AK12" i="12" s="1"/>
  <c r="M385" i="1" s="1"/>
  <c r="AI19" i="12"/>
  <c r="AK19" i="12" s="1"/>
  <c r="M392" i="1" s="1"/>
  <c r="AF19" i="12"/>
  <c r="S98" i="11"/>
  <c r="S102" i="11"/>
  <c r="AI54" i="12"/>
  <c r="AK54" i="12" s="1"/>
  <c r="M427" i="1" s="1"/>
  <c r="AF21" i="12"/>
  <c r="D22" i="12"/>
  <c r="D24" i="12"/>
  <c r="D26" i="12"/>
  <c r="D28" i="12"/>
  <c r="D32" i="12"/>
  <c r="G32" i="12" s="1"/>
  <c r="T32" i="12" s="1"/>
  <c r="AH32" i="12" s="1"/>
  <c r="F34" i="12"/>
  <c r="F36" i="12"/>
  <c r="G36" i="12" s="1"/>
  <c r="T36" i="12" s="1"/>
  <c r="AH36" i="12" s="1"/>
  <c r="F50" i="13"/>
  <c r="F49" i="13"/>
  <c r="G49" i="13" s="1"/>
  <c r="F41" i="13"/>
  <c r="F33" i="13"/>
  <c r="F25" i="13"/>
  <c r="F17" i="13"/>
  <c r="F9" i="13"/>
  <c r="F47" i="13"/>
  <c r="F39" i="13"/>
  <c r="F31" i="13"/>
  <c r="F23" i="13"/>
  <c r="F54" i="13"/>
  <c r="F46" i="13"/>
  <c r="F38" i="13"/>
  <c r="F30" i="13"/>
  <c r="F22" i="13"/>
  <c r="F53" i="13"/>
  <c r="F45" i="13"/>
  <c r="F37" i="13"/>
  <c r="F29" i="13"/>
  <c r="F21" i="13"/>
  <c r="F52" i="13"/>
  <c r="F44" i="13"/>
  <c r="F36" i="13"/>
  <c r="F28" i="13"/>
  <c r="F20" i="13"/>
  <c r="F12" i="13"/>
  <c r="F51" i="13"/>
  <c r="F43" i="13"/>
  <c r="F35" i="13"/>
  <c r="F8" i="13"/>
  <c r="F11" i="13"/>
  <c r="F13" i="13"/>
  <c r="F19" i="13"/>
  <c r="D33" i="13"/>
  <c r="F34" i="13"/>
  <c r="D35" i="13"/>
  <c r="F40" i="13"/>
  <c r="F8" i="12"/>
  <c r="F10" i="12"/>
  <c r="F12" i="12"/>
  <c r="F14" i="12"/>
  <c r="F16" i="12"/>
  <c r="F18" i="12"/>
  <c r="F20" i="12"/>
  <c r="F22" i="12"/>
  <c r="F24" i="12"/>
  <c r="F26" i="12"/>
  <c r="F28" i="12"/>
  <c r="F30" i="12"/>
  <c r="F27" i="13"/>
  <c r="G27" i="13" s="1"/>
  <c r="F32" i="13"/>
  <c r="F48" i="13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F7" i="13"/>
  <c r="F10" i="13"/>
  <c r="F16" i="13"/>
  <c r="AO19" i="13"/>
  <c r="AP19" i="13" s="1"/>
  <c r="AS19" i="13" s="1"/>
  <c r="AU19" i="13" s="1"/>
  <c r="M440" i="1" s="1"/>
  <c r="R43" i="13"/>
  <c r="S43" i="13" s="1"/>
  <c r="F54" i="12"/>
  <c r="F52" i="12"/>
  <c r="F50" i="12"/>
  <c r="F48" i="12"/>
  <c r="F46" i="12"/>
  <c r="F44" i="12"/>
  <c r="F42" i="12"/>
  <c r="F40" i="12"/>
  <c r="F38" i="12"/>
  <c r="D35" i="12"/>
  <c r="F37" i="12"/>
  <c r="AE37" i="12"/>
  <c r="F39" i="12"/>
  <c r="AE39" i="12"/>
  <c r="F41" i="12"/>
  <c r="AE41" i="12"/>
  <c r="F43" i="12"/>
  <c r="AE43" i="12"/>
  <c r="F45" i="12"/>
  <c r="AE45" i="12"/>
  <c r="F47" i="12"/>
  <c r="AE47" i="12"/>
  <c r="F49" i="12"/>
  <c r="AE49" i="12"/>
  <c r="F51" i="12"/>
  <c r="AE51" i="12"/>
  <c r="F53" i="12"/>
  <c r="AE53" i="12"/>
  <c r="AO11" i="13"/>
  <c r="AP11" i="13" s="1"/>
  <c r="AS11" i="13" s="1"/>
  <c r="AU11" i="13" s="1"/>
  <c r="M432" i="1" s="1"/>
  <c r="AO27" i="13"/>
  <c r="AP27" i="13" s="1"/>
  <c r="AS27" i="13" s="1"/>
  <c r="AU27" i="13" s="1"/>
  <c r="M448" i="1" s="1"/>
  <c r="AO40" i="13"/>
  <c r="AP40" i="13" s="1"/>
  <c r="AS40" i="13" s="1"/>
  <c r="AU40" i="13" s="1"/>
  <c r="M461" i="1" s="1"/>
  <c r="AO48" i="13"/>
  <c r="AP48" i="13" s="1"/>
  <c r="AS48" i="13" s="1"/>
  <c r="AU48" i="13" s="1"/>
  <c r="M469" i="1" s="1"/>
  <c r="G13" i="14"/>
  <c r="F35" i="12"/>
  <c r="R11" i="13"/>
  <c r="S11" i="13" s="1"/>
  <c r="R19" i="13"/>
  <c r="S19" i="13" s="1"/>
  <c r="R30" i="13"/>
  <c r="S30" i="13" s="1"/>
  <c r="R35" i="13"/>
  <c r="S35" i="13" s="1"/>
  <c r="F7" i="12"/>
  <c r="F9" i="12"/>
  <c r="F11" i="12"/>
  <c r="F13" i="12"/>
  <c r="F15" i="12"/>
  <c r="F17" i="12"/>
  <c r="F19" i="12"/>
  <c r="F21" i="12"/>
  <c r="F23" i="12"/>
  <c r="G23" i="12" s="1"/>
  <c r="T23" i="12" s="1"/>
  <c r="AH23" i="12" s="1"/>
  <c r="F25" i="12"/>
  <c r="F27" i="12"/>
  <c r="F29" i="12"/>
  <c r="F31" i="12"/>
  <c r="F33" i="12"/>
  <c r="AO8" i="13"/>
  <c r="AP8" i="13" s="1"/>
  <c r="AS8" i="13" s="1"/>
  <c r="AU8" i="13" s="1"/>
  <c r="M429" i="1" s="1"/>
  <c r="F24" i="13"/>
  <c r="R27" i="13"/>
  <c r="S27" i="13" s="1"/>
  <c r="D51" i="13"/>
  <c r="D50" i="13"/>
  <c r="D42" i="13"/>
  <c r="D34" i="13"/>
  <c r="D48" i="13"/>
  <c r="D40" i="13"/>
  <c r="D32" i="13"/>
  <c r="D47" i="13"/>
  <c r="D39" i="13"/>
  <c r="D31" i="13"/>
  <c r="D54" i="13"/>
  <c r="D46" i="13"/>
  <c r="D38" i="13"/>
  <c r="D53" i="13"/>
  <c r="D45" i="13"/>
  <c r="D37" i="13"/>
  <c r="D52" i="13"/>
  <c r="D44" i="13"/>
  <c r="D36" i="13"/>
  <c r="R22" i="13"/>
  <c r="S22" i="13" s="1"/>
  <c r="F26" i="13"/>
  <c r="D41" i="13"/>
  <c r="F42" i="13"/>
  <c r="D43" i="13"/>
  <c r="R45" i="13"/>
  <c r="S45" i="13" s="1"/>
  <c r="R14" i="13"/>
  <c r="S14" i="13" s="1"/>
  <c r="R37" i="13"/>
  <c r="S37" i="13" s="1"/>
  <c r="R21" i="14"/>
  <c r="S21" i="14" s="1"/>
  <c r="R34" i="14"/>
  <c r="S34" i="14" s="1"/>
  <c r="AU21" i="15"/>
  <c r="AX21" i="15"/>
  <c r="AZ21" i="15" s="1"/>
  <c r="M538" i="1" s="1"/>
  <c r="D13" i="13"/>
  <c r="D21" i="13"/>
  <c r="D29" i="13"/>
  <c r="R51" i="13"/>
  <c r="S51" i="13" s="1"/>
  <c r="D51" i="14"/>
  <c r="D43" i="14"/>
  <c r="D35" i="14"/>
  <c r="D49" i="14"/>
  <c r="D41" i="14"/>
  <c r="D33" i="14"/>
  <c r="D52" i="14"/>
  <c r="D44" i="14"/>
  <c r="D36" i="14"/>
  <c r="D53" i="14"/>
  <c r="D45" i="14"/>
  <c r="D37" i="14"/>
  <c r="D40" i="14"/>
  <c r="D38" i="14"/>
  <c r="D50" i="14"/>
  <c r="D47" i="14"/>
  <c r="D42" i="14"/>
  <c r="D39" i="14"/>
  <c r="R8" i="14"/>
  <c r="S8" i="14" s="1"/>
  <c r="D11" i="14"/>
  <c r="F45" i="14"/>
  <c r="F51" i="14"/>
  <c r="R11" i="15"/>
  <c r="S11" i="15" s="1"/>
  <c r="R17" i="15"/>
  <c r="S17" i="15" s="1"/>
  <c r="D24" i="14"/>
  <c r="D16" i="14"/>
  <c r="D8" i="14"/>
  <c r="D22" i="14"/>
  <c r="D14" i="14"/>
  <c r="D30" i="14"/>
  <c r="D29" i="14"/>
  <c r="D25" i="14"/>
  <c r="D17" i="14"/>
  <c r="D9" i="14"/>
  <c r="D28" i="14"/>
  <c r="D20" i="14"/>
  <c r="D12" i="14"/>
  <c r="D23" i="14"/>
  <c r="D15" i="14"/>
  <c r="F9" i="14"/>
  <c r="AU16" i="14"/>
  <c r="D26" i="14"/>
  <c r="R13" i="15"/>
  <c r="S13" i="15" s="1"/>
  <c r="F54" i="14"/>
  <c r="F46" i="14"/>
  <c r="F38" i="14"/>
  <c r="F30" i="14"/>
  <c r="F52" i="14"/>
  <c r="F44" i="14"/>
  <c r="F36" i="14"/>
  <c r="F47" i="14"/>
  <c r="F39" i="14"/>
  <c r="F31" i="14"/>
  <c r="F53" i="14"/>
  <c r="F48" i="14"/>
  <c r="G48" i="14" s="1"/>
  <c r="F40" i="14"/>
  <c r="F32" i="14"/>
  <c r="F49" i="14"/>
  <c r="F27" i="14"/>
  <c r="F19" i="14"/>
  <c r="F11" i="14"/>
  <c r="F35" i="14"/>
  <c r="F33" i="14"/>
  <c r="F29" i="14"/>
  <c r="F25" i="14"/>
  <c r="F17" i="14"/>
  <c r="F50" i="14"/>
  <c r="F28" i="14"/>
  <c r="F20" i="14"/>
  <c r="F12" i="14"/>
  <c r="F42" i="14"/>
  <c r="F23" i="14"/>
  <c r="F15" i="14"/>
  <c r="F34" i="14"/>
  <c r="F26" i="14"/>
  <c r="F18" i="14"/>
  <c r="F10" i="14"/>
  <c r="AX11" i="14"/>
  <c r="AZ11" i="14" s="1"/>
  <c r="M480" i="1" s="1"/>
  <c r="AU11" i="14"/>
  <c r="R12" i="14"/>
  <c r="S12" i="14" s="1"/>
  <c r="D19" i="14"/>
  <c r="D21" i="14"/>
  <c r="F24" i="14"/>
  <c r="AU32" i="14"/>
  <c r="AX32" i="14"/>
  <c r="AZ32" i="14" s="1"/>
  <c r="M501" i="1" s="1"/>
  <c r="AU34" i="14"/>
  <c r="AX34" i="14"/>
  <c r="AZ34" i="14" s="1"/>
  <c r="M503" i="1" s="1"/>
  <c r="AX7" i="15"/>
  <c r="AZ7" i="15" s="1"/>
  <c r="M524" i="1" s="1"/>
  <c r="F14" i="14"/>
  <c r="AT17" i="14"/>
  <c r="F21" i="14"/>
  <c r="D27" i="14"/>
  <c r="AX36" i="14"/>
  <c r="AZ36" i="14" s="1"/>
  <c r="M505" i="1" s="1"/>
  <c r="AU36" i="14"/>
  <c r="AU11" i="15"/>
  <c r="AX11" i="15"/>
  <c r="AZ11" i="15" s="1"/>
  <c r="M528" i="1" s="1"/>
  <c r="R20" i="14"/>
  <c r="S20" i="14" s="1"/>
  <c r="D10" i="13"/>
  <c r="D18" i="13"/>
  <c r="F7" i="14"/>
  <c r="R13" i="14"/>
  <c r="S13" i="14" s="1"/>
  <c r="F22" i="14"/>
  <c r="AT25" i="14"/>
  <c r="AX27" i="14"/>
  <c r="AZ27" i="14" s="1"/>
  <c r="M496" i="1" s="1"/>
  <c r="AU27" i="14"/>
  <c r="R28" i="14"/>
  <c r="S28" i="14" s="1"/>
  <c r="AT28" i="14"/>
  <c r="AT37" i="14"/>
  <c r="F41" i="14"/>
  <c r="R50" i="14"/>
  <c r="S50" i="14" s="1"/>
  <c r="AX22" i="14"/>
  <c r="AZ22" i="14" s="1"/>
  <c r="M491" i="1" s="1"/>
  <c r="R33" i="14"/>
  <c r="S33" i="14" s="1"/>
  <c r="R41" i="14"/>
  <c r="S41" i="14" s="1"/>
  <c r="R9" i="15"/>
  <c r="S9" i="15" s="1"/>
  <c r="R25" i="15"/>
  <c r="S25" i="15" s="1"/>
  <c r="AU26" i="15"/>
  <c r="R49" i="14"/>
  <c r="S49" i="14" s="1"/>
  <c r="R7" i="15"/>
  <c r="S7" i="15" s="1"/>
  <c r="AX19" i="15"/>
  <c r="AZ19" i="15" s="1"/>
  <c r="M536" i="1" s="1"/>
  <c r="R23" i="15"/>
  <c r="S23" i="15" s="1"/>
  <c r="AT30" i="14"/>
  <c r="R21" i="15"/>
  <c r="S21" i="15" s="1"/>
  <c r="AU24" i="15"/>
  <c r="R32" i="14"/>
  <c r="S32" i="14" s="1"/>
  <c r="AT38" i="14"/>
  <c r="AT53" i="14"/>
  <c r="F53" i="15"/>
  <c r="F51" i="15"/>
  <c r="F49" i="15"/>
  <c r="F47" i="15"/>
  <c r="F45" i="15"/>
  <c r="F43" i="15"/>
  <c r="F41" i="15"/>
  <c r="F39" i="15"/>
  <c r="F37" i="15"/>
  <c r="F54" i="15"/>
  <c r="F52" i="15"/>
  <c r="F50" i="15"/>
  <c r="F48" i="15"/>
  <c r="F46" i="15"/>
  <c r="F44" i="15"/>
  <c r="F42" i="15"/>
  <c r="F40" i="15"/>
  <c r="F38" i="15"/>
  <c r="G38" i="15" s="1"/>
  <c r="F35" i="15"/>
  <c r="F33" i="15"/>
  <c r="F31" i="15"/>
  <c r="F29" i="15"/>
  <c r="G29" i="15" s="1"/>
  <c r="F27" i="15"/>
  <c r="F36" i="15"/>
  <c r="F34" i="15"/>
  <c r="F32" i="15"/>
  <c r="F30" i="15"/>
  <c r="F28" i="15"/>
  <c r="F26" i="15"/>
  <c r="F24" i="15"/>
  <c r="F22" i="15"/>
  <c r="F20" i="15"/>
  <c r="F18" i="15"/>
  <c r="F16" i="15"/>
  <c r="F14" i="15"/>
  <c r="F12" i="15"/>
  <c r="F10" i="15"/>
  <c r="F8" i="15"/>
  <c r="F11" i="15"/>
  <c r="AT18" i="15"/>
  <c r="R19" i="15"/>
  <c r="S19" i="15" s="1"/>
  <c r="R30" i="16"/>
  <c r="S30" i="16" s="1"/>
  <c r="AX41" i="15"/>
  <c r="AZ41" i="15" s="1"/>
  <c r="M558" i="1" s="1"/>
  <c r="R42" i="14"/>
  <c r="S42" i="14" s="1"/>
  <c r="AT14" i="15"/>
  <c r="R15" i="15"/>
  <c r="S15" i="15" s="1"/>
  <c r="F23" i="15"/>
  <c r="AX40" i="15"/>
  <c r="AZ40" i="15" s="1"/>
  <c r="M557" i="1" s="1"/>
  <c r="R43" i="15"/>
  <c r="S43" i="15" s="1"/>
  <c r="R8" i="16"/>
  <c r="S8" i="16" s="1"/>
  <c r="D53" i="15"/>
  <c r="D51" i="15"/>
  <c r="D49" i="15"/>
  <c r="D47" i="15"/>
  <c r="D8" i="15"/>
  <c r="D10" i="15"/>
  <c r="D12" i="15"/>
  <c r="D14" i="15"/>
  <c r="D16" i="15"/>
  <c r="D18" i="15"/>
  <c r="D20" i="15"/>
  <c r="D22" i="15"/>
  <c r="D24" i="15"/>
  <c r="D26" i="15"/>
  <c r="D28" i="15"/>
  <c r="D30" i="15"/>
  <c r="D32" i="15"/>
  <c r="D34" i="15"/>
  <c r="D36" i="15"/>
  <c r="D41" i="15"/>
  <c r="R41" i="15"/>
  <c r="S41" i="15" s="1"/>
  <c r="D52" i="15"/>
  <c r="R16" i="16"/>
  <c r="S16" i="16" s="1"/>
  <c r="R32" i="16"/>
  <c r="S32" i="16" s="1"/>
  <c r="R40" i="17"/>
  <c r="S40" i="17" s="1"/>
  <c r="D42" i="15"/>
  <c r="R18" i="16"/>
  <c r="S18" i="16" s="1"/>
  <c r="R34" i="16"/>
  <c r="S34" i="16" s="1"/>
  <c r="R10" i="16"/>
  <c r="S10" i="16" s="1"/>
  <c r="R20" i="16"/>
  <c r="S20" i="16" s="1"/>
  <c r="R36" i="16"/>
  <c r="S36" i="16" s="1"/>
  <c r="AX23" i="17"/>
  <c r="AZ23" i="17" s="1"/>
  <c r="M636" i="1" s="1"/>
  <c r="AU23" i="17"/>
  <c r="R25" i="17"/>
  <c r="S25" i="17" s="1"/>
  <c r="AX25" i="17"/>
  <c r="AZ25" i="17" s="1"/>
  <c r="M638" i="1" s="1"/>
  <c r="AU25" i="17"/>
  <c r="R38" i="17"/>
  <c r="S38" i="17" s="1"/>
  <c r="R46" i="17"/>
  <c r="S46" i="17" s="1"/>
  <c r="D44" i="15"/>
  <c r="D50" i="15"/>
  <c r="D54" i="15"/>
  <c r="R22" i="16"/>
  <c r="S22" i="16" s="1"/>
  <c r="R38" i="16"/>
  <c r="S38" i="16" s="1"/>
  <c r="D7" i="15"/>
  <c r="D9" i="15"/>
  <c r="D11" i="15"/>
  <c r="D13" i="15"/>
  <c r="G13" i="15" s="1"/>
  <c r="D15" i="15"/>
  <c r="D17" i="15"/>
  <c r="D19" i="15"/>
  <c r="D21" i="15"/>
  <c r="D23" i="15"/>
  <c r="D25" i="15"/>
  <c r="D27" i="15"/>
  <c r="D31" i="15"/>
  <c r="D33" i="15"/>
  <c r="D35" i="15"/>
  <c r="D37" i="15"/>
  <c r="D45" i="15"/>
  <c r="R12" i="16"/>
  <c r="S12" i="16" s="1"/>
  <c r="AX18" i="16"/>
  <c r="AZ18" i="16" s="1"/>
  <c r="M583" i="1" s="1"/>
  <c r="AU18" i="16"/>
  <c r="AU19" i="16"/>
  <c r="R24" i="16"/>
  <c r="S24" i="16" s="1"/>
  <c r="AX34" i="16"/>
  <c r="AZ34" i="16" s="1"/>
  <c r="M599" i="1" s="1"/>
  <c r="AU34" i="16"/>
  <c r="R40" i="16"/>
  <c r="S40" i="16" s="1"/>
  <c r="R36" i="17"/>
  <c r="S36" i="17" s="1"/>
  <c r="R44" i="17"/>
  <c r="S44" i="17" s="1"/>
  <c r="AX51" i="15"/>
  <c r="AZ51" i="15" s="1"/>
  <c r="M568" i="1" s="1"/>
  <c r="AU51" i="15"/>
  <c r="R26" i="16"/>
  <c r="S26" i="16" s="1"/>
  <c r="R42" i="16"/>
  <c r="S42" i="16" s="1"/>
  <c r="R13" i="17"/>
  <c r="S13" i="17" s="1"/>
  <c r="AX13" i="17"/>
  <c r="AZ13" i="17" s="1"/>
  <c r="M626" i="1" s="1"/>
  <c r="D39" i="15"/>
  <c r="D48" i="15"/>
  <c r="R14" i="16"/>
  <c r="S14" i="16" s="1"/>
  <c r="R28" i="16"/>
  <c r="S28" i="16" s="1"/>
  <c r="AX43" i="16"/>
  <c r="AZ43" i="16" s="1"/>
  <c r="M608" i="1" s="1"/>
  <c r="AX15" i="17"/>
  <c r="AZ15" i="17" s="1"/>
  <c r="M628" i="1" s="1"/>
  <c r="AU15" i="17"/>
  <c r="R42" i="17"/>
  <c r="S42" i="17" s="1"/>
  <c r="F53" i="17"/>
  <c r="F51" i="17"/>
  <c r="F49" i="17"/>
  <c r="F47" i="17"/>
  <c r="F45" i="17"/>
  <c r="F43" i="17"/>
  <c r="F41" i="17"/>
  <c r="F39" i="17"/>
  <c r="F37" i="17"/>
  <c r="F35" i="17"/>
  <c r="F33" i="17"/>
  <c r="F54" i="17"/>
  <c r="F52" i="17"/>
  <c r="F50" i="17"/>
  <c r="F48" i="17"/>
  <c r="F46" i="17"/>
  <c r="F44" i="17"/>
  <c r="F42" i="17"/>
  <c r="F40" i="17"/>
  <c r="F38" i="17"/>
  <c r="F36" i="17"/>
  <c r="F34" i="17"/>
  <c r="F8" i="17"/>
  <c r="F29" i="17"/>
  <c r="F27" i="17"/>
  <c r="F25" i="17"/>
  <c r="F23" i="17"/>
  <c r="F21" i="17"/>
  <c r="F19" i="17"/>
  <c r="F17" i="17"/>
  <c r="F15" i="17"/>
  <c r="F13" i="17"/>
  <c r="F11" i="17"/>
  <c r="F31" i="17"/>
  <c r="F30" i="17"/>
  <c r="F28" i="17"/>
  <c r="F26" i="17"/>
  <c r="F24" i="17"/>
  <c r="F22" i="17"/>
  <c r="F20" i="17"/>
  <c r="F18" i="17"/>
  <c r="F16" i="17"/>
  <c r="F14" i="17"/>
  <c r="G14" i="17" s="1"/>
  <c r="F12" i="17"/>
  <c r="F7" i="17"/>
  <c r="D8" i="16"/>
  <c r="D10" i="16"/>
  <c r="D12" i="16"/>
  <c r="D14" i="16"/>
  <c r="D16" i="16"/>
  <c r="D18" i="16"/>
  <c r="D20" i="16"/>
  <c r="D22" i="16"/>
  <c r="D24" i="16"/>
  <c r="D26" i="16"/>
  <c r="D28" i="16"/>
  <c r="D30" i="16"/>
  <c r="D32" i="16"/>
  <c r="D34" i="16"/>
  <c r="D36" i="16"/>
  <c r="D38" i="16"/>
  <c r="D40" i="16"/>
  <c r="D42" i="16"/>
  <c r="D45" i="16"/>
  <c r="G45" i="16" s="1"/>
  <c r="AT8" i="17"/>
  <c r="F10" i="17"/>
  <c r="R52" i="17"/>
  <c r="S52" i="17" s="1"/>
  <c r="F12" i="16"/>
  <c r="F14" i="16"/>
  <c r="F16" i="16"/>
  <c r="F18" i="16"/>
  <c r="F20" i="16"/>
  <c r="F22" i="16"/>
  <c r="F24" i="16"/>
  <c r="F26" i="16"/>
  <c r="F28" i="16"/>
  <c r="F30" i="16"/>
  <c r="F32" i="16"/>
  <c r="F34" i="16"/>
  <c r="F36" i="16"/>
  <c r="F38" i="16"/>
  <c r="F40" i="16"/>
  <c r="F42" i="16"/>
  <c r="D47" i="16"/>
  <c r="D49" i="16"/>
  <c r="D51" i="16"/>
  <c r="D53" i="16"/>
  <c r="R9" i="17"/>
  <c r="S9" i="17" s="1"/>
  <c r="F54" i="16"/>
  <c r="F52" i="16"/>
  <c r="F50" i="16"/>
  <c r="F48" i="16"/>
  <c r="F46" i="16"/>
  <c r="F44" i="16"/>
  <c r="R43" i="16"/>
  <c r="S43" i="16" s="1"/>
  <c r="F47" i="16"/>
  <c r="F49" i="16"/>
  <c r="F51" i="16"/>
  <c r="F53" i="16"/>
  <c r="D44" i="16"/>
  <c r="AT44" i="16"/>
  <c r="AT54" i="16"/>
  <c r="AT9" i="17"/>
  <c r="D7" i="16"/>
  <c r="D9" i="16"/>
  <c r="D11" i="16"/>
  <c r="G11" i="16" s="1"/>
  <c r="AG11" i="16" s="1"/>
  <c r="AW11" i="16" s="1"/>
  <c r="D13" i="16"/>
  <c r="D15" i="16"/>
  <c r="D17" i="16"/>
  <c r="D19" i="16"/>
  <c r="D21" i="16"/>
  <c r="D23" i="16"/>
  <c r="D25" i="16"/>
  <c r="D27" i="16"/>
  <c r="D31" i="16"/>
  <c r="D33" i="16"/>
  <c r="D35" i="16"/>
  <c r="D37" i="16"/>
  <c r="D39" i="16"/>
  <c r="D41" i="16"/>
  <c r="AX45" i="16"/>
  <c r="AZ45" i="16" s="1"/>
  <c r="M610" i="1" s="1"/>
  <c r="AX53" i="16"/>
  <c r="AZ53" i="16" s="1"/>
  <c r="M618" i="1" s="1"/>
  <c r="F17" i="16"/>
  <c r="F19" i="16"/>
  <c r="F21" i="16"/>
  <c r="F23" i="16"/>
  <c r="F25" i="16"/>
  <c r="F27" i="16"/>
  <c r="F29" i="16"/>
  <c r="G29" i="16" s="1"/>
  <c r="AG29" i="16" s="1"/>
  <c r="AW29" i="16" s="1"/>
  <c r="F31" i="16"/>
  <c r="F33" i="16"/>
  <c r="F35" i="16"/>
  <c r="F37" i="16"/>
  <c r="F39" i="16"/>
  <c r="F41" i="16"/>
  <c r="F43" i="16"/>
  <c r="G43" i="16" s="1"/>
  <c r="R45" i="16"/>
  <c r="S45" i="16" s="1"/>
  <c r="AT46" i="16"/>
  <c r="AT48" i="16"/>
  <c r="AT50" i="16"/>
  <c r="AT52" i="16"/>
  <c r="R47" i="16"/>
  <c r="S47" i="16" s="1"/>
  <c r="R49" i="16"/>
  <c r="S49" i="16" s="1"/>
  <c r="R51" i="16"/>
  <c r="S51" i="16" s="1"/>
  <c r="R53" i="16"/>
  <c r="S53" i="16" s="1"/>
  <c r="AX45" i="17"/>
  <c r="AZ45" i="17" s="1"/>
  <c r="M658" i="1" s="1"/>
  <c r="AU45" i="17"/>
  <c r="R32" i="18"/>
  <c r="S32" i="18" s="1"/>
  <c r="G32" i="17"/>
  <c r="AX40" i="17"/>
  <c r="AZ40" i="17" s="1"/>
  <c r="M653" i="1" s="1"/>
  <c r="AU40" i="17"/>
  <c r="AX42" i="17"/>
  <c r="AZ42" i="17" s="1"/>
  <c r="M655" i="1" s="1"/>
  <c r="AU42" i="17"/>
  <c r="R54" i="17"/>
  <c r="S54" i="17" s="1"/>
  <c r="D11" i="17"/>
  <c r="D13" i="17"/>
  <c r="D15" i="17"/>
  <c r="D17" i="17"/>
  <c r="D19" i="17"/>
  <c r="D21" i="17"/>
  <c r="D23" i="17"/>
  <c r="D25" i="17"/>
  <c r="D27" i="17"/>
  <c r="D29" i="17"/>
  <c r="R31" i="17"/>
  <c r="S31" i="17" s="1"/>
  <c r="R50" i="17"/>
  <c r="S50" i="17" s="1"/>
  <c r="D53" i="17"/>
  <c r="D51" i="17"/>
  <c r="D49" i="17"/>
  <c r="D47" i="17"/>
  <c r="D45" i="17"/>
  <c r="D43" i="17"/>
  <c r="D41" i="17"/>
  <c r="D39" i="17"/>
  <c r="D37" i="17"/>
  <c r="D35" i="17"/>
  <c r="D33" i="17"/>
  <c r="D54" i="17"/>
  <c r="D52" i="17"/>
  <c r="D50" i="17"/>
  <c r="D48" i="17"/>
  <c r="D46" i="17"/>
  <c r="D44" i="17"/>
  <c r="D42" i="17"/>
  <c r="D40" i="17"/>
  <c r="D38" i="17"/>
  <c r="D36" i="17"/>
  <c r="D34" i="17"/>
  <c r="R48" i="17"/>
  <c r="S48" i="17" s="1"/>
  <c r="AX52" i="17"/>
  <c r="AZ52" i="17" s="1"/>
  <c r="M665" i="1" s="1"/>
  <c r="AU52" i="17"/>
  <c r="AT31" i="17"/>
  <c r="AX50" i="17"/>
  <c r="AZ50" i="17" s="1"/>
  <c r="M663" i="1" s="1"/>
  <c r="AU50" i="17"/>
  <c r="R54" i="18"/>
  <c r="S54" i="18" s="1"/>
  <c r="V40" i="19"/>
  <c r="W40" i="19" s="1"/>
  <c r="AT8" i="19"/>
  <c r="AV8" i="19" s="1"/>
  <c r="M717" i="1" s="1"/>
  <c r="R32" i="17"/>
  <c r="S32" i="17" s="1"/>
  <c r="D13" i="18"/>
  <c r="D17" i="18"/>
  <c r="D21" i="18"/>
  <c r="D25" i="18"/>
  <c r="AT25" i="18"/>
  <c r="D29" i="18"/>
  <c r="AT29" i="18"/>
  <c r="D34" i="18"/>
  <c r="F38" i="18"/>
  <c r="F40" i="18"/>
  <c r="V18" i="19"/>
  <c r="W18" i="19" s="1"/>
  <c r="D12" i="18"/>
  <c r="D16" i="18"/>
  <c r="D20" i="18"/>
  <c r="D24" i="18"/>
  <c r="D28" i="18"/>
  <c r="F33" i="18"/>
  <c r="F34" i="18"/>
  <c r="AT34" i="18"/>
  <c r="R48" i="18"/>
  <c r="S48" i="18" s="1"/>
  <c r="F16" i="18"/>
  <c r="F20" i="18"/>
  <c r="F24" i="18"/>
  <c r="F28" i="18"/>
  <c r="AT32" i="19"/>
  <c r="AV32" i="19" s="1"/>
  <c r="M741" i="1" s="1"/>
  <c r="D53" i="18"/>
  <c r="D51" i="18"/>
  <c r="D49" i="18"/>
  <c r="D47" i="18"/>
  <c r="D45" i="18"/>
  <c r="D43" i="18"/>
  <c r="D41" i="18"/>
  <c r="D39" i="18"/>
  <c r="D54" i="18"/>
  <c r="D52" i="18"/>
  <c r="D50" i="18"/>
  <c r="D48" i="18"/>
  <c r="D46" i="18"/>
  <c r="D44" i="18"/>
  <c r="D42" i="18"/>
  <c r="D40" i="18"/>
  <c r="D38" i="18"/>
  <c r="D33" i="18"/>
  <c r="D37" i="18"/>
  <c r="F8" i="18"/>
  <c r="F54" i="18"/>
  <c r="R31" i="19"/>
  <c r="S31" i="19" s="1"/>
  <c r="AX9" i="18"/>
  <c r="AZ9" i="18" s="1"/>
  <c r="M670" i="1" s="1"/>
  <c r="D11" i="18"/>
  <c r="AT11" i="18"/>
  <c r="D15" i="18"/>
  <c r="AT15" i="18"/>
  <c r="D19" i="18"/>
  <c r="AT19" i="18"/>
  <c r="D23" i="18"/>
  <c r="AT23" i="18"/>
  <c r="D27" i="18"/>
  <c r="AT27" i="18"/>
  <c r="AU28" i="18"/>
  <c r="D31" i="18"/>
  <c r="R38" i="18"/>
  <c r="S38" i="18" s="1"/>
  <c r="R40" i="18"/>
  <c r="S40" i="18" s="1"/>
  <c r="R42" i="18"/>
  <c r="S42" i="18" s="1"/>
  <c r="F53" i="18"/>
  <c r="F51" i="18"/>
  <c r="F49" i="18"/>
  <c r="F47" i="18"/>
  <c r="F45" i="18"/>
  <c r="F43" i="18"/>
  <c r="F41" i="18"/>
  <c r="F39" i="18"/>
  <c r="F52" i="18"/>
  <c r="F36" i="18"/>
  <c r="F32" i="18"/>
  <c r="G32" i="18" s="1"/>
  <c r="F44" i="18"/>
  <c r="F37" i="18"/>
  <c r="F42" i="18"/>
  <c r="F31" i="18"/>
  <c r="F29" i="18"/>
  <c r="F27" i="18"/>
  <c r="F25" i="18"/>
  <c r="F23" i="18"/>
  <c r="F21" i="18"/>
  <c r="F19" i="18"/>
  <c r="F17" i="18"/>
  <c r="F15" i="18"/>
  <c r="F13" i="18"/>
  <c r="F11" i="18"/>
  <c r="F9" i="18"/>
  <c r="G9" i="18" s="1"/>
  <c r="D10" i="18"/>
  <c r="D14" i="18"/>
  <c r="D18" i="18"/>
  <c r="D22" i="18"/>
  <c r="D26" i="18"/>
  <c r="D30" i="18"/>
  <c r="R34" i="18"/>
  <c r="S34" i="18" s="1"/>
  <c r="D35" i="18"/>
  <c r="D36" i="18"/>
  <c r="AU43" i="18"/>
  <c r="F48" i="18"/>
  <c r="D7" i="18"/>
  <c r="AU7" i="18"/>
  <c r="F10" i="18"/>
  <c r="F14" i="18"/>
  <c r="F18" i="18"/>
  <c r="F22" i="18"/>
  <c r="F26" i="18"/>
  <c r="F30" i="18"/>
  <c r="F35" i="18"/>
  <c r="F50" i="18"/>
  <c r="AT47" i="18"/>
  <c r="R50" i="18"/>
  <c r="S50" i="18" s="1"/>
  <c r="AT37" i="18"/>
  <c r="AT49" i="18"/>
  <c r="R7" i="19"/>
  <c r="S7" i="19" s="1"/>
  <c r="AQ15" i="19"/>
  <c r="AT15" i="19"/>
  <c r="AV15" i="19" s="1"/>
  <c r="M724" i="1" s="1"/>
  <c r="R52" i="18"/>
  <c r="S52" i="18" s="1"/>
  <c r="AQ46" i="19"/>
  <c r="AT46" i="19"/>
  <c r="AV46" i="19" s="1"/>
  <c r="M755" i="1" s="1"/>
  <c r="AX53" i="18"/>
  <c r="AZ53" i="18" s="1"/>
  <c r="M714" i="1" s="1"/>
  <c r="AU53" i="18"/>
  <c r="D29" i="19"/>
  <c r="D25" i="19"/>
  <c r="D21" i="19"/>
  <c r="D17" i="19"/>
  <c r="D13" i="19"/>
  <c r="D28" i="19"/>
  <c r="D24" i="19"/>
  <c r="D20" i="19"/>
  <c r="D27" i="19"/>
  <c r="D23" i="19"/>
  <c r="D19" i="19"/>
  <c r="D26" i="19"/>
  <c r="D8" i="19"/>
  <c r="D30" i="19"/>
  <c r="D15" i="19"/>
  <c r="D7" i="19"/>
  <c r="D14" i="19"/>
  <c r="D11" i="19"/>
  <c r="D22" i="19"/>
  <c r="D9" i="19"/>
  <c r="AQ16" i="19"/>
  <c r="AT41" i="18"/>
  <c r="R44" i="18"/>
  <c r="S44" i="18" s="1"/>
  <c r="D12" i="19"/>
  <c r="X10" i="20"/>
  <c r="Y10" i="20" s="1"/>
  <c r="R46" i="18"/>
  <c r="S46" i="18" s="1"/>
  <c r="D10" i="19"/>
  <c r="AQ19" i="19"/>
  <c r="AT19" i="19"/>
  <c r="AV19" i="19" s="1"/>
  <c r="M728" i="1" s="1"/>
  <c r="F12" i="19"/>
  <c r="X12" i="19" s="1"/>
  <c r="Y12" i="19" s="1"/>
  <c r="AT20" i="19"/>
  <c r="AV20" i="19" s="1"/>
  <c r="M729" i="1" s="1"/>
  <c r="AQ20" i="19"/>
  <c r="R13" i="20"/>
  <c r="S13" i="20" s="1"/>
  <c r="D53" i="19"/>
  <c r="D49" i="19"/>
  <c r="D45" i="19"/>
  <c r="D41" i="19"/>
  <c r="D37" i="19"/>
  <c r="D51" i="19"/>
  <c r="D47" i="19"/>
  <c r="D43" i="19"/>
  <c r="D39" i="19"/>
  <c r="D35" i="19"/>
  <c r="D50" i="19"/>
  <c r="D42" i="19"/>
  <c r="D33" i="19"/>
  <c r="D44" i="19"/>
  <c r="D32" i="19"/>
  <c r="D52" i="19"/>
  <c r="D46" i="19"/>
  <c r="D38" i="19"/>
  <c r="D31" i="19"/>
  <c r="D54" i="19"/>
  <c r="D48" i="19"/>
  <c r="F9" i="19"/>
  <c r="X9" i="19" s="1"/>
  <c r="Y9" i="19" s="1"/>
  <c r="R27" i="19"/>
  <c r="S27" i="19" s="1"/>
  <c r="F52" i="19"/>
  <c r="X52" i="19" s="1"/>
  <c r="Y52" i="19" s="1"/>
  <c r="F48" i="19"/>
  <c r="X48" i="19" s="1"/>
  <c r="Y48" i="19" s="1"/>
  <c r="F44" i="19"/>
  <c r="X44" i="19" s="1"/>
  <c r="Y44" i="19" s="1"/>
  <c r="F40" i="19"/>
  <c r="X40" i="19" s="1"/>
  <c r="Y40" i="19" s="1"/>
  <c r="F36" i="19"/>
  <c r="X36" i="19" s="1"/>
  <c r="Y36" i="19" s="1"/>
  <c r="F51" i="19"/>
  <c r="X51" i="19" s="1"/>
  <c r="Y51" i="19" s="1"/>
  <c r="F47" i="19"/>
  <c r="X47" i="19" s="1"/>
  <c r="Y47" i="19" s="1"/>
  <c r="F43" i="19"/>
  <c r="X43" i="19" s="1"/>
  <c r="Y43" i="19" s="1"/>
  <c r="F39" i="19"/>
  <c r="X39" i="19" s="1"/>
  <c r="Y39" i="19" s="1"/>
  <c r="F35" i="19"/>
  <c r="X35" i="19" s="1"/>
  <c r="Y35" i="19" s="1"/>
  <c r="F54" i="19"/>
  <c r="X54" i="19" s="1"/>
  <c r="Y54" i="19" s="1"/>
  <c r="F50" i="19"/>
  <c r="X50" i="19" s="1"/>
  <c r="Y50" i="19" s="1"/>
  <c r="F46" i="19"/>
  <c r="X46" i="19" s="1"/>
  <c r="Y46" i="19" s="1"/>
  <c r="F42" i="19"/>
  <c r="X42" i="19" s="1"/>
  <c r="Y42" i="19" s="1"/>
  <c r="F38" i="19"/>
  <c r="X38" i="19" s="1"/>
  <c r="Y38" i="19" s="1"/>
  <c r="F33" i="19"/>
  <c r="X33" i="19" s="1"/>
  <c r="Y33" i="19" s="1"/>
  <c r="F29" i="19"/>
  <c r="X29" i="19" s="1"/>
  <c r="Y29" i="19" s="1"/>
  <c r="F25" i="19"/>
  <c r="X25" i="19" s="1"/>
  <c r="Y25" i="19" s="1"/>
  <c r="F21" i="19"/>
  <c r="X21" i="19" s="1"/>
  <c r="Y21" i="19" s="1"/>
  <c r="F17" i="19"/>
  <c r="X17" i="19" s="1"/>
  <c r="Y17" i="19" s="1"/>
  <c r="F13" i="19"/>
  <c r="X13" i="19" s="1"/>
  <c r="Y13" i="19" s="1"/>
  <c r="F49" i="19"/>
  <c r="X49" i="19" s="1"/>
  <c r="Y49" i="19" s="1"/>
  <c r="F41" i="19"/>
  <c r="X41" i="19" s="1"/>
  <c r="Y41" i="19" s="1"/>
  <c r="F31" i="19"/>
  <c r="X31" i="19" s="1"/>
  <c r="Y31" i="19" s="1"/>
  <c r="F27" i="19"/>
  <c r="X27" i="19" s="1"/>
  <c r="Y27" i="19" s="1"/>
  <c r="F23" i="19"/>
  <c r="X23" i="19" s="1"/>
  <c r="Y23" i="19" s="1"/>
  <c r="F19" i="19"/>
  <c r="X19" i="19" s="1"/>
  <c r="Y19" i="19" s="1"/>
  <c r="F15" i="19"/>
  <c r="X15" i="19" s="1"/>
  <c r="Y15" i="19" s="1"/>
  <c r="F45" i="19"/>
  <c r="X45" i="19" s="1"/>
  <c r="Y45" i="19" s="1"/>
  <c r="F37" i="19"/>
  <c r="X37" i="19" s="1"/>
  <c r="Y37" i="19" s="1"/>
  <c r="F53" i="19"/>
  <c r="X53" i="19" s="1"/>
  <c r="Y53" i="19" s="1"/>
  <c r="F34" i="19"/>
  <c r="X34" i="19" s="1"/>
  <c r="Y34" i="19" s="1"/>
  <c r="F30" i="19"/>
  <c r="X30" i="19" s="1"/>
  <c r="Y30" i="19" s="1"/>
  <c r="F26" i="19"/>
  <c r="X26" i="19" s="1"/>
  <c r="Y26" i="19" s="1"/>
  <c r="F22" i="19"/>
  <c r="X22" i="19" s="1"/>
  <c r="Y22" i="19" s="1"/>
  <c r="F18" i="19"/>
  <c r="X18" i="19" s="1"/>
  <c r="Y18" i="19" s="1"/>
  <c r="F14" i="19"/>
  <c r="X14" i="19" s="1"/>
  <c r="Y14" i="19" s="1"/>
  <c r="F10" i="19"/>
  <c r="X10" i="19" s="1"/>
  <c r="Y10" i="19" s="1"/>
  <c r="R15" i="19"/>
  <c r="S15" i="19" s="1"/>
  <c r="F16" i="19"/>
  <c r="X16" i="19" s="1"/>
  <c r="Y16" i="19" s="1"/>
  <c r="R23" i="19"/>
  <c r="S23" i="19" s="1"/>
  <c r="F24" i="19"/>
  <c r="X24" i="19" s="1"/>
  <c r="Y24" i="19" s="1"/>
  <c r="F11" i="19"/>
  <c r="X11" i="19" s="1"/>
  <c r="Y11" i="19" s="1"/>
  <c r="R12" i="19"/>
  <c r="S12" i="19" s="1"/>
  <c r="AP31" i="19"/>
  <c r="D36" i="19"/>
  <c r="R39" i="19"/>
  <c r="S39" i="19" s="1"/>
  <c r="F7" i="19"/>
  <c r="X7" i="19" s="1"/>
  <c r="Y7" i="19" s="1"/>
  <c r="R19" i="19"/>
  <c r="S19" i="19" s="1"/>
  <c r="F20" i="19"/>
  <c r="X20" i="19" s="1"/>
  <c r="Y20" i="19" s="1"/>
  <c r="AT25" i="19"/>
  <c r="AV25" i="19" s="1"/>
  <c r="M734" i="1" s="1"/>
  <c r="AP27" i="19"/>
  <c r="D13" i="20"/>
  <c r="D9" i="20"/>
  <c r="D11" i="20"/>
  <c r="D7" i="20"/>
  <c r="D12" i="20"/>
  <c r="D8" i="20"/>
  <c r="AQ41" i="19"/>
  <c r="R11" i="21"/>
  <c r="S11" i="21" s="1"/>
  <c r="AQ35" i="19"/>
  <c r="AT42" i="19"/>
  <c r="AV42" i="19" s="1"/>
  <c r="M751" i="1" s="1"/>
  <c r="R51" i="19"/>
  <c r="S51" i="19" s="1"/>
  <c r="AQ8" i="20"/>
  <c r="AT8" i="20" s="1"/>
  <c r="AV8" i="20" s="1"/>
  <c r="M765" i="1" s="1"/>
  <c r="AQ10" i="20"/>
  <c r="AT10" i="20" s="1"/>
  <c r="AV10" i="20" s="1"/>
  <c r="M767" i="1" s="1"/>
  <c r="R41" i="19"/>
  <c r="S41" i="19" s="1"/>
  <c r="R49" i="19"/>
  <c r="S49" i="19" s="1"/>
  <c r="R9" i="20"/>
  <c r="S9" i="20" s="1"/>
  <c r="F10" i="20"/>
  <c r="Z10" i="20" s="1"/>
  <c r="AA10" i="20" s="1"/>
  <c r="D11" i="21"/>
  <c r="F11" i="21"/>
  <c r="F7" i="20"/>
  <c r="Z7" i="20" s="1"/>
  <c r="AA7" i="20" s="1"/>
  <c r="F11" i="20"/>
  <c r="Z11" i="20" s="1"/>
  <c r="AA11" i="20" s="1"/>
  <c r="D7" i="21"/>
  <c r="D9" i="21"/>
  <c r="D12" i="21"/>
  <c r="F8" i="20"/>
  <c r="Z8" i="20" s="1"/>
  <c r="AA8" i="20" s="1"/>
  <c r="AQ45" i="19" l="1"/>
  <c r="AT52" i="19"/>
  <c r="AV52" i="19" s="1"/>
  <c r="M761" i="1" s="1"/>
  <c r="AQ26" i="19"/>
  <c r="AX36" i="16"/>
  <c r="AZ36" i="16" s="1"/>
  <c r="M601" i="1" s="1"/>
  <c r="D31" i="4"/>
  <c r="J31" i="4" s="1"/>
  <c r="M31" i="4" s="1"/>
  <c r="AT43" i="19"/>
  <c r="AV43" i="19" s="1"/>
  <c r="M752" i="1" s="1"/>
  <c r="AU39" i="15"/>
  <c r="AQ28" i="19"/>
  <c r="AU44" i="18"/>
  <c r="AU24" i="18"/>
  <c r="AU23" i="14"/>
  <c r="AF14" i="12"/>
  <c r="E12" i="4"/>
  <c r="AX12" i="15"/>
  <c r="AZ12" i="15" s="1"/>
  <c r="M529" i="1" s="1"/>
  <c r="V88" i="11"/>
  <c r="Y88" i="11" s="1"/>
  <c r="CE88" i="11" s="1"/>
  <c r="CI88" i="11" s="1"/>
  <c r="AX23" i="15"/>
  <c r="AZ23" i="15" s="1"/>
  <c r="M540" i="1" s="1"/>
  <c r="AX34" i="17"/>
  <c r="AZ34" i="17" s="1"/>
  <c r="M647" i="1" s="1"/>
  <c r="AF16" i="12"/>
  <c r="AB15" i="13"/>
  <c r="AR15" i="13" s="1"/>
  <c r="AV15" i="13" s="1"/>
  <c r="AQ24" i="19"/>
  <c r="AX49" i="16"/>
  <c r="AZ49" i="16" s="1"/>
  <c r="M614" i="1" s="1"/>
  <c r="AU38" i="16"/>
  <c r="AU14" i="16"/>
  <c r="AF20" i="12"/>
  <c r="L824" i="1"/>
  <c r="AT49" i="19"/>
  <c r="AV49" i="19" s="1"/>
  <c r="M758" i="1" s="1"/>
  <c r="AU42" i="14"/>
  <c r="AQ44" i="19"/>
  <c r="AU39" i="17"/>
  <c r="L30" i="1"/>
  <c r="K30" i="1"/>
  <c r="L25" i="1"/>
  <c r="K25" i="1"/>
  <c r="AX40" i="18"/>
  <c r="AZ40" i="18" s="1"/>
  <c r="M701" i="1" s="1"/>
  <c r="L34" i="1"/>
  <c r="K34" i="1"/>
  <c r="L36" i="1"/>
  <c r="K36" i="1"/>
  <c r="L32" i="1"/>
  <c r="K32" i="1"/>
  <c r="L28" i="1"/>
  <c r="K28" i="1"/>
  <c r="L29" i="1"/>
  <c r="K29" i="1"/>
  <c r="L23" i="1"/>
  <c r="K23" i="1"/>
  <c r="AQ23" i="19"/>
  <c r="AX47" i="16"/>
  <c r="AZ47" i="16" s="1"/>
  <c r="M612" i="1" s="1"/>
  <c r="AI23" i="12"/>
  <c r="AK23" i="12" s="1"/>
  <c r="M396" i="1" s="1"/>
  <c r="L27" i="1"/>
  <c r="K27" i="1"/>
  <c r="L35" i="1"/>
  <c r="K35" i="1"/>
  <c r="L24" i="1"/>
  <c r="K24" i="1"/>
  <c r="L33" i="1"/>
  <c r="K33" i="1"/>
  <c r="L21" i="1"/>
  <c r="K21" i="1"/>
  <c r="L20" i="1"/>
  <c r="K20" i="1"/>
  <c r="L22" i="1"/>
  <c r="K22" i="1"/>
  <c r="L38" i="1"/>
  <c r="K38" i="1"/>
  <c r="BS96" i="11"/>
  <c r="AU13" i="16"/>
  <c r="L31" i="1"/>
  <c r="K31" i="1"/>
  <c r="AQ17" i="19"/>
  <c r="L26" i="1"/>
  <c r="K26" i="1"/>
  <c r="AU7" i="16"/>
  <c r="AU26" i="14"/>
  <c r="BB14" i="7"/>
  <c r="L19" i="1"/>
  <c r="K19" i="1"/>
  <c r="L37" i="1"/>
  <c r="K37" i="1"/>
  <c r="AU14" i="17"/>
  <c r="AU9" i="16"/>
  <c r="AQ54" i="19"/>
  <c r="BO60" i="11"/>
  <c r="AX13" i="14"/>
  <c r="AZ13" i="14" s="1"/>
  <c r="M482" i="1" s="1"/>
  <c r="AX28" i="17"/>
  <c r="AZ28" i="17" s="1"/>
  <c r="M641" i="1" s="1"/>
  <c r="AU30" i="17"/>
  <c r="AU20" i="15"/>
  <c r="AT30" i="19"/>
  <c r="AV30" i="19" s="1"/>
  <c r="M739" i="1" s="1"/>
  <c r="AI18" i="12"/>
  <c r="AK18" i="12" s="1"/>
  <c r="M391" i="1" s="1"/>
  <c r="AX54" i="18"/>
  <c r="AZ54" i="18" s="1"/>
  <c r="M715" i="1" s="1"/>
  <c r="AQ47" i="19"/>
  <c r="AX45" i="18"/>
  <c r="AZ45" i="18" s="1"/>
  <c r="M706" i="1" s="1"/>
  <c r="G18" i="14"/>
  <c r="AG18" i="14" s="1"/>
  <c r="AW18" i="14" s="1"/>
  <c r="BA18" i="14" s="1"/>
  <c r="BC18" i="14" s="1"/>
  <c r="H487" i="1" s="1"/>
  <c r="AU50" i="15"/>
  <c r="BS38" i="11"/>
  <c r="F314" i="1" s="1"/>
  <c r="L314" i="1" s="1"/>
  <c r="AQ39" i="19"/>
  <c r="AF46" i="12"/>
  <c r="AU39" i="18"/>
  <c r="AU30" i="16"/>
  <c r="BS62" i="11"/>
  <c r="AX35" i="14"/>
  <c r="AZ35" i="14" s="1"/>
  <c r="M504" i="1" s="1"/>
  <c r="AU40" i="16"/>
  <c r="AU53" i="17"/>
  <c r="AU21" i="17"/>
  <c r="G48" i="16"/>
  <c r="AG48" i="16" s="1"/>
  <c r="AW48" i="16" s="1"/>
  <c r="AU26" i="16"/>
  <c r="AU34" i="15"/>
  <c r="AU15" i="14"/>
  <c r="AX33" i="15"/>
  <c r="AZ33" i="15" s="1"/>
  <c r="M550" i="1" s="1"/>
  <c r="AQ14" i="19"/>
  <c r="BS16" i="11"/>
  <c r="F248" i="1" s="1"/>
  <c r="K248" i="1" s="1"/>
  <c r="AT40" i="19"/>
  <c r="AV40" i="19" s="1"/>
  <c r="M749" i="1" s="1"/>
  <c r="BS48" i="11"/>
  <c r="F344" i="1" s="1"/>
  <c r="K344" i="1" s="1"/>
  <c r="AU32" i="15"/>
  <c r="L826" i="1"/>
  <c r="AI32" i="12"/>
  <c r="AK32" i="12" s="1"/>
  <c r="M405" i="1" s="1"/>
  <c r="G18" i="17"/>
  <c r="AG18" i="17" s="1"/>
  <c r="AW18" i="17" s="1"/>
  <c r="AU22" i="16"/>
  <c r="AU44" i="15"/>
  <c r="AI31" i="12"/>
  <c r="AK31" i="12" s="1"/>
  <c r="M404" i="1" s="1"/>
  <c r="AF15" i="12"/>
  <c r="D38" i="4"/>
  <c r="J38" i="4" s="1"/>
  <c r="M38" i="4" s="1"/>
  <c r="AQ18" i="19"/>
  <c r="AU8" i="16"/>
  <c r="AU41" i="17"/>
  <c r="AU33" i="14"/>
  <c r="AU52" i="15"/>
  <c r="AI9" i="12"/>
  <c r="AK9" i="12" s="1"/>
  <c r="M382" i="1" s="1"/>
  <c r="AQ48" i="19"/>
  <c r="AQ53" i="19"/>
  <c r="AX37" i="15"/>
  <c r="AZ37" i="15" s="1"/>
  <c r="M554" i="1" s="1"/>
  <c r="BS46" i="11"/>
  <c r="F338" i="1" s="1"/>
  <c r="K338" i="1" s="1"/>
  <c r="AU19" i="17"/>
  <c r="AU10" i="17"/>
  <c r="AU44" i="14"/>
  <c r="AF25" i="12"/>
  <c r="AF24" i="12"/>
  <c r="AU30" i="15"/>
  <c r="AU13" i="15"/>
  <c r="BS66" i="11"/>
  <c r="BS42" i="11"/>
  <c r="F326" i="1" s="1"/>
  <c r="L326" i="1" s="1"/>
  <c r="AT12" i="19"/>
  <c r="AV12" i="19" s="1"/>
  <c r="M721" i="1" s="1"/>
  <c r="AX15" i="15"/>
  <c r="AZ15" i="15" s="1"/>
  <c r="M532" i="1" s="1"/>
  <c r="BS86" i="11"/>
  <c r="AU8" i="14"/>
  <c r="AX32" i="18"/>
  <c r="AZ32" i="18" s="1"/>
  <c r="M693" i="1" s="1"/>
  <c r="BS34" i="11"/>
  <c r="F302" i="1" s="1"/>
  <c r="AU36" i="17"/>
  <c r="AU48" i="17"/>
  <c r="AU49" i="15"/>
  <c r="AI35" i="12"/>
  <c r="AK35" i="12" s="1"/>
  <c r="M408" i="1" s="1"/>
  <c r="AI44" i="12"/>
  <c r="AK44" i="12" s="1"/>
  <c r="M417" i="1" s="1"/>
  <c r="AX26" i="17"/>
  <c r="AZ26" i="17" s="1"/>
  <c r="M639" i="1" s="1"/>
  <c r="AU42" i="16"/>
  <c r="AB49" i="13"/>
  <c r="AR49" i="13" s="1"/>
  <c r="AV49" i="13" s="1"/>
  <c r="AU44" i="17"/>
  <c r="G28" i="17"/>
  <c r="AG28" i="17" s="1"/>
  <c r="AW28" i="17" s="1"/>
  <c r="AX47" i="15"/>
  <c r="AZ47" i="15" s="1"/>
  <c r="M564" i="1" s="1"/>
  <c r="AU50" i="14"/>
  <c r="AF22" i="12"/>
  <c r="AU48" i="15"/>
  <c r="AX21" i="14"/>
  <c r="AZ21" i="14" s="1"/>
  <c r="M490" i="1" s="1"/>
  <c r="AU38" i="15"/>
  <c r="BS70" i="11"/>
  <c r="BS14" i="11"/>
  <c r="F242" i="1" s="1"/>
  <c r="L242" i="1" s="1"/>
  <c r="G12" i="18"/>
  <c r="AG12" i="18" s="1"/>
  <c r="AW12" i="18" s="1"/>
  <c r="BA12" i="18" s="1"/>
  <c r="F673" i="1" s="1"/>
  <c r="AX11" i="16"/>
  <c r="AZ11" i="16" s="1"/>
  <c r="M576" i="1" s="1"/>
  <c r="G30" i="12"/>
  <c r="T30" i="12" s="1"/>
  <c r="AH30" i="12" s="1"/>
  <c r="AF38" i="12"/>
  <c r="AU33" i="17"/>
  <c r="AU10" i="15"/>
  <c r="BO32" i="11"/>
  <c r="BS32" i="11" s="1"/>
  <c r="F296" i="1" s="1"/>
  <c r="K296" i="1" s="1"/>
  <c r="BS94" i="11"/>
  <c r="AU24" i="17"/>
  <c r="AQ11" i="19"/>
  <c r="AU42" i="15"/>
  <c r="AU22" i="15"/>
  <c r="BS72" i="11"/>
  <c r="BS12" i="11"/>
  <c r="F236" i="1" s="1"/>
  <c r="F124" i="1"/>
  <c r="K124" i="1" s="1"/>
  <c r="AQ36" i="19"/>
  <c r="AT29" i="19"/>
  <c r="AV29" i="19" s="1"/>
  <c r="M738" i="1" s="1"/>
  <c r="AX52" i="18"/>
  <c r="AZ52" i="18" s="1"/>
  <c r="M713" i="1" s="1"/>
  <c r="AT33" i="19"/>
  <c r="AV33" i="19" s="1"/>
  <c r="M742" i="1" s="1"/>
  <c r="AU38" i="17"/>
  <c r="AU46" i="17"/>
  <c r="G54" i="16"/>
  <c r="AG54" i="16" s="1"/>
  <c r="AW54" i="16" s="1"/>
  <c r="AU10" i="16"/>
  <c r="AX17" i="15"/>
  <c r="AZ17" i="15" s="1"/>
  <c r="M534" i="1" s="1"/>
  <c r="AX48" i="14"/>
  <c r="AZ48" i="14" s="1"/>
  <c r="M517" i="1" s="1"/>
  <c r="AU12" i="14"/>
  <c r="AU52" i="14"/>
  <c r="BO30" i="11"/>
  <c r="BS30" i="11" s="1"/>
  <c r="F290" i="1" s="1"/>
  <c r="L290" i="1" s="1"/>
  <c r="AU13" i="18"/>
  <c r="AX29" i="15"/>
  <c r="AZ29" i="15" s="1"/>
  <c r="M546" i="1" s="1"/>
  <c r="BS88" i="11"/>
  <c r="BS18" i="11"/>
  <c r="F254" i="1" s="1"/>
  <c r="K254" i="1" s="1"/>
  <c r="BS104" i="11"/>
  <c r="BS8" i="11"/>
  <c r="F224" i="1" s="1"/>
  <c r="K224" i="1" s="1"/>
  <c r="K825" i="1"/>
  <c r="G12" i="21"/>
  <c r="AM12" i="21" s="1"/>
  <c r="BD12" i="21" s="1"/>
  <c r="BH12" i="21" s="1"/>
  <c r="AQ37" i="19"/>
  <c r="AX38" i="18"/>
  <c r="AZ38" i="18" s="1"/>
  <c r="M699" i="1" s="1"/>
  <c r="AU29" i="17"/>
  <c r="AU17" i="16"/>
  <c r="AU8" i="15"/>
  <c r="G27" i="12"/>
  <c r="T27" i="12" s="1"/>
  <c r="AH27" i="12" s="1"/>
  <c r="AX7" i="14"/>
  <c r="AZ7" i="14" s="1"/>
  <c r="M476" i="1" s="1"/>
  <c r="AI48" i="12"/>
  <c r="AK48" i="12" s="1"/>
  <c r="M421" i="1" s="1"/>
  <c r="BO22" i="11"/>
  <c r="BS22" i="11" s="1"/>
  <c r="F266" i="1" s="1"/>
  <c r="K266" i="1" s="1"/>
  <c r="AX42" i="18"/>
  <c r="AZ42" i="18" s="1"/>
  <c r="M703" i="1" s="1"/>
  <c r="AT13" i="19"/>
  <c r="AV13" i="19" s="1"/>
  <c r="M722" i="1" s="1"/>
  <c r="AU26" i="18"/>
  <c r="AU29" i="14"/>
  <c r="AQ51" i="19"/>
  <c r="AU10" i="18"/>
  <c r="BS100" i="11"/>
  <c r="BS36" i="11"/>
  <c r="F308" i="1" s="1"/>
  <c r="K308" i="1" s="1"/>
  <c r="AT38" i="19"/>
  <c r="AV38" i="19" s="1"/>
  <c r="M747" i="1" s="1"/>
  <c r="AX35" i="18"/>
  <c r="AZ35" i="18" s="1"/>
  <c r="M696" i="1" s="1"/>
  <c r="AX24" i="16"/>
  <c r="AZ24" i="16" s="1"/>
  <c r="M589" i="1" s="1"/>
  <c r="AX54" i="14"/>
  <c r="AZ54" i="14" s="1"/>
  <c r="M523" i="1" s="1"/>
  <c r="AU18" i="14"/>
  <c r="AI40" i="12"/>
  <c r="AK40" i="12" s="1"/>
  <c r="M413" i="1" s="1"/>
  <c r="AI30" i="12"/>
  <c r="AK30" i="12" s="1"/>
  <c r="M403" i="1" s="1"/>
  <c r="AI26" i="12"/>
  <c r="AK26" i="12" s="1"/>
  <c r="M399" i="1" s="1"/>
  <c r="AU54" i="15"/>
  <c r="BS54" i="11"/>
  <c r="F362" i="1" s="1"/>
  <c r="L362" i="1" s="1"/>
  <c r="L818" i="1"/>
  <c r="BS58" i="11"/>
  <c r="F374" i="1" s="1"/>
  <c r="K374" i="1" s="1"/>
  <c r="AX33" i="18"/>
  <c r="AZ33" i="18" s="1"/>
  <c r="M694" i="1" s="1"/>
  <c r="AX35" i="15"/>
  <c r="AZ35" i="15" s="1"/>
  <c r="M552" i="1" s="1"/>
  <c r="AX18" i="18"/>
  <c r="AZ18" i="18" s="1"/>
  <c r="M679" i="1" s="1"/>
  <c r="AU8" i="18"/>
  <c r="AX51" i="16"/>
  <c r="AZ51" i="16" s="1"/>
  <c r="M616" i="1" s="1"/>
  <c r="AU12" i="17"/>
  <c r="AX53" i="15"/>
  <c r="AZ53" i="15" s="1"/>
  <c r="M570" i="1" s="1"/>
  <c r="AU43" i="15"/>
  <c r="J52" i="6"/>
  <c r="BS24" i="11"/>
  <c r="F272" i="1" s="1"/>
  <c r="L272" i="1" s="1"/>
  <c r="AF42" i="12"/>
  <c r="E36" i="4"/>
  <c r="AX21" i="18"/>
  <c r="AZ21" i="18" s="1"/>
  <c r="M682" i="1" s="1"/>
  <c r="P39" i="6"/>
  <c r="Q39" i="6" s="1"/>
  <c r="AX18" i="17"/>
  <c r="AZ18" i="17" s="1"/>
  <c r="M631" i="1" s="1"/>
  <c r="AQ9" i="19"/>
  <c r="AU16" i="16"/>
  <c r="L817" i="1"/>
  <c r="AX50" i="18"/>
  <c r="AZ50" i="18" s="1"/>
  <c r="M711" i="1" s="1"/>
  <c r="AU49" i="14"/>
  <c r="F115" i="1"/>
  <c r="AU16" i="17"/>
  <c r="V86" i="11"/>
  <c r="Y86" i="11" s="1"/>
  <c r="CE86" i="11" s="1"/>
  <c r="CI86" i="11" s="1"/>
  <c r="V47" i="11"/>
  <c r="Y47" i="11" s="1"/>
  <c r="CE47" i="11" s="1"/>
  <c r="CI47" i="11" s="1"/>
  <c r="F343" i="1" s="1"/>
  <c r="V8" i="11"/>
  <c r="Y8" i="11" s="1"/>
  <c r="CE8" i="11" s="1"/>
  <c r="CI8" i="11" s="1"/>
  <c r="F226" i="1" s="1"/>
  <c r="G34" i="14"/>
  <c r="AG34" i="14" s="1"/>
  <c r="AW34" i="14" s="1"/>
  <c r="BA34" i="14" s="1"/>
  <c r="BO85" i="11"/>
  <c r="BS85" i="11" s="1"/>
  <c r="AU12" i="16"/>
  <c r="G37" i="14"/>
  <c r="AG37" i="14" s="1"/>
  <c r="AW37" i="14" s="1"/>
  <c r="G46" i="18"/>
  <c r="AG46" i="18" s="1"/>
  <c r="AW46" i="18" s="1"/>
  <c r="G15" i="16"/>
  <c r="AG15" i="16" s="1"/>
  <c r="AW15" i="16" s="1"/>
  <c r="BA15" i="16" s="1"/>
  <c r="BO68" i="11"/>
  <c r="BS68" i="11" s="1"/>
  <c r="BO71" i="11"/>
  <c r="BS71" i="11" s="1"/>
  <c r="BO55" i="11"/>
  <c r="BS55" i="11" s="1"/>
  <c r="F365" i="1" s="1"/>
  <c r="K365" i="1" s="1"/>
  <c r="V24" i="11"/>
  <c r="Y24" i="11" s="1"/>
  <c r="CE24" i="11" s="1"/>
  <c r="CI24" i="11" s="1"/>
  <c r="F274" i="1" s="1"/>
  <c r="F44" i="1"/>
  <c r="L44" i="1" s="1"/>
  <c r="AG14" i="17"/>
  <c r="AW14" i="17" s="1"/>
  <c r="BA14" i="17" s="1"/>
  <c r="AU51" i="17"/>
  <c r="AU49" i="17"/>
  <c r="G25" i="15"/>
  <c r="AG25" i="15" s="1"/>
  <c r="AW25" i="15" s="1"/>
  <c r="BA25" i="15" s="1"/>
  <c r="AU20" i="14"/>
  <c r="G34" i="12"/>
  <c r="T34" i="12" s="1"/>
  <c r="AH34" i="12" s="1"/>
  <c r="AL34" i="12" s="1"/>
  <c r="AN34" i="12" s="1"/>
  <c r="H407" i="1" s="1"/>
  <c r="G16" i="14"/>
  <c r="AG16" i="14" s="1"/>
  <c r="AW16" i="14" s="1"/>
  <c r="BA16" i="14" s="1"/>
  <c r="BC16" i="14" s="1"/>
  <c r="H485" i="1" s="1"/>
  <c r="AX45" i="14"/>
  <c r="AZ45" i="14" s="1"/>
  <c r="M514" i="1" s="1"/>
  <c r="G16" i="12"/>
  <c r="T16" i="12" s="1"/>
  <c r="AH16" i="12" s="1"/>
  <c r="AL16" i="12" s="1"/>
  <c r="BO26" i="11"/>
  <c r="BS26" i="11" s="1"/>
  <c r="F278" i="1" s="1"/>
  <c r="L278" i="1" s="1"/>
  <c r="AU20" i="17"/>
  <c r="G15" i="15"/>
  <c r="AG15" i="15" s="1"/>
  <c r="AW15" i="15" s="1"/>
  <c r="BO91" i="11"/>
  <c r="BS91" i="11" s="1"/>
  <c r="V18" i="11"/>
  <c r="Y18" i="11" s="1"/>
  <c r="CE18" i="11" s="1"/>
  <c r="CI18" i="11" s="1"/>
  <c r="F256" i="1" s="1"/>
  <c r="P41" i="7"/>
  <c r="Q41" i="7" s="1"/>
  <c r="BO28" i="11"/>
  <c r="BS28" i="11" s="1"/>
  <c r="F284" i="1" s="1"/>
  <c r="K284" i="1" s="1"/>
  <c r="AQ22" i="19"/>
  <c r="G12" i="13"/>
  <c r="AB12" i="13" s="1"/>
  <c r="AR12" i="13" s="1"/>
  <c r="AV12" i="13" s="1"/>
  <c r="AX12" i="13" s="1"/>
  <c r="H433" i="1" s="1"/>
  <c r="G23" i="13"/>
  <c r="AB23" i="13" s="1"/>
  <c r="AR23" i="13" s="1"/>
  <c r="AV23" i="13" s="1"/>
  <c r="F444" i="1" s="1"/>
  <c r="E8" i="4"/>
  <c r="AU29" i="16"/>
  <c r="G10" i="17"/>
  <c r="AG10" i="17" s="1"/>
  <c r="AW10" i="17" s="1"/>
  <c r="BA10" i="17" s="1"/>
  <c r="F623" i="1" s="1"/>
  <c r="G30" i="17"/>
  <c r="AG30" i="17" s="1"/>
  <c r="AW30" i="17" s="1"/>
  <c r="BA30" i="17" s="1"/>
  <c r="AX19" i="14"/>
  <c r="AZ19" i="14" s="1"/>
  <c r="M488" i="1" s="1"/>
  <c r="G12" i="12"/>
  <c r="T12" i="12" s="1"/>
  <c r="AH12" i="12" s="1"/>
  <c r="J42" i="7"/>
  <c r="M42" i="7" s="1"/>
  <c r="E13" i="4"/>
  <c r="F811" i="1"/>
  <c r="K811" i="1" s="1"/>
  <c r="G13" i="16"/>
  <c r="AG13" i="16" s="1"/>
  <c r="AW13" i="16" s="1"/>
  <c r="BA13" i="16" s="1"/>
  <c r="G7" i="14"/>
  <c r="AG7" i="14" s="1"/>
  <c r="AW7" i="14" s="1"/>
  <c r="BA7" i="14" s="1"/>
  <c r="G19" i="12"/>
  <c r="T19" i="12" s="1"/>
  <c r="AH19" i="12" s="1"/>
  <c r="AL19" i="12" s="1"/>
  <c r="G20" i="17"/>
  <c r="AG20" i="17" s="1"/>
  <c r="AW20" i="17" s="1"/>
  <c r="BA20" i="17" s="1"/>
  <c r="BV20" i="17" s="1"/>
  <c r="H633" i="1" s="1"/>
  <c r="V34" i="11"/>
  <c r="Y34" i="11" s="1"/>
  <c r="CE34" i="11" s="1"/>
  <c r="CI34" i="11" s="1"/>
  <c r="F304" i="1" s="1"/>
  <c r="V48" i="11"/>
  <c r="BW48" i="11" s="1"/>
  <c r="CA48" i="11" s="1"/>
  <c r="F345" i="1" s="1"/>
  <c r="V20" i="11"/>
  <c r="Y20" i="11" s="1"/>
  <c r="CE20" i="11" s="1"/>
  <c r="CI20" i="11" s="1"/>
  <c r="F262" i="1" s="1"/>
  <c r="V16" i="11"/>
  <c r="Y16" i="11" s="1"/>
  <c r="CE16" i="11" s="1"/>
  <c r="CI16" i="11" s="1"/>
  <c r="F250" i="1" s="1"/>
  <c r="BO74" i="11"/>
  <c r="BS74" i="11" s="1"/>
  <c r="V77" i="11"/>
  <c r="BW77" i="11" s="1"/>
  <c r="CA77" i="11" s="1"/>
  <c r="BO33" i="11"/>
  <c r="BS33" i="11" s="1"/>
  <c r="F299" i="1" s="1"/>
  <c r="L299" i="1" s="1"/>
  <c r="G12" i="17"/>
  <c r="AG12" i="17" s="1"/>
  <c r="AW12" i="17" s="1"/>
  <c r="BA12" i="17" s="1"/>
  <c r="BV12" i="17" s="1"/>
  <c r="H625" i="1" s="1"/>
  <c r="AU11" i="17"/>
  <c r="AU12" i="18"/>
  <c r="AX27" i="17"/>
  <c r="AZ27" i="17" s="1"/>
  <c r="M640" i="1" s="1"/>
  <c r="AU10" i="14"/>
  <c r="G8" i="14"/>
  <c r="AG8" i="14" s="1"/>
  <c r="AW8" i="14" s="1"/>
  <c r="BA8" i="14" s="1"/>
  <c r="BC8" i="14" s="1"/>
  <c r="H477" i="1" s="1"/>
  <c r="BO50" i="11"/>
  <c r="BS50" i="11" s="1"/>
  <c r="F350" i="1" s="1"/>
  <c r="K350" i="1" s="1"/>
  <c r="BO40" i="11"/>
  <c r="BS40" i="11" s="1"/>
  <c r="F320" i="1" s="1"/>
  <c r="K320" i="1" s="1"/>
  <c r="E34" i="4"/>
  <c r="J34" i="4" s="1"/>
  <c r="M34" i="4" s="1"/>
  <c r="AX46" i="18"/>
  <c r="AZ46" i="18" s="1"/>
  <c r="M707" i="1" s="1"/>
  <c r="BO82" i="11"/>
  <c r="BS82" i="11" s="1"/>
  <c r="BO31" i="11"/>
  <c r="BS31" i="11" s="1"/>
  <c r="F293" i="1" s="1"/>
  <c r="K293" i="1" s="1"/>
  <c r="AU17" i="18"/>
  <c r="F810" i="1"/>
  <c r="K810" i="1" s="1"/>
  <c r="V70" i="11"/>
  <c r="Y70" i="11" s="1"/>
  <c r="CE70" i="11" s="1"/>
  <c r="CI70" i="11" s="1"/>
  <c r="V58" i="11"/>
  <c r="Y58" i="11" s="1"/>
  <c r="CE58" i="11" s="1"/>
  <c r="CI58" i="11" s="1"/>
  <c r="F376" i="1" s="1"/>
  <c r="V21" i="11"/>
  <c r="BW21" i="11" s="1"/>
  <c r="CA21" i="11" s="1"/>
  <c r="F264" i="1" s="1"/>
  <c r="F93" i="1"/>
  <c r="K93" i="1" s="1"/>
  <c r="AG48" i="14"/>
  <c r="AW48" i="14" s="1"/>
  <c r="AU43" i="17"/>
  <c r="G16" i="17"/>
  <c r="AG16" i="17" s="1"/>
  <c r="AW16" i="17" s="1"/>
  <c r="BA16" i="17" s="1"/>
  <c r="BV16" i="17" s="1"/>
  <c r="H629" i="1" s="1"/>
  <c r="AI33" i="12"/>
  <c r="AK33" i="12" s="1"/>
  <c r="M406" i="1" s="1"/>
  <c r="V66" i="11"/>
  <c r="Y66" i="11" s="1"/>
  <c r="CE66" i="11" s="1"/>
  <c r="CI66" i="11" s="1"/>
  <c r="V79" i="11"/>
  <c r="Y79" i="11" s="1"/>
  <c r="CE79" i="11" s="1"/>
  <c r="CI79" i="11" s="1"/>
  <c r="V59" i="11"/>
  <c r="BW59" i="11" s="1"/>
  <c r="CA59" i="11" s="1"/>
  <c r="F378" i="1" s="1"/>
  <c r="AT50" i="19"/>
  <c r="AV50" i="19" s="1"/>
  <c r="M759" i="1" s="1"/>
  <c r="AX28" i="16"/>
  <c r="AZ28" i="16" s="1"/>
  <c r="M593" i="1" s="1"/>
  <c r="AF34" i="12"/>
  <c r="AU20" i="16"/>
  <c r="G40" i="17"/>
  <c r="AG40" i="17" s="1"/>
  <c r="AW40" i="17" s="1"/>
  <c r="BA40" i="17" s="1"/>
  <c r="G33" i="17"/>
  <c r="AG33" i="17" s="1"/>
  <c r="AW33" i="17" s="1"/>
  <c r="BA33" i="17" s="1"/>
  <c r="G49" i="17"/>
  <c r="AG49" i="17" s="1"/>
  <c r="AW49" i="17" s="1"/>
  <c r="BA49" i="17" s="1"/>
  <c r="G31" i="12"/>
  <c r="T31" i="12" s="1"/>
  <c r="AH31" i="12" s="1"/>
  <c r="AU9" i="14"/>
  <c r="G31" i="17"/>
  <c r="AG31" i="17" s="1"/>
  <c r="AW31" i="17" s="1"/>
  <c r="G42" i="17"/>
  <c r="AG42" i="17" s="1"/>
  <c r="AW42" i="17" s="1"/>
  <c r="BA42" i="17" s="1"/>
  <c r="G35" i="17"/>
  <c r="AG35" i="17" s="1"/>
  <c r="AW35" i="17" s="1"/>
  <c r="BA35" i="17" s="1"/>
  <c r="G51" i="17"/>
  <c r="AG51" i="17" s="1"/>
  <c r="AW51" i="17" s="1"/>
  <c r="BA51" i="17" s="1"/>
  <c r="AU47" i="17"/>
  <c r="G46" i="15"/>
  <c r="AG46" i="15" s="1"/>
  <c r="AW46" i="15" s="1"/>
  <c r="BA46" i="15" s="1"/>
  <c r="AC67" i="9"/>
  <c r="AI67" i="9" s="1"/>
  <c r="M19" i="6" s="1"/>
  <c r="N19" i="6" s="1"/>
  <c r="AU45" i="15"/>
  <c r="W6" i="5"/>
  <c r="B8" i="5" s="1"/>
  <c r="B17" i="5" s="1"/>
  <c r="P41" i="6"/>
  <c r="Q41" i="6" s="1"/>
  <c r="AC73" i="9"/>
  <c r="AI73" i="9" s="1"/>
  <c r="F190" i="1" s="1"/>
  <c r="D27" i="6"/>
  <c r="E27" i="6" s="1"/>
  <c r="P9" i="5"/>
  <c r="E15" i="5" s="1"/>
  <c r="BJ7" i="7"/>
  <c r="P40" i="7"/>
  <c r="Q40" i="7" s="1"/>
  <c r="P39" i="7"/>
  <c r="Q39" i="7" s="1"/>
  <c r="L257" i="1"/>
  <c r="K257" i="1"/>
  <c r="K245" i="1"/>
  <c r="L245" i="1"/>
  <c r="K341" i="1"/>
  <c r="L341" i="1"/>
  <c r="K101" i="1"/>
  <c r="L101" i="1"/>
  <c r="K215" i="1"/>
  <c r="L215" i="1"/>
  <c r="K120" i="1"/>
  <c r="L120" i="1"/>
  <c r="K88" i="1"/>
  <c r="L88" i="1"/>
  <c r="K118" i="1"/>
  <c r="L118" i="1"/>
  <c r="L122" i="1"/>
  <c r="K122" i="1"/>
  <c r="L56" i="1"/>
  <c r="K56" i="1"/>
  <c r="K236" i="1"/>
  <c r="L236" i="1"/>
  <c r="K125" i="1"/>
  <c r="L125" i="1"/>
  <c r="K84" i="1"/>
  <c r="L84" i="1"/>
  <c r="L113" i="1"/>
  <c r="K113" i="1"/>
  <c r="L81" i="1"/>
  <c r="K81" i="1"/>
  <c r="K207" i="1"/>
  <c r="L207" i="1"/>
  <c r="K94" i="1"/>
  <c r="L94" i="1"/>
  <c r="K55" i="1"/>
  <c r="L55" i="1"/>
  <c r="AU54" i="17"/>
  <c r="G44" i="15"/>
  <c r="AG44" i="15" s="1"/>
  <c r="AW44" i="15" s="1"/>
  <c r="BA44" i="15" s="1"/>
  <c r="AU23" i="16"/>
  <c r="V83" i="11"/>
  <c r="Y83" i="11" s="1"/>
  <c r="CE83" i="11" s="1"/>
  <c r="CI83" i="11" s="1"/>
  <c r="V95" i="11"/>
  <c r="BW95" i="11" s="1"/>
  <c r="CA95" i="11" s="1"/>
  <c r="L209" i="1"/>
  <c r="K209" i="1"/>
  <c r="BO35" i="11"/>
  <c r="BS35" i="11" s="1"/>
  <c r="F305" i="1" s="1"/>
  <c r="V13" i="11"/>
  <c r="BW13" i="11" s="1"/>
  <c r="CA13" i="11" s="1"/>
  <c r="F240" i="1" s="1"/>
  <c r="AM13" i="21"/>
  <c r="BD13" i="21" s="1"/>
  <c r="BH13" i="21" s="1"/>
  <c r="F777" i="1" s="1"/>
  <c r="L813" i="1"/>
  <c r="L123" i="1"/>
  <c r="K123" i="1"/>
  <c r="L91" i="1"/>
  <c r="K91" i="1"/>
  <c r="L59" i="1"/>
  <c r="K59" i="1"/>
  <c r="K78" i="1"/>
  <c r="L78" i="1"/>
  <c r="K69" i="1"/>
  <c r="L69" i="1"/>
  <c r="L114" i="1"/>
  <c r="K114" i="1"/>
  <c r="L82" i="1"/>
  <c r="K82" i="1"/>
  <c r="L50" i="1"/>
  <c r="K50" i="1"/>
  <c r="F86" i="1"/>
  <c r="H35" i="7"/>
  <c r="L211" i="1"/>
  <c r="K211" i="1"/>
  <c r="K85" i="1"/>
  <c r="L85" i="1"/>
  <c r="K116" i="1"/>
  <c r="L116" i="1"/>
  <c r="L112" i="1"/>
  <c r="K112" i="1"/>
  <c r="L80" i="1"/>
  <c r="K80" i="1"/>
  <c r="L48" i="1"/>
  <c r="K48" i="1"/>
  <c r="K119" i="1"/>
  <c r="L119" i="1"/>
  <c r="K79" i="1"/>
  <c r="L79" i="1"/>
  <c r="K47" i="1"/>
  <c r="L47" i="1"/>
  <c r="K213" i="1"/>
  <c r="L213" i="1"/>
  <c r="L99" i="1"/>
  <c r="K99" i="1"/>
  <c r="L90" i="1"/>
  <c r="K90" i="1"/>
  <c r="K214" i="1"/>
  <c r="L214" i="1"/>
  <c r="L217" i="1"/>
  <c r="K217" i="1"/>
  <c r="AU20" i="18"/>
  <c r="G8" i="16"/>
  <c r="AG8" i="16" s="1"/>
  <c r="AW8" i="16" s="1"/>
  <c r="BA8" i="16" s="1"/>
  <c r="AU32" i="16"/>
  <c r="AU46" i="14"/>
  <c r="G33" i="12"/>
  <c r="T33" i="12" s="1"/>
  <c r="AH33" i="12" s="1"/>
  <c r="G17" i="12"/>
  <c r="T17" i="12" s="1"/>
  <c r="AH17" i="12" s="1"/>
  <c r="AL17" i="12" s="1"/>
  <c r="K216" i="1"/>
  <c r="L216" i="1"/>
  <c r="P44" i="7"/>
  <c r="Q44" i="7" s="1"/>
  <c r="K317" i="1"/>
  <c r="L317" i="1"/>
  <c r="K221" i="1"/>
  <c r="L221" i="1"/>
  <c r="L275" i="1"/>
  <c r="K275" i="1"/>
  <c r="G9" i="17"/>
  <c r="AG9" i="17" s="1"/>
  <c r="AW9" i="17" s="1"/>
  <c r="L115" i="1"/>
  <c r="K115" i="1"/>
  <c r="AU30" i="18"/>
  <c r="H52" i="6"/>
  <c r="K212" i="1"/>
  <c r="L212" i="1"/>
  <c r="K60" i="1"/>
  <c r="L60" i="1"/>
  <c r="L105" i="1"/>
  <c r="K105" i="1"/>
  <c r="L73" i="1"/>
  <c r="K73" i="1"/>
  <c r="L41" i="1"/>
  <c r="K41" i="1"/>
  <c r="K110" i="1"/>
  <c r="L110" i="1"/>
  <c r="K54" i="1"/>
  <c r="L54" i="1"/>
  <c r="L67" i="1"/>
  <c r="K67" i="1"/>
  <c r="L58" i="1"/>
  <c r="K58" i="1"/>
  <c r="G43" i="15"/>
  <c r="AG43" i="15" s="1"/>
  <c r="AW43" i="15" s="1"/>
  <c r="BA43" i="15" s="1"/>
  <c r="AU28" i="15"/>
  <c r="AU15" i="16"/>
  <c r="V94" i="11"/>
  <c r="BW94" i="11" s="1"/>
  <c r="CA94" i="11" s="1"/>
  <c r="V51" i="11"/>
  <c r="Y51" i="11" s="1"/>
  <c r="CE51" i="11" s="1"/>
  <c r="CI51" i="11" s="1"/>
  <c r="F355" i="1" s="1"/>
  <c r="V19" i="11"/>
  <c r="BW19" i="11" s="1"/>
  <c r="CA19" i="11" s="1"/>
  <c r="F258" i="1" s="1"/>
  <c r="V54" i="11"/>
  <c r="Y54" i="11" s="1"/>
  <c r="CE54" i="11" s="1"/>
  <c r="CI54" i="11" s="1"/>
  <c r="F364" i="1" s="1"/>
  <c r="K263" i="1"/>
  <c r="L263" i="1"/>
  <c r="AU22" i="18"/>
  <c r="H43" i="6"/>
  <c r="AU7" i="17"/>
  <c r="AX27" i="15"/>
  <c r="AZ27" i="15" s="1"/>
  <c r="M544" i="1" s="1"/>
  <c r="F49" i="1"/>
  <c r="L83" i="1"/>
  <c r="K83" i="1"/>
  <c r="L51" i="1"/>
  <c r="K51" i="1"/>
  <c r="K62" i="1"/>
  <c r="L62" i="1"/>
  <c r="K45" i="1"/>
  <c r="L45" i="1"/>
  <c r="L106" i="1"/>
  <c r="K106" i="1"/>
  <c r="L74" i="1"/>
  <c r="K74" i="1"/>
  <c r="D35" i="7"/>
  <c r="F42" i="1"/>
  <c r="K70" i="1"/>
  <c r="L70" i="1"/>
  <c r="K208" i="1"/>
  <c r="L208" i="1"/>
  <c r="K61" i="1"/>
  <c r="L61" i="1"/>
  <c r="K76" i="1"/>
  <c r="L76" i="1"/>
  <c r="L104" i="1"/>
  <c r="K104" i="1"/>
  <c r="K72" i="1"/>
  <c r="L72" i="1"/>
  <c r="K40" i="1"/>
  <c r="L40" i="1"/>
  <c r="K103" i="1"/>
  <c r="L103" i="1"/>
  <c r="K71" i="1"/>
  <c r="L71" i="1"/>
  <c r="K39" i="1"/>
  <c r="L39" i="1"/>
  <c r="K52" i="1"/>
  <c r="L52" i="1"/>
  <c r="K87" i="1"/>
  <c r="L87" i="1"/>
  <c r="G7" i="17"/>
  <c r="AG7" i="17" s="1"/>
  <c r="AW7" i="17" s="1"/>
  <c r="BA7" i="17" s="1"/>
  <c r="F620" i="1" s="1"/>
  <c r="G26" i="17"/>
  <c r="AG26" i="17" s="1"/>
  <c r="AW26" i="17" s="1"/>
  <c r="BA26" i="17" s="1"/>
  <c r="G30" i="13"/>
  <c r="AB30" i="13" s="1"/>
  <c r="AR30" i="13" s="1"/>
  <c r="AV30" i="13" s="1"/>
  <c r="AX30" i="13" s="1"/>
  <c r="H451" i="1" s="1"/>
  <c r="V104" i="11"/>
  <c r="BW104" i="11" s="1"/>
  <c r="CA104" i="11" s="1"/>
  <c r="BO67" i="11"/>
  <c r="BS67" i="11" s="1"/>
  <c r="V41" i="11"/>
  <c r="Y41" i="11" s="1"/>
  <c r="CE41" i="11" s="1"/>
  <c r="CI41" i="11" s="1"/>
  <c r="F325" i="1" s="1"/>
  <c r="W8" i="5"/>
  <c r="D8" i="5" s="1"/>
  <c r="D17" i="5" s="1"/>
  <c r="L251" i="1"/>
  <c r="K251" i="1"/>
  <c r="D52" i="6"/>
  <c r="D43" i="6"/>
  <c r="F794" i="1"/>
  <c r="K794" i="1" s="1"/>
  <c r="L97" i="1"/>
  <c r="K97" i="1"/>
  <c r="L65" i="1"/>
  <c r="K65" i="1"/>
  <c r="K77" i="1"/>
  <c r="L77" i="1"/>
  <c r="K100" i="1"/>
  <c r="L100" i="1"/>
  <c r="V100" i="11"/>
  <c r="BW100" i="11" s="1"/>
  <c r="CA100" i="11" s="1"/>
  <c r="V14" i="11"/>
  <c r="BW14" i="11" s="1"/>
  <c r="CA14" i="11" s="1"/>
  <c r="F243" i="1" s="1"/>
  <c r="V57" i="11"/>
  <c r="BW57" i="11" s="1"/>
  <c r="CA57" i="11" s="1"/>
  <c r="F372" i="1" s="1"/>
  <c r="V15" i="11"/>
  <c r="BW15" i="11" s="1"/>
  <c r="CA15" i="11" s="1"/>
  <c r="F246" i="1" s="1"/>
  <c r="V49" i="11"/>
  <c r="BW49" i="11" s="1"/>
  <c r="CA49" i="11" s="1"/>
  <c r="F348" i="1" s="1"/>
  <c r="BO37" i="11"/>
  <c r="BS37" i="11" s="1"/>
  <c r="F311" i="1" s="1"/>
  <c r="E47" i="4"/>
  <c r="K281" i="1"/>
  <c r="L281" i="1"/>
  <c r="K239" i="1"/>
  <c r="L239" i="1"/>
  <c r="D51" i="7"/>
  <c r="M51" i="7" s="1"/>
  <c r="L107" i="1"/>
  <c r="K107" i="1"/>
  <c r="L75" i="1"/>
  <c r="K75" i="1"/>
  <c r="L43" i="1"/>
  <c r="K43" i="1"/>
  <c r="K117" i="1"/>
  <c r="L117" i="1"/>
  <c r="K108" i="1"/>
  <c r="L108" i="1"/>
  <c r="L98" i="1"/>
  <c r="K98" i="1"/>
  <c r="L66" i="1"/>
  <c r="K66" i="1"/>
  <c r="K126" i="1"/>
  <c r="L126" i="1"/>
  <c r="K46" i="1"/>
  <c r="L46" i="1"/>
  <c r="K109" i="1"/>
  <c r="L109" i="1"/>
  <c r="K53" i="1"/>
  <c r="L53" i="1"/>
  <c r="K96" i="1"/>
  <c r="L96" i="1"/>
  <c r="L64" i="1"/>
  <c r="K64" i="1"/>
  <c r="K111" i="1"/>
  <c r="L111" i="1"/>
  <c r="K95" i="1"/>
  <c r="L95" i="1"/>
  <c r="K63" i="1"/>
  <c r="L63" i="1"/>
  <c r="K302" i="1"/>
  <c r="L302" i="1"/>
  <c r="K260" i="1"/>
  <c r="L260" i="1"/>
  <c r="K269" i="1"/>
  <c r="L269" i="1"/>
  <c r="L323" i="1"/>
  <c r="K323" i="1"/>
  <c r="L227" i="1"/>
  <c r="K227" i="1"/>
  <c r="L344" i="1"/>
  <c r="F102" i="1"/>
  <c r="K92" i="1"/>
  <c r="L92" i="1"/>
  <c r="L121" i="1"/>
  <c r="K121" i="1"/>
  <c r="L89" i="1"/>
  <c r="K89" i="1"/>
  <c r="L57" i="1"/>
  <c r="K57" i="1"/>
  <c r="L210" i="1"/>
  <c r="K210" i="1"/>
  <c r="K68" i="1"/>
  <c r="L68" i="1"/>
  <c r="M15" i="6"/>
  <c r="N15" i="6" s="1"/>
  <c r="F180" i="1"/>
  <c r="K829" i="1"/>
  <c r="L829" i="1"/>
  <c r="L789" i="1"/>
  <c r="K789" i="1"/>
  <c r="K198" i="1"/>
  <c r="L198" i="1"/>
  <c r="M13" i="6"/>
  <c r="N13" i="6" s="1"/>
  <c r="F178" i="1"/>
  <c r="L785" i="1"/>
  <c r="K785" i="1"/>
  <c r="L821" i="1"/>
  <c r="K821" i="1"/>
  <c r="M7" i="6"/>
  <c r="N7" i="6" s="1"/>
  <c r="F172" i="1"/>
  <c r="M6" i="6"/>
  <c r="N6" i="6" s="1"/>
  <c r="F171" i="1"/>
  <c r="J20" i="6"/>
  <c r="K20" i="6" s="1"/>
  <c r="F163" i="1"/>
  <c r="L788" i="1"/>
  <c r="K788" i="1"/>
  <c r="L206" i="1"/>
  <c r="K206" i="1"/>
  <c r="M21" i="6"/>
  <c r="N21" i="6" s="1"/>
  <c r="F186" i="1"/>
  <c r="G11" i="6"/>
  <c r="H11" i="6" s="1"/>
  <c r="F132" i="1"/>
  <c r="L812" i="1"/>
  <c r="K812" i="1"/>
  <c r="L820" i="1"/>
  <c r="K820" i="1"/>
  <c r="L780" i="1"/>
  <c r="K780" i="1"/>
  <c r="L787" i="1"/>
  <c r="K787" i="1"/>
  <c r="G6" i="6"/>
  <c r="H6" i="6" s="1"/>
  <c r="F127" i="1"/>
  <c r="K781" i="1"/>
  <c r="L781" i="1"/>
  <c r="M12" i="6"/>
  <c r="N12" i="6" s="1"/>
  <c r="F177" i="1"/>
  <c r="K790" i="1"/>
  <c r="L790" i="1"/>
  <c r="J18" i="6"/>
  <c r="K18" i="6" s="1"/>
  <c r="F161" i="1"/>
  <c r="K783" i="1"/>
  <c r="L783" i="1"/>
  <c r="J8" i="6"/>
  <c r="K8" i="6" s="1"/>
  <c r="F151" i="1"/>
  <c r="J23" i="6"/>
  <c r="K23" i="6" s="1"/>
  <c r="F166" i="1"/>
  <c r="M18" i="6"/>
  <c r="N18" i="6" s="1"/>
  <c r="F183" i="1"/>
  <c r="G9" i="6"/>
  <c r="H9" i="6" s="1"/>
  <c r="F130" i="1"/>
  <c r="G10" i="6"/>
  <c r="H10" i="6" s="1"/>
  <c r="F131" i="1"/>
  <c r="K786" i="1"/>
  <c r="L786" i="1"/>
  <c r="L814" i="1"/>
  <c r="K814" i="1"/>
  <c r="L779" i="1"/>
  <c r="K779" i="1"/>
  <c r="G7" i="6"/>
  <c r="H7" i="6" s="1"/>
  <c r="F128" i="1"/>
  <c r="K816" i="1"/>
  <c r="L816" i="1"/>
  <c r="M14" i="6"/>
  <c r="N14" i="6" s="1"/>
  <c r="F179" i="1"/>
  <c r="L782" i="1"/>
  <c r="K782" i="1"/>
  <c r="K822" i="1"/>
  <c r="L822" i="1"/>
  <c r="L828" i="1"/>
  <c r="K828" i="1"/>
  <c r="K823" i="1"/>
  <c r="L823" i="1"/>
  <c r="L827" i="1"/>
  <c r="K827" i="1"/>
  <c r="J7" i="6"/>
  <c r="K7" i="6" s="1"/>
  <c r="F150" i="1"/>
  <c r="G21" i="6"/>
  <c r="H21" i="6" s="1"/>
  <c r="F142" i="1"/>
  <c r="J13" i="6"/>
  <c r="K13" i="6" s="1"/>
  <c r="F156" i="1"/>
  <c r="M20" i="6"/>
  <c r="N20" i="6" s="1"/>
  <c r="F185" i="1"/>
  <c r="F802" i="1"/>
  <c r="L778" i="1"/>
  <c r="K778" i="1"/>
  <c r="K784" i="1"/>
  <c r="L784" i="1"/>
  <c r="F173" i="1"/>
  <c r="M8" i="6"/>
  <c r="N8" i="6" s="1"/>
  <c r="K815" i="1"/>
  <c r="L815" i="1"/>
  <c r="L819" i="1"/>
  <c r="K819" i="1"/>
  <c r="G8" i="6"/>
  <c r="H8" i="6" s="1"/>
  <c r="F129" i="1"/>
  <c r="J6" i="6"/>
  <c r="K6" i="6" s="1"/>
  <c r="F149" i="1"/>
  <c r="AU16" i="18"/>
  <c r="AU31" i="18"/>
  <c r="G43" i="18"/>
  <c r="AG43" i="18" s="1"/>
  <c r="AW43" i="18" s="1"/>
  <c r="BA43" i="18" s="1"/>
  <c r="AU51" i="18"/>
  <c r="G23" i="18"/>
  <c r="AG23" i="18" s="1"/>
  <c r="AW23" i="18" s="1"/>
  <c r="G37" i="18"/>
  <c r="AG37" i="18" s="1"/>
  <c r="AW37" i="18" s="1"/>
  <c r="G49" i="18"/>
  <c r="AG49" i="18" s="1"/>
  <c r="AW49" i="18" s="1"/>
  <c r="G8" i="18"/>
  <c r="AG8" i="18" s="1"/>
  <c r="AW8" i="18" s="1"/>
  <c r="BA8" i="18" s="1"/>
  <c r="AU14" i="18"/>
  <c r="AX32" i="17"/>
  <c r="AZ32" i="17" s="1"/>
  <c r="M645" i="1" s="1"/>
  <c r="AU37" i="17"/>
  <c r="AU17" i="17"/>
  <c r="G8" i="17"/>
  <c r="AG8" i="17" s="1"/>
  <c r="AW8" i="17" s="1"/>
  <c r="AU21" i="16"/>
  <c r="AU27" i="16"/>
  <c r="G9" i="16"/>
  <c r="AG9" i="16" s="1"/>
  <c r="AW9" i="16" s="1"/>
  <c r="BA9" i="16" s="1"/>
  <c r="G7" i="16"/>
  <c r="AG7" i="16" s="1"/>
  <c r="AW7" i="16" s="1"/>
  <c r="BA7" i="16" s="1"/>
  <c r="G10" i="16"/>
  <c r="AG10" i="16" s="1"/>
  <c r="AW10" i="16" s="1"/>
  <c r="BA10" i="16" s="1"/>
  <c r="G7" i="15"/>
  <c r="AG7" i="15" s="1"/>
  <c r="AW7" i="15" s="1"/>
  <c r="BA7" i="15" s="1"/>
  <c r="G40" i="15"/>
  <c r="AG40" i="15" s="1"/>
  <c r="AW40" i="15" s="1"/>
  <c r="BA40" i="15" s="1"/>
  <c r="G32" i="14"/>
  <c r="AG32" i="14" s="1"/>
  <c r="AW32" i="14" s="1"/>
  <c r="BA32" i="14" s="1"/>
  <c r="AX40" i="14"/>
  <c r="AZ40" i="14" s="1"/>
  <c r="M509" i="1" s="1"/>
  <c r="G43" i="14"/>
  <c r="AG43" i="14" s="1"/>
  <c r="AW43" i="14" s="1"/>
  <c r="BA43" i="14" s="1"/>
  <c r="BC43" i="14" s="1"/>
  <c r="H512" i="1" s="1"/>
  <c r="G26" i="13"/>
  <c r="AB26" i="13" s="1"/>
  <c r="AR26" i="13" s="1"/>
  <c r="AV26" i="13" s="1"/>
  <c r="AX26" i="13" s="1"/>
  <c r="H447" i="1" s="1"/>
  <c r="G14" i="13"/>
  <c r="AB14" i="13" s="1"/>
  <c r="AR14" i="13" s="1"/>
  <c r="AV14" i="13" s="1"/>
  <c r="G17" i="13"/>
  <c r="AB17" i="13" s="1"/>
  <c r="AR17" i="13" s="1"/>
  <c r="AV17" i="13" s="1"/>
  <c r="AX17" i="13" s="1"/>
  <c r="H438" i="1" s="1"/>
  <c r="G13" i="13"/>
  <c r="AB13" i="13" s="1"/>
  <c r="AR13" i="13" s="1"/>
  <c r="AV13" i="13" s="1"/>
  <c r="G43" i="13"/>
  <c r="AB43" i="13" s="1"/>
  <c r="AR43" i="13" s="1"/>
  <c r="AV43" i="13" s="1"/>
  <c r="F464" i="1" s="1"/>
  <c r="G16" i="13"/>
  <c r="AB16" i="13" s="1"/>
  <c r="AR16" i="13" s="1"/>
  <c r="AV16" i="13" s="1"/>
  <c r="AX16" i="13" s="1"/>
  <c r="H437" i="1" s="1"/>
  <c r="AI50" i="12"/>
  <c r="AK50" i="12" s="1"/>
  <c r="M423" i="1" s="1"/>
  <c r="AI52" i="12"/>
  <c r="AK52" i="12" s="1"/>
  <c r="M425" i="1" s="1"/>
  <c r="G8" i="12"/>
  <c r="T8" i="12" s="1"/>
  <c r="AH8" i="12" s="1"/>
  <c r="AL8" i="12" s="1"/>
  <c r="G11" i="12"/>
  <c r="T11" i="12" s="1"/>
  <c r="AH11" i="12" s="1"/>
  <c r="AL11" i="12" s="1"/>
  <c r="AL36" i="12"/>
  <c r="AN36" i="12" s="1"/>
  <c r="H409" i="1" s="1"/>
  <c r="G25" i="12"/>
  <c r="T25" i="12" s="1"/>
  <c r="AH25" i="12" s="1"/>
  <c r="AL25" i="12" s="1"/>
  <c r="G9" i="12"/>
  <c r="T9" i="12" s="1"/>
  <c r="AH9" i="12" s="1"/>
  <c r="AF36" i="12"/>
  <c r="C15" i="2"/>
  <c r="M5" i="4"/>
  <c r="P38" i="7"/>
  <c r="Q38" i="7" s="1"/>
  <c r="G26" i="18"/>
  <c r="AG26" i="18" s="1"/>
  <c r="AW26" i="18" s="1"/>
  <c r="BA26" i="18" s="1"/>
  <c r="G24" i="17"/>
  <c r="AG24" i="17" s="1"/>
  <c r="AW24" i="17" s="1"/>
  <c r="BA24" i="17" s="1"/>
  <c r="V93" i="11"/>
  <c r="BW93" i="11" s="1"/>
  <c r="CA93" i="11" s="1"/>
  <c r="M6" i="4"/>
  <c r="BO52" i="11"/>
  <c r="BS52" i="11" s="1"/>
  <c r="F356" i="1" s="1"/>
  <c r="V36" i="11"/>
  <c r="BW36" i="11" s="1"/>
  <c r="CA36" i="11" s="1"/>
  <c r="F309" i="1" s="1"/>
  <c r="V45" i="11"/>
  <c r="Y45" i="11" s="1"/>
  <c r="CE45" i="11" s="1"/>
  <c r="CI45" i="11" s="1"/>
  <c r="F337" i="1" s="1"/>
  <c r="AX41" i="14"/>
  <c r="AZ41" i="14" s="1"/>
  <c r="M510" i="1" s="1"/>
  <c r="M4" i="4"/>
  <c r="AG43" i="16"/>
  <c r="AW43" i="16" s="1"/>
  <c r="BA43" i="16" s="1"/>
  <c r="F627" i="1"/>
  <c r="BV14" i="17"/>
  <c r="H627" i="1" s="1"/>
  <c r="BO78" i="11"/>
  <c r="BS78" i="11" s="1"/>
  <c r="P17" i="5"/>
  <c r="E7" i="5" s="1"/>
  <c r="E16" i="5" s="1"/>
  <c r="G36" i="17"/>
  <c r="AG36" i="17" s="1"/>
  <c r="AW36" i="17" s="1"/>
  <c r="BA36" i="17" s="1"/>
  <c r="G52" i="17"/>
  <c r="AG52" i="17" s="1"/>
  <c r="AW52" i="17" s="1"/>
  <c r="BA52" i="17" s="1"/>
  <c r="G45" i="17"/>
  <c r="AG45" i="17" s="1"/>
  <c r="AW45" i="17" s="1"/>
  <c r="BA45" i="17" s="1"/>
  <c r="G39" i="15"/>
  <c r="AG39" i="15" s="1"/>
  <c r="AW39" i="15" s="1"/>
  <c r="BA39" i="15" s="1"/>
  <c r="G27" i="15"/>
  <c r="AG27" i="15" s="1"/>
  <c r="AW27" i="15" s="1"/>
  <c r="G11" i="15"/>
  <c r="AG11" i="15" s="1"/>
  <c r="AW11" i="15" s="1"/>
  <c r="BA11" i="15" s="1"/>
  <c r="G32" i="15"/>
  <c r="AG32" i="15" s="1"/>
  <c r="AW32" i="15" s="1"/>
  <c r="BA32" i="15" s="1"/>
  <c r="G16" i="15"/>
  <c r="AG16" i="15" s="1"/>
  <c r="AW16" i="15" s="1"/>
  <c r="BA16" i="15" s="1"/>
  <c r="G53" i="15"/>
  <c r="AG53" i="15" s="1"/>
  <c r="AW53" i="15" s="1"/>
  <c r="G10" i="14"/>
  <c r="AG10" i="14" s="1"/>
  <c r="AW10" i="14" s="1"/>
  <c r="BA10" i="14" s="1"/>
  <c r="F479" i="1" s="1"/>
  <c r="G31" i="14"/>
  <c r="AG31" i="14" s="1"/>
  <c r="AW31" i="14" s="1"/>
  <c r="G31" i="13"/>
  <c r="AB31" i="13" s="1"/>
  <c r="AR31" i="13" s="1"/>
  <c r="AV31" i="13" s="1"/>
  <c r="AX31" i="13" s="1"/>
  <c r="H452" i="1" s="1"/>
  <c r="G7" i="12"/>
  <c r="T7" i="12" s="1"/>
  <c r="AH7" i="12" s="1"/>
  <c r="AL7" i="12" s="1"/>
  <c r="AQ7" i="19"/>
  <c r="AX25" i="16"/>
  <c r="AZ25" i="16" s="1"/>
  <c r="M590" i="1" s="1"/>
  <c r="R34" i="7"/>
  <c r="N34" i="7" s="1"/>
  <c r="P8" i="5"/>
  <c r="D15" i="5" s="1"/>
  <c r="AX31" i="16"/>
  <c r="AZ31" i="16" s="1"/>
  <c r="M596" i="1" s="1"/>
  <c r="AU47" i="14"/>
  <c r="AU41" i="16"/>
  <c r="AU33" i="16"/>
  <c r="AU39" i="16"/>
  <c r="D10" i="6"/>
  <c r="E10" i="6" s="1"/>
  <c r="F795" i="1"/>
  <c r="D24" i="6"/>
  <c r="E24" i="6" s="1"/>
  <c r="F809" i="1"/>
  <c r="D18" i="6"/>
  <c r="E18" i="6" s="1"/>
  <c r="F803" i="1"/>
  <c r="D20" i="6"/>
  <c r="E20" i="6" s="1"/>
  <c r="F805" i="1"/>
  <c r="D16" i="6"/>
  <c r="E16" i="6" s="1"/>
  <c r="F801" i="1"/>
  <c r="D23" i="6"/>
  <c r="E23" i="6" s="1"/>
  <c r="F808" i="1"/>
  <c r="D21" i="6"/>
  <c r="E21" i="6" s="1"/>
  <c r="F806" i="1"/>
  <c r="D14" i="6"/>
  <c r="E14" i="6" s="1"/>
  <c r="F799" i="1"/>
  <c r="D22" i="6"/>
  <c r="E22" i="6" s="1"/>
  <c r="F807" i="1"/>
  <c r="D12" i="6"/>
  <c r="E12" i="6" s="1"/>
  <c r="F797" i="1"/>
  <c r="D15" i="6"/>
  <c r="E15" i="6" s="1"/>
  <c r="F800" i="1"/>
  <c r="D13" i="6"/>
  <c r="E13" i="6" s="1"/>
  <c r="F798" i="1"/>
  <c r="D11" i="6"/>
  <c r="E11" i="6" s="1"/>
  <c r="F796" i="1"/>
  <c r="D19" i="6"/>
  <c r="E19" i="6" s="1"/>
  <c r="F804" i="1"/>
  <c r="F792" i="1"/>
  <c r="D7" i="6"/>
  <c r="E7" i="6" s="1"/>
  <c r="D8" i="6"/>
  <c r="E8" i="6" s="1"/>
  <c r="F793" i="1"/>
  <c r="D6" i="6"/>
  <c r="E6" i="6" s="1"/>
  <c r="F791" i="1"/>
  <c r="Y65" i="11"/>
  <c r="CE65" i="11" s="1"/>
  <c r="CI65" i="11" s="1"/>
  <c r="BW65" i="11"/>
  <c r="CA65" i="11" s="1"/>
  <c r="AC36" i="9"/>
  <c r="AI36" i="9" s="1"/>
  <c r="G41" i="16"/>
  <c r="AG41" i="16" s="1"/>
  <c r="AW41" i="16" s="1"/>
  <c r="BA41" i="16" s="1"/>
  <c r="G46" i="16"/>
  <c r="AG46" i="16" s="1"/>
  <c r="AW46" i="16" s="1"/>
  <c r="G32" i="16"/>
  <c r="AG32" i="16" s="1"/>
  <c r="AW32" i="16" s="1"/>
  <c r="BA32" i="16" s="1"/>
  <c r="G16" i="16"/>
  <c r="AG16" i="16" s="1"/>
  <c r="AW16" i="16" s="1"/>
  <c r="BA16" i="16" s="1"/>
  <c r="G20" i="12"/>
  <c r="T20" i="12" s="1"/>
  <c r="AH20" i="12" s="1"/>
  <c r="AL20" i="12" s="1"/>
  <c r="BO56" i="11"/>
  <c r="BS56" i="11" s="1"/>
  <c r="F368" i="1" s="1"/>
  <c r="BB18" i="7"/>
  <c r="BH18" i="7" s="1"/>
  <c r="G51" i="15"/>
  <c r="AG51" i="15" s="1"/>
  <c r="AW51" i="15" s="1"/>
  <c r="BA51" i="15" s="1"/>
  <c r="G42" i="14"/>
  <c r="AG42" i="14" s="1"/>
  <c r="AW42" i="14" s="1"/>
  <c r="BA42" i="14" s="1"/>
  <c r="V72" i="11"/>
  <c r="BW72" i="11" s="1"/>
  <c r="CA72" i="11" s="1"/>
  <c r="P15" i="5"/>
  <c r="C7" i="5" s="1"/>
  <c r="C16" i="5" s="1"/>
  <c r="BB24" i="7"/>
  <c r="BH24" i="7" s="1"/>
  <c r="G10" i="21"/>
  <c r="AM10" i="21" s="1"/>
  <c r="BD10" i="21" s="1"/>
  <c r="BH10" i="21" s="1"/>
  <c r="P47" i="6"/>
  <c r="Q47" i="6" s="1"/>
  <c r="G18" i="13"/>
  <c r="AB18" i="13" s="1"/>
  <c r="AR18" i="13" s="1"/>
  <c r="AV18" i="13" s="1"/>
  <c r="AX18" i="13" s="1"/>
  <c r="H439" i="1" s="1"/>
  <c r="G29" i="12"/>
  <c r="T29" i="12" s="1"/>
  <c r="AH29" i="12" s="1"/>
  <c r="AL29" i="12" s="1"/>
  <c r="V81" i="11"/>
  <c r="Y81" i="11" s="1"/>
  <c r="CE81" i="11" s="1"/>
  <c r="CI81" i="11" s="1"/>
  <c r="BO10" i="11"/>
  <c r="BS10" i="11" s="1"/>
  <c r="F230" i="1" s="1"/>
  <c r="BO43" i="11"/>
  <c r="BS43" i="11" s="1"/>
  <c r="F329" i="1" s="1"/>
  <c r="BO44" i="11"/>
  <c r="BS44" i="11" s="1"/>
  <c r="F332" i="1" s="1"/>
  <c r="V12" i="11"/>
  <c r="BW12" i="11" s="1"/>
  <c r="CA12" i="11" s="1"/>
  <c r="F237" i="1" s="1"/>
  <c r="W7" i="5"/>
  <c r="C8" i="5" s="1"/>
  <c r="C17" i="5" s="1"/>
  <c r="BB10" i="7"/>
  <c r="BH10" i="7" s="1"/>
  <c r="BO65" i="11"/>
  <c r="BS65" i="11" s="1"/>
  <c r="AU37" i="16"/>
  <c r="G24" i="13"/>
  <c r="AB24" i="13" s="1"/>
  <c r="AR24" i="13" s="1"/>
  <c r="AV24" i="13" s="1"/>
  <c r="BO6" i="11"/>
  <c r="BS6" i="11" s="1"/>
  <c r="F218" i="1" s="1"/>
  <c r="V39" i="11"/>
  <c r="Y39" i="11" s="1"/>
  <c r="CE39" i="11" s="1"/>
  <c r="CI39" i="11" s="1"/>
  <c r="F319" i="1" s="1"/>
  <c r="BO11" i="11"/>
  <c r="BS11" i="11" s="1"/>
  <c r="F233" i="1" s="1"/>
  <c r="AC65" i="9"/>
  <c r="AI65" i="9" s="1"/>
  <c r="P46" i="7"/>
  <c r="Q46" i="7" s="1"/>
  <c r="BO76" i="11"/>
  <c r="BS76" i="11" s="1"/>
  <c r="V42" i="11"/>
  <c r="Y42" i="11" s="1"/>
  <c r="CE42" i="11" s="1"/>
  <c r="CI42" i="11" s="1"/>
  <c r="F328" i="1" s="1"/>
  <c r="AC30" i="9"/>
  <c r="AI30" i="9" s="1"/>
  <c r="G9" i="13"/>
  <c r="AB9" i="13" s="1"/>
  <c r="AR9" i="13" s="1"/>
  <c r="AV9" i="13" s="1"/>
  <c r="AX9" i="13" s="1"/>
  <c r="H430" i="1" s="1"/>
  <c r="V96" i="11"/>
  <c r="Y96" i="11" s="1"/>
  <c r="CE96" i="11" s="1"/>
  <c r="CI96" i="11" s="1"/>
  <c r="AC59" i="9"/>
  <c r="AI59" i="9" s="1"/>
  <c r="G21" i="12"/>
  <c r="T21" i="12" s="1"/>
  <c r="AH21" i="12" s="1"/>
  <c r="AL21" i="12" s="1"/>
  <c r="AC24" i="9"/>
  <c r="AI24" i="9" s="1"/>
  <c r="G7" i="18"/>
  <c r="AG7" i="18" s="1"/>
  <c r="AW7" i="18" s="1"/>
  <c r="BA7" i="18" s="1"/>
  <c r="G44" i="18"/>
  <c r="AG44" i="18" s="1"/>
  <c r="AW44" i="18" s="1"/>
  <c r="BA44" i="18" s="1"/>
  <c r="G34" i="17"/>
  <c r="AG34" i="17" s="1"/>
  <c r="AW34" i="17" s="1"/>
  <c r="BA34" i="17" s="1"/>
  <c r="G50" i="17"/>
  <c r="AG50" i="17" s="1"/>
  <c r="AW50" i="17" s="1"/>
  <c r="BA50" i="17" s="1"/>
  <c r="G43" i="17"/>
  <c r="AG43" i="17" s="1"/>
  <c r="AW43" i="17" s="1"/>
  <c r="BA43" i="17" s="1"/>
  <c r="G23" i="17"/>
  <c r="AG23" i="17" s="1"/>
  <c r="AW23" i="17" s="1"/>
  <c r="BA23" i="17" s="1"/>
  <c r="G50" i="16"/>
  <c r="AG50" i="16" s="1"/>
  <c r="AW50" i="16" s="1"/>
  <c r="AU35" i="16"/>
  <c r="G46" i="14"/>
  <c r="AG46" i="14" s="1"/>
  <c r="AW46" i="14" s="1"/>
  <c r="G35" i="14"/>
  <c r="AG35" i="14" s="1"/>
  <c r="AW35" i="14" s="1"/>
  <c r="BA35" i="14" s="1"/>
  <c r="BC35" i="14" s="1"/>
  <c r="H504" i="1" s="1"/>
  <c r="G21" i="13"/>
  <c r="AB21" i="13" s="1"/>
  <c r="AR21" i="13" s="1"/>
  <c r="AV21" i="13" s="1"/>
  <c r="F442" i="1" s="1"/>
  <c r="G8" i="13"/>
  <c r="AB8" i="13" s="1"/>
  <c r="AR8" i="13" s="1"/>
  <c r="AV8" i="13" s="1"/>
  <c r="BO80" i="11"/>
  <c r="BS80" i="11" s="1"/>
  <c r="V46" i="11"/>
  <c r="Y46" i="11" s="1"/>
  <c r="CE46" i="11" s="1"/>
  <c r="CI46" i="11" s="1"/>
  <c r="F340" i="1" s="1"/>
  <c r="V27" i="11"/>
  <c r="Y27" i="11" s="1"/>
  <c r="CE27" i="11" s="1"/>
  <c r="CI27" i="11" s="1"/>
  <c r="F283" i="1" s="1"/>
  <c r="V7" i="11"/>
  <c r="BW7" i="11" s="1"/>
  <c r="CA7" i="11" s="1"/>
  <c r="F222" i="1" s="1"/>
  <c r="V9" i="11"/>
  <c r="BW9" i="11" s="1"/>
  <c r="CA9" i="11" s="1"/>
  <c r="F228" i="1" s="1"/>
  <c r="P18" i="5"/>
  <c r="F7" i="5" s="1"/>
  <c r="F16" i="5" s="1"/>
  <c r="P44" i="6"/>
  <c r="Q44" i="6" s="1"/>
  <c r="G21" i="18"/>
  <c r="AG21" i="18" s="1"/>
  <c r="AW21" i="18" s="1"/>
  <c r="BA21" i="18" s="1"/>
  <c r="G52" i="16"/>
  <c r="AG52" i="16" s="1"/>
  <c r="AW52" i="16" s="1"/>
  <c r="G54" i="14"/>
  <c r="AG54" i="14" s="1"/>
  <c r="AW54" i="14" s="1"/>
  <c r="G53" i="14"/>
  <c r="AG53" i="14" s="1"/>
  <c r="AW53" i="14" s="1"/>
  <c r="V23" i="11"/>
  <c r="BW23" i="11" s="1"/>
  <c r="CA23" i="11" s="1"/>
  <c r="F270" i="1" s="1"/>
  <c r="V25" i="11"/>
  <c r="Y25" i="11" s="1"/>
  <c r="CE25" i="11" s="1"/>
  <c r="CI25" i="11" s="1"/>
  <c r="F277" i="1" s="1"/>
  <c r="BB19" i="7"/>
  <c r="BH19" i="7" s="1"/>
  <c r="D7" i="4"/>
  <c r="I7" i="4" s="1"/>
  <c r="AC38" i="9"/>
  <c r="AI38" i="9" s="1"/>
  <c r="AC19" i="9"/>
  <c r="AI19" i="9" s="1"/>
  <c r="G18" i="12"/>
  <c r="T18" i="12" s="1"/>
  <c r="AH18" i="12" s="1"/>
  <c r="AL18" i="12" s="1"/>
  <c r="G25" i="13"/>
  <c r="AB25" i="13" s="1"/>
  <c r="AR25" i="13" s="1"/>
  <c r="AV25" i="13" s="1"/>
  <c r="AX25" i="13" s="1"/>
  <c r="H446" i="1" s="1"/>
  <c r="AC17" i="9"/>
  <c r="AI17" i="9" s="1"/>
  <c r="G15" i="12"/>
  <c r="T15" i="12" s="1"/>
  <c r="AH15" i="12" s="1"/>
  <c r="AL15" i="12" s="1"/>
  <c r="G14" i="12"/>
  <c r="T14" i="12" s="1"/>
  <c r="AH14" i="12" s="1"/>
  <c r="AL14" i="12" s="1"/>
  <c r="BO75" i="11"/>
  <c r="BS75" i="11" s="1"/>
  <c r="BO84" i="11"/>
  <c r="BS84" i="11" s="1"/>
  <c r="V61" i="11"/>
  <c r="BW61" i="11" s="1"/>
  <c r="CA61" i="11" s="1"/>
  <c r="V62" i="11"/>
  <c r="Y62" i="11" s="1"/>
  <c r="CE62" i="11" s="1"/>
  <c r="CI62" i="11" s="1"/>
  <c r="BO63" i="11"/>
  <c r="BS63" i="11" s="1"/>
  <c r="AC74" i="9"/>
  <c r="AI74" i="9" s="1"/>
  <c r="BB13" i="7"/>
  <c r="BH13" i="7" s="1"/>
  <c r="AC86" i="9"/>
  <c r="AI86" i="9" s="1"/>
  <c r="F203" i="1" s="1"/>
  <c r="AU35" i="17"/>
  <c r="G53" i="16"/>
  <c r="AG53" i="16" s="1"/>
  <c r="AW53" i="16" s="1"/>
  <c r="BA53" i="16" s="1"/>
  <c r="G23" i="15"/>
  <c r="AG23" i="15" s="1"/>
  <c r="AW23" i="15" s="1"/>
  <c r="BA23" i="15" s="1"/>
  <c r="G20" i="13"/>
  <c r="AB20" i="13" s="1"/>
  <c r="AR20" i="13" s="1"/>
  <c r="AV20" i="13" s="1"/>
  <c r="AX20" i="13" s="1"/>
  <c r="H441" i="1" s="1"/>
  <c r="BO69" i="11"/>
  <c r="BS69" i="11" s="1"/>
  <c r="BO89" i="11"/>
  <c r="BS89" i="11" s="1"/>
  <c r="V38" i="11"/>
  <c r="BW38" i="11" s="1"/>
  <c r="CA38" i="11" s="1"/>
  <c r="F315" i="1" s="1"/>
  <c r="V17" i="11"/>
  <c r="Y17" i="11" s="1"/>
  <c r="CE17" i="11" s="1"/>
  <c r="CI17" i="11" s="1"/>
  <c r="F253" i="1" s="1"/>
  <c r="P14" i="5"/>
  <c r="B7" i="5" s="1"/>
  <c r="B16" i="5" s="1"/>
  <c r="BB11" i="7"/>
  <c r="BH11" i="7" s="1"/>
  <c r="E11" i="4"/>
  <c r="I11" i="4" s="1"/>
  <c r="BB12" i="7"/>
  <c r="BH12" i="7" s="1"/>
  <c r="P35" i="7"/>
  <c r="Q35" i="7" s="1"/>
  <c r="P45" i="6"/>
  <c r="Q45" i="6" s="1"/>
  <c r="AC80" i="9"/>
  <c r="AI80" i="9" s="1"/>
  <c r="F197" i="1" s="1"/>
  <c r="G9" i="15"/>
  <c r="AG9" i="15" s="1"/>
  <c r="AW9" i="15" s="1"/>
  <c r="BA9" i="15" s="1"/>
  <c r="G45" i="15"/>
  <c r="AG45" i="15" s="1"/>
  <c r="AW45" i="15" s="1"/>
  <c r="BA45" i="15" s="1"/>
  <c r="G10" i="13"/>
  <c r="AB10" i="13" s="1"/>
  <c r="AR10" i="13" s="1"/>
  <c r="AV10" i="13" s="1"/>
  <c r="AX10" i="13" s="1"/>
  <c r="H431" i="1" s="1"/>
  <c r="G15" i="14"/>
  <c r="AG15" i="14" s="1"/>
  <c r="AW15" i="14" s="1"/>
  <c r="BA15" i="14" s="1"/>
  <c r="BC15" i="14" s="1"/>
  <c r="H484" i="1" s="1"/>
  <c r="G11" i="13"/>
  <c r="AB11" i="13" s="1"/>
  <c r="AR11" i="13" s="1"/>
  <c r="AV11" i="13" s="1"/>
  <c r="BB9" i="7"/>
  <c r="BH9" i="7" s="1"/>
  <c r="AC57" i="9"/>
  <c r="AI57" i="9" s="1"/>
  <c r="E23" i="4"/>
  <c r="AC42" i="9"/>
  <c r="AI42" i="9" s="1"/>
  <c r="AC87" i="9"/>
  <c r="AI87" i="9" s="1"/>
  <c r="F204" i="1" s="1"/>
  <c r="G46" i="17"/>
  <c r="AG46" i="17" s="1"/>
  <c r="AW46" i="17" s="1"/>
  <c r="BA46" i="17" s="1"/>
  <c r="G39" i="17"/>
  <c r="AG39" i="17" s="1"/>
  <c r="AW39" i="17" s="1"/>
  <c r="BA39" i="17" s="1"/>
  <c r="G14" i="18"/>
  <c r="AG14" i="18" s="1"/>
  <c r="AW14" i="18" s="1"/>
  <c r="BA14" i="18" s="1"/>
  <c r="G48" i="17"/>
  <c r="AG48" i="17" s="1"/>
  <c r="AW48" i="17" s="1"/>
  <c r="BA48" i="17" s="1"/>
  <c r="G41" i="17"/>
  <c r="AG41" i="17" s="1"/>
  <c r="AW41" i="17" s="1"/>
  <c r="BA41" i="17" s="1"/>
  <c r="G25" i="17"/>
  <c r="AG25" i="17" s="1"/>
  <c r="AW25" i="17" s="1"/>
  <c r="BA25" i="17" s="1"/>
  <c r="G25" i="16"/>
  <c r="AG25" i="16" s="1"/>
  <c r="AW25" i="16" s="1"/>
  <c r="G31" i="15"/>
  <c r="AG31" i="15" s="1"/>
  <c r="AW31" i="15" s="1"/>
  <c r="BA31" i="15" s="1"/>
  <c r="G27" i="14"/>
  <c r="AG27" i="14" s="1"/>
  <c r="AW27" i="14" s="1"/>
  <c r="BA27" i="14" s="1"/>
  <c r="G41" i="13"/>
  <c r="AB41" i="13" s="1"/>
  <c r="AR41" i="13" s="1"/>
  <c r="AV41" i="13" s="1"/>
  <c r="F462" i="1" s="1"/>
  <c r="G45" i="13"/>
  <c r="AB45" i="13" s="1"/>
  <c r="AR45" i="13" s="1"/>
  <c r="AV45" i="13" s="1"/>
  <c r="AX45" i="13" s="1"/>
  <c r="H466" i="1" s="1"/>
  <c r="BB20" i="7"/>
  <c r="BH20" i="7" s="1"/>
  <c r="BB22" i="7"/>
  <c r="BH22" i="7" s="1"/>
  <c r="P53" i="6"/>
  <c r="Q53" i="6" s="1"/>
  <c r="G29" i="14"/>
  <c r="AG29" i="14" s="1"/>
  <c r="AW29" i="14" s="1"/>
  <c r="BA29" i="14" s="1"/>
  <c r="BC29" i="14" s="1"/>
  <c r="H498" i="1" s="1"/>
  <c r="G35" i="12"/>
  <c r="T35" i="12" s="1"/>
  <c r="AH35" i="12" s="1"/>
  <c r="BS51" i="11"/>
  <c r="F353" i="1" s="1"/>
  <c r="AC53" i="9"/>
  <c r="AI53" i="9" s="1"/>
  <c r="G28" i="18"/>
  <c r="AG28" i="18" s="1"/>
  <c r="AW28" i="18" s="1"/>
  <c r="BA28" i="18" s="1"/>
  <c r="G48" i="15"/>
  <c r="AG48" i="15" s="1"/>
  <c r="AW48" i="15" s="1"/>
  <c r="BA48" i="15" s="1"/>
  <c r="G24" i="18"/>
  <c r="AG24" i="18" s="1"/>
  <c r="AW24" i="18" s="1"/>
  <c r="BA24" i="18" s="1"/>
  <c r="G37" i="16"/>
  <c r="AG37" i="16" s="1"/>
  <c r="AW37" i="16" s="1"/>
  <c r="BA37" i="16" s="1"/>
  <c r="G19" i="16"/>
  <c r="AG19" i="16" s="1"/>
  <c r="AW19" i="16" s="1"/>
  <c r="BA19" i="16" s="1"/>
  <c r="G51" i="16"/>
  <c r="AG51" i="16" s="1"/>
  <c r="AW51" i="16" s="1"/>
  <c r="BA51" i="16" s="1"/>
  <c r="G46" i="13"/>
  <c r="AB46" i="13" s="1"/>
  <c r="AR46" i="13" s="1"/>
  <c r="AV46" i="13" s="1"/>
  <c r="G34" i="13"/>
  <c r="AB34" i="13" s="1"/>
  <c r="AR34" i="13" s="1"/>
  <c r="AV34" i="13" s="1"/>
  <c r="F455" i="1" s="1"/>
  <c r="G26" i="12"/>
  <c r="T26" i="12" s="1"/>
  <c r="AH26" i="12" s="1"/>
  <c r="AL26" i="12" s="1"/>
  <c r="AC22" i="9"/>
  <c r="AI22" i="9" s="1"/>
  <c r="AC21" i="9"/>
  <c r="AI21" i="9" s="1"/>
  <c r="AG45" i="16"/>
  <c r="AW45" i="16" s="1"/>
  <c r="BA45" i="16" s="1"/>
  <c r="G8" i="21"/>
  <c r="AM8" i="21" s="1"/>
  <c r="BD8" i="21" s="1"/>
  <c r="BH8" i="21" s="1"/>
  <c r="P32" i="7"/>
  <c r="Q32" i="7" s="1"/>
  <c r="P33" i="6"/>
  <c r="Q33" i="6" s="1"/>
  <c r="G22" i="14"/>
  <c r="AG22" i="14" s="1"/>
  <c r="AW22" i="14" s="1"/>
  <c r="BA22" i="14" s="1"/>
  <c r="AC83" i="9"/>
  <c r="AI83" i="9" s="1"/>
  <c r="F200" i="1" s="1"/>
  <c r="G54" i="18"/>
  <c r="AG54" i="18" s="1"/>
  <c r="AW54" i="18" s="1"/>
  <c r="G29" i="17"/>
  <c r="AG29" i="17" s="1"/>
  <c r="AW29" i="17" s="1"/>
  <c r="BA29" i="17" s="1"/>
  <c r="G13" i="17"/>
  <c r="AG13" i="17" s="1"/>
  <c r="AW13" i="17" s="1"/>
  <c r="BA13" i="17" s="1"/>
  <c r="AG32" i="18"/>
  <c r="AW32" i="18" s="1"/>
  <c r="G36" i="16"/>
  <c r="AG36" i="16" s="1"/>
  <c r="AW36" i="16" s="1"/>
  <c r="BA36" i="16" s="1"/>
  <c r="G20" i="16"/>
  <c r="AG20" i="16" s="1"/>
  <c r="AW20" i="16" s="1"/>
  <c r="BA20" i="16" s="1"/>
  <c r="G42" i="15"/>
  <c r="AG42" i="15" s="1"/>
  <c r="AW42" i="15" s="1"/>
  <c r="BA42" i="15" s="1"/>
  <c r="G21" i="14"/>
  <c r="AG21" i="14" s="1"/>
  <c r="AW21" i="14" s="1"/>
  <c r="BA21" i="14" s="1"/>
  <c r="AC35" i="9"/>
  <c r="AI35" i="9" s="1"/>
  <c r="AC82" i="9"/>
  <c r="AI82" i="9" s="1"/>
  <c r="F199" i="1" s="1"/>
  <c r="G9" i="14"/>
  <c r="AG9" i="14" s="1"/>
  <c r="AW9" i="14" s="1"/>
  <c r="BA9" i="14" s="1"/>
  <c r="G44" i="12"/>
  <c r="T44" i="12" s="1"/>
  <c r="AH44" i="12" s="1"/>
  <c r="AC78" i="9"/>
  <c r="AI78" i="9" s="1"/>
  <c r="F195" i="1" s="1"/>
  <c r="AC16" i="9"/>
  <c r="AI16" i="9" s="1"/>
  <c r="G50" i="18"/>
  <c r="AG50" i="18" s="1"/>
  <c r="AW50" i="18" s="1"/>
  <c r="AC48" i="9"/>
  <c r="AI48" i="9" s="1"/>
  <c r="BO29" i="11"/>
  <c r="BS29" i="11" s="1"/>
  <c r="F287" i="1" s="1"/>
  <c r="P54" i="6"/>
  <c r="Q54" i="6" s="1"/>
  <c r="P53" i="7"/>
  <c r="Q53" i="7" s="1"/>
  <c r="AC75" i="9"/>
  <c r="AI75" i="9" s="1"/>
  <c r="AC50" i="9"/>
  <c r="AI50" i="9" s="1"/>
  <c r="BO53" i="11"/>
  <c r="BS53" i="11" s="1"/>
  <c r="F359" i="1" s="1"/>
  <c r="V53" i="11"/>
  <c r="Y53" i="11" s="1"/>
  <c r="CE53" i="11" s="1"/>
  <c r="CI53" i="11" s="1"/>
  <c r="F361" i="1" s="1"/>
  <c r="BO97" i="11"/>
  <c r="BS97" i="11" s="1"/>
  <c r="V97" i="11"/>
  <c r="Y97" i="11" s="1"/>
  <c r="CE97" i="11" s="1"/>
  <c r="CI97" i="11" s="1"/>
  <c r="AX39" i="14"/>
  <c r="AZ39" i="14" s="1"/>
  <c r="M508" i="1" s="1"/>
  <c r="AU39" i="14"/>
  <c r="V73" i="11"/>
  <c r="BW73" i="11" s="1"/>
  <c r="CA73" i="11" s="1"/>
  <c r="BO73" i="11"/>
  <c r="BS73" i="11" s="1"/>
  <c r="P34" i="6"/>
  <c r="Q34" i="6" s="1"/>
  <c r="P33" i="7"/>
  <c r="Q33" i="7" s="1"/>
  <c r="G13" i="12"/>
  <c r="T13" i="12" s="1"/>
  <c r="AH13" i="12" s="1"/>
  <c r="AL13" i="12" s="1"/>
  <c r="AN13" i="12" s="1"/>
  <c r="H386" i="1" s="1"/>
  <c r="AX31" i="14"/>
  <c r="AZ31" i="14" s="1"/>
  <c r="AU31" i="14"/>
  <c r="AC51" i="9"/>
  <c r="AI51" i="9" s="1"/>
  <c r="AC40" i="9"/>
  <c r="AI40" i="9" s="1"/>
  <c r="G31" i="18"/>
  <c r="AG31" i="18" s="1"/>
  <c r="AW31" i="18" s="1"/>
  <c r="BA31" i="18" s="1"/>
  <c r="G33" i="18"/>
  <c r="AG33" i="18" s="1"/>
  <c r="AW33" i="18" s="1"/>
  <c r="BA33" i="18" s="1"/>
  <c r="G16" i="18"/>
  <c r="AG16" i="18" s="1"/>
  <c r="AW16" i="18" s="1"/>
  <c r="BA16" i="18" s="1"/>
  <c r="AG32" i="17"/>
  <c r="AW32" i="17" s="1"/>
  <c r="BA32" i="17" s="1"/>
  <c r="G19" i="17"/>
  <c r="AG19" i="17" s="1"/>
  <c r="AW19" i="17" s="1"/>
  <c r="BA19" i="17" s="1"/>
  <c r="AG29" i="15"/>
  <c r="AW29" i="15" s="1"/>
  <c r="BA29" i="15" s="1"/>
  <c r="G36" i="14"/>
  <c r="AG36" i="14" s="1"/>
  <c r="AW36" i="14" s="1"/>
  <c r="BA36" i="14" s="1"/>
  <c r="G51" i="14"/>
  <c r="AG51" i="14" s="1"/>
  <c r="AW51" i="14" s="1"/>
  <c r="BA51" i="14" s="1"/>
  <c r="BC51" i="14" s="1"/>
  <c r="H520" i="1" s="1"/>
  <c r="G36" i="13"/>
  <c r="AB36" i="13" s="1"/>
  <c r="AR36" i="13" s="1"/>
  <c r="AV36" i="13" s="1"/>
  <c r="AX36" i="13" s="1"/>
  <c r="H457" i="1" s="1"/>
  <c r="G28" i="12"/>
  <c r="T28" i="12" s="1"/>
  <c r="AH28" i="12" s="1"/>
  <c r="AL28" i="12" s="1"/>
  <c r="BB26" i="7"/>
  <c r="BB21" i="7"/>
  <c r="AC58" i="9"/>
  <c r="AI58" i="9" s="1"/>
  <c r="P36" i="7"/>
  <c r="Q36" i="7" s="1"/>
  <c r="P37" i="6"/>
  <c r="Q37" i="6" s="1"/>
  <c r="AC31" i="9"/>
  <c r="AI31" i="9" s="1"/>
  <c r="G26" i="15"/>
  <c r="AG26" i="15" s="1"/>
  <c r="AW26" i="15" s="1"/>
  <c r="BA26" i="15" s="1"/>
  <c r="G10" i="15"/>
  <c r="AG10" i="15" s="1"/>
  <c r="AW10" i="15" s="1"/>
  <c r="BA10" i="15" s="1"/>
  <c r="G48" i="12"/>
  <c r="T48" i="12" s="1"/>
  <c r="AH48" i="12" s="1"/>
  <c r="AC28" i="9"/>
  <c r="AI28" i="9" s="1"/>
  <c r="G30" i="15"/>
  <c r="AG30" i="15" s="1"/>
  <c r="AW30" i="15" s="1"/>
  <c r="BA30" i="15" s="1"/>
  <c r="G50" i="12"/>
  <c r="T50" i="12" s="1"/>
  <c r="AH50" i="12" s="1"/>
  <c r="G11" i="21"/>
  <c r="AM11" i="21" s="1"/>
  <c r="BD11" i="21" s="1"/>
  <c r="BH11" i="21" s="1"/>
  <c r="G18" i="18"/>
  <c r="AG18" i="18" s="1"/>
  <c r="AW18" i="18" s="1"/>
  <c r="G21" i="15"/>
  <c r="AG21" i="15" s="1"/>
  <c r="AW21" i="15" s="1"/>
  <c r="BA21" i="15" s="1"/>
  <c r="BA29" i="16"/>
  <c r="G39" i="18"/>
  <c r="AG39" i="18" s="1"/>
  <c r="AW39" i="18" s="1"/>
  <c r="BA39" i="18" s="1"/>
  <c r="G29" i="18"/>
  <c r="AG29" i="18" s="1"/>
  <c r="AW29" i="18" s="1"/>
  <c r="G52" i="13"/>
  <c r="AB52" i="13" s="1"/>
  <c r="AR52" i="13" s="1"/>
  <c r="AV52" i="13" s="1"/>
  <c r="AX52" i="13" s="1"/>
  <c r="H473" i="1" s="1"/>
  <c r="G39" i="13"/>
  <c r="AB39" i="13" s="1"/>
  <c r="AR39" i="13" s="1"/>
  <c r="AV39" i="13" s="1"/>
  <c r="AX39" i="13" s="1"/>
  <c r="H460" i="1" s="1"/>
  <c r="G51" i="13"/>
  <c r="AB51" i="13" s="1"/>
  <c r="AR51" i="13" s="1"/>
  <c r="AV51" i="13" s="1"/>
  <c r="AX51" i="13" s="1"/>
  <c r="H472" i="1" s="1"/>
  <c r="G47" i="12"/>
  <c r="T47" i="12" s="1"/>
  <c r="AH47" i="12" s="1"/>
  <c r="BB17" i="7"/>
  <c r="BH17" i="7" s="1"/>
  <c r="P50" i="7"/>
  <c r="Q50" i="7" s="1"/>
  <c r="AC72" i="9"/>
  <c r="AI72" i="9" s="1"/>
  <c r="P51" i="6"/>
  <c r="Q51" i="6" s="1"/>
  <c r="AC18" i="9"/>
  <c r="AI18" i="9" s="1"/>
  <c r="P52" i="6"/>
  <c r="Q52" i="6" s="1"/>
  <c r="P38" i="6"/>
  <c r="Q38" i="6" s="1"/>
  <c r="AC26" i="9"/>
  <c r="AI26" i="9" s="1"/>
  <c r="AC45" i="9"/>
  <c r="AI45" i="9" s="1"/>
  <c r="AC70" i="9"/>
  <c r="AI70" i="9" s="1"/>
  <c r="P48" i="7"/>
  <c r="Q48" i="7" s="1"/>
  <c r="P49" i="6"/>
  <c r="Q49" i="6" s="1"/>
  <c r="V101" i="11"/>
  <c r="G52" i="15"/>
  <c r="AG52" i="15" s="1"/>
  <c r="AW52" i="15" s="1"/>
  <c r="BA52" i="15" s="1"/>
  <c r="G20" i="14"/>
  <c r="AG20" i="14" s="1"/>
  <c r="AW20" i="14" s="1"/>
  <c r="BA20" i="14" s="1"/>
  <c r="G17" i="17"/>
  <c r="AG17" i="17" s="1"/>
  <c r="AW17" i="17" s="1"/>
  <c r="BA17" i="17" s="1"/>
  <c r="G40" i="18"/>
  <c r="AG40" i="18" s="1"/>
  <c r="AW40" i="18" s="1"/>
  <c r="G42" i="16"/>
  <c r="AG42" i="16" s="1"/>
  <c r="AW42" i="16" s="1"/>
  <c r="BA42" i="16" s="1"/>
  <c r="G26" i="16"/>
  <c r="AG26" i="16" s="1"/>
  <c r="AW26" i="16" s="1"/>
  <c r="BA26" i="16" s="1"/>
  <c r="G19" i="15"/>
  <c r="AG19" i="15" s="1"/>
  <c r="AW19" i="15" s="1"/>
  <c r="BA19" i="15" s="1"/>
  <c r="G24" i="14"/>
  <c r="AG24" i="14" s="1"/>
  <c r="AW24" i="14" s="1"/>
  <c r="BA24" i="14" s="1"/>
  <c r="F493" i="1" s="1"/>
  <c r="G7" i="13"/>
  <c r="AB7" i="13" s="1"/>
  <c r="AR7" i="13" s="1"/>
  <c r="AV7" i="13" s="1"/>
  <c r="F428" i="1" s="1"/>
  <c r="G39" i="12"/>
  <c r="T39" i="12" s="1"/>
  <c r="AH39" i="12" s="1"/>
  <c r="G19" i="13"/>
  <c r="AB19" i="13" s="1"/>
  <c r="AR19" i="13" s="1"/>
  <c r="AV19" i="13" s="1"/>
  <c r="G27" i="18"/>
  <c r="AG27" i="18" s="1"/>
  <c r="AW27" i="18" s="1"/>
  <c r="G44" i="16"/>
  <c r="AG44" i="16" s="1"/>
  <c r="AW44" i="16" s="1"/>
  <c r="G35" i="15"/>
  <c r="AG35" i="15" s="1"/>
  <c r="AW35" i="15" s="1"/>
  <c r="G17" i="15"/>
  <c r="AG17" i="15" s="1"/>
  <c r="AW17" i="15" s="1"/>
  <c r="G41" i="15"/>
  <c r="AG41" i="15" s="1"/>
  <c r="AW41" i="15" s="1"/>
  <c r="BA41" i="15" s="1"/>
  <c r="G22" i="15"/>
  <c r="AG22" i="15" s="1"/>
  <c r="AW22" i="15" s="1"/>
  <c r="BA22" i="15" s="1"/>
  <c r="G38" i="14"/>
  <c r="AG38" i="14" s="1"/>
  <c r="AW38" i="14" s="1"/>
  <c r="G33" i="14"/>
  <c r="AG33" i="14" s="1"/>
  <c r="AW33" i="14" s="1"/>
  <c r="BA33" i="14" s="1"/>
  <c r="G37" i="13"/>
  <c r="AB37" i="13" s="1"/>
  <c r="AR37" i="13" s="1"/>
  <c r="AV37" i="13" s="1"/>
  <c r="G47" i="13"/>
  <c r="AB47" i="13" s="1"/>
  <c r="AR47" i="13" s="1"/>
  <c r="AV47" i="13" s="1"/>
  <c r="AX47" i="13" s="1"/>
  <c r="H468" i="1" s="1"/>
  <c r="G10" i="12"/>
  <c r="T10" i="12" s="1"/>
  <c r="AH10" i="12" s="1"/>
  <c r="BS57" i="11"/>
  <c r="F371" i="1" s="1"/>
  <c r="BS45" i="11"/>
  <c r="F335" i="1" s="1"/>
  <c r="BO87" i="11"/>
  <c r="BS87" i="11" s="1"/>
  <c r="BB15" i="7"/>
  <c r="BH15" i="7" s="1"/>
  <c r="AC47" i="9"/>
  <c r="AI47" i="9" s="1"/>
  <c r="P35" i="6"/>
  <c r="Q35" i="6" s="1"/>
  <c r="P34" i="7"/>
  <c r="Q34" i="7" s="1"/>
  <c r="AC20" i="9"/>
  <c r="AI20" i="9" s="1"/>
  <c r="AC52" i="9"/>
  <c r="AI52" i="9" s="1"/>
  <c r="AC85" i="9"/>
  <c r="AI85" i="9" s="1"/>
  <c r="F202" i="1" s="1"/>
  <c r="G13" i="18"/>
  <c r="AG13" i="18" s="1"/>
  <c r="AW13" i="18" s="1"/>
  <c r="BA13" i="18" s="1"/>
  <c r="G14" i="15"/>
  <c r="AG14" i="15" s="1"/>
  <c r="AW14" i="15" s="1"/>
  <c r="G31" i="16"/>
  <c r="AG31" i="16" s="1"/>
  <c r="AW31" i="16" s="1"/>
  <c r="G47" i="16"/>
  <c r="AG47" i="16" s="1"/>
  <c r="AW47" i="16" s="1"/>
  <c r="BA47" i="16" s="1"/>
  <c r="G22" i="17"/>
  <c r="AG22" i="17" s="1"/>
  <c r="AW22" i="17" s="1"/>
  <c r="BA22" i="17" s="1"/>
  <c r="G54" i="15"/>
  <c r="AG54" i="15" s="1"/>
  <c r="AW54" i="15" s="1"/>
  <c r="BA54" i="15" s="1"/>
  <c r="AG38" i="15"/>
  <c r="AW38" i="15" s="1"/>
  <c r="BA38" i="15" s="1"/>
  <c r="G49" i="15"/>
  <c r="AG49" i="15" s="1"/>
  <c r="AW49" i="15" s="1"/>
  <c r="BA49" i="15" s="1"/>
  <c r="AG13" i="15"/>
  <c r="AW13" i="15" s="1"/>
  <c r="BA13" i="15" s="1"/>
  <c r="G32" i="13"/>
  <c r="AB32" i="13" s="1"/>
  <c r="AR32" i="13" s="1"/>
  <c r="AV32" i="13" s="1"/>
  <c r="G28" i="13"/>
  <c r="AB28" i="13" s="1"/>
  <c r="AR28" i="13" s="1"/>
  <c r="AV28" i="13" s="1"/>
  <c r="AX28" i="13" s="1"/>
  <c r="H449" i="1" s="1"/>
  <c r="AC76" i="9"/>
  <c r="AI76" i="9" s="1"/>
  <c r="F193" i="1" s="1"/>
  <c r="AC88" i="9"/>
  <c r="AI88" i="9" s="1"/>
  <c r="F205" i="1" s="1"/>
  <c r="P40" i="6"/>
  <c r="Q40" i="6" s="1"/>
  <c r="AC29" i="9"/>
  <c r="AI29" i="9" s="1"/>
  <c r="P46" i="6"/>
  <c r="Q46" i="6" s="1"/>
  <c r="AC43" i="9"/>
  <c r="AI43" i="9" s="1"/>
  <c r="AG13" i="14"/>
  <c r="AW13" i="14" s="1"/>
  <c r="G11" i="14"/>
  <c r="AG11" i="14" s="1"/>
  <c r="AW11" i="14" s="1"/>
  <c r="BA11" i="14" s="1"/>
  <c r="AB27" i="13"/>
  <c r="AR27" i="13" s="1"/>
  <c r="AV27" i="13" s="1"/>
  <c r="G22" i="13"/>
  <c r="AB22" i="13" s="1"/>
  <c r="AR22" i="13" s="1"/>
  <c r="AV22" i="13" s="1"/>
  <c r="P7" i="5"/>
  <c r="C6" i="5" s="1"/>
  <c r="AT10" i="19"/>
  <c r="AV10" i="19" s="1"/>
  <c r="M719" i="1" s="1"/>
  <c r="AQ10" i="19"/>
  <c r="AC23" i="9"/>
  <c r="AI23" i="9" s="1"/>
  <c r="AC64" i="9"/>
  <c r="AI64" i="9" s="1"/>
  <c r="P43" i="6"/>
  <c r="Q43" i="6" s="1"/>
  <c r="P42" i="7"/>
  <c r="Q42" i="7" s="1"/>
  <c r="P42" i="6"/>
  <c r="Q42" i="6" s="1"/>
  <c r="G10" i="19"/>
  <c r="V10" i="19"/>
  <c r="W10" i="19" s="1"/>
  <c r="V25" i="19"/>
  <c r="W25" i="19" s="1"/>
  <c r="G25" i="19"/>
  <c r="V46" i="19"/>
  <c r="W46" i="19" s="1"/>
  <c r="G46" i="19"/>
  <c r="V39" i="19"/>
  <c r="W39" i="19" s="1"/>
  <c r="G39" i="19"/>
  <c r="V53" i="19"/>
  <c r="W53" i="19" s="1"/>
  <c r="G53" i="19"/>
  <c r="AX47" i="18"/>
  <c r="AZ47" i="18" s="1"/>
  <c r="M708" i="1" s="1"/>
  <c r="AU47" i="18"/>
  <c r="AX15" i="18"/>
  <c r="AZ15" i="18" s="1"/>
  <c r="M676" i="1" s="1"/>
  <c r="AU15" i="18"/>
  <c r="G38" i="17"/>
  <c r="AG38" i="17" s="1"/>
  <c r="AW38" i="17" s="1"/>
  <c r="BA38" i="17" s="1"/>
  <c r="G54" i="17"/>
  <c r="AG54" i="17" s="1"/>
  <c r="AW54" i="17" s="1"/>
  <c r="BA54" i="17" s="1"/>
  <c r="G47" i="17"/>
  <c r="AG47" i="17" s="1"/>
  <c r="AW47" i="17" s="1"/>
  <c r="BA47" i="17" s="1"/>
  <c r="AX46" i="16"/>
  <c r="AZ46" i="16" s="1"/>
  <c r="M611" i="1" s="1"/>
  <c r="AU46" i="16"/>
  <c r="AX18" i="15"/>
  <c r="AZ18" i="15" s="1"/>
  <c r="M535" i="1" s="1"/>
  <c r="AU18" i="15"/>
  <c r="E21" i="4"/>
  <c r="E48" i="4"/>
  <c r="G24" i="19"/>
  <c r="V24" i="19"/>
  <c r="W24" i="19" s="1"/>
  <c r="Y55" i="11"/>
  <c r="CE55" i="11" s="1"/>
  <c r="CI55" i="11" s="1"/>
  <c r="F367" i="1" s="1"/>
  <c r="BW55" i="11"/>
  <c r="CA55" i="11" s="1"/>
  <c r="F366" i="1" s="1"/>
  <c r="F6" i="5"/>
  <c r="F15" i="5"/>
  <c r="G8" i="20"/>
  <c r="X8" i="20"/>
  <c r="Y8" i="20" s="1"/>
  <c r="G36" i="19"/>
  <c r="V36" i="19"/>
  <c r="W36" i="19" s="1"/>
  <c r="V15" i="19"/>
  <c r="W15" i="19" s="1"/>
  <c r="G15" i="19"/>
  <c r="AU37" i="18"/>
  <c r="AX37" i="18"/>
  <c r="AZ37" i="18" s="1"/>
  <c r="G25" i="18"/>
  <c r="AG25" i="18" s="1"/>
  <c r="AW25" i="18" s="1"/>
  <c r="X7" i="20"/>
  <c r="Y7" i="20" s="1"/>
  <c r="G7" i="20"/>
  <c r="AQ27" i="19"/>
  <c r="AT27" i="19"/>
  <c r="AV27" i="19" s="1"/>
  <c r="M736" i="1" s="1"/>
  <c r="G44" i="19"/>
  <c r="V44" i="19"/>
  <c r="W44" i="19" s="1"/>
  <c r="G51" i="19"/>
  <c r="V51" i="19"/>
  <c r="W51" i="19" s="1"/>
  <c r="AG9" i="18"/>
  <c r="AW9" i="18" s="1"/>
  <c r="BA9" i="18" s="1"/>
  <c r="AX15" i="13"/>
  <c r="H436" i="1" s="1"/>
  <c r="F436" i="1"/>
  <c r="AX25" i="14"/>
  <c r="AZ25" i="14" s="1"/>
  <c r="M494" i="1" s="1"/>
  <c r="AU25" i="14"/>
  <c r="G52" i="12"/>
  <c r="T52" i="12" s="1"/>
  <c r="AH52" i="12" s="1"/>
  <c r="AX49" i="13"/>
  <c r="H470" i="1" s="1"/>
  <c r="F470" i="1"/>
  <c r="BW88" i="11"/>
  <c r="CA88" i="11" s="1"/>
  <c r="Y26" i="11"/>
  <c r="CE26" i="11" s="1"/>
  <c r="CI26" i="11" s="1"/>
  <c r="F280" i="1" s="1"/>
  <c r="BW26" i="11"/>
  <c r="CA26" i="11" s="1"/>
  <c r="F279" i="1" s="1"/>
  <c r="BH14" i="7"/>
  <c r="AX19" i="18"/>
  <c r="AZ19" i="18" s="1"/>
  <c r="M680" i="1" s="1"/>
  <c r="AU19" i="18"/>
  <c r="AI51" i="12"/>
  <c r="AK51" i="12" s="1"/>
  <c r="M424" i="1" s="1"/>
  <c r="AF51" i="12"/>
  <c r="X13" i="20"/>
  <c r="Y13" i="20" s="1"/>
  <c r="G13" i="20"/>
  <c r="V31" i="19"/>
  <c r="W31" i="19" s="1"/>
  <c r="G31" i="19"/>
  <c r="V45" i="19"/>
  <c r="W45" i="19" s="1"/>
  <c r="G45" i="19"/>
  <c r="Y80" i="11"/>
  <c r="CE80" i="11" s="1"/>
  <c r="CI80" i="11" s="1"/>
  <c r="BW80" i="11"/>
  <c r="CA80" i="11" s="1"/>
  <c r="Y10" i="11"/>
  <c r="CE10" i="11" s="1"/>
  <c r="CI10" i="11" s="1"/>
  <c r="F232" i="1" s="1"/>
  <c r="BW10" i="11"/>
  <c r="CA10" i="11" s="1"/>
  <c r="F231" i="1" s="1"/>
  <c r="G47" i="15"/>
  <c r="AG47" i="15" s="1"/>
  <c r="AW47" i="15" s="1"/>
  <c r="AI43" i="12"/>
  <c r="AK43" i="12" s="1"/>
  <c r="M416" i="1" s="1"/>
  <c r="AF43" i="12"/>
  <c r="V50" i="19"/>
  <c r="W50" i="19" s="1"/>
  <c r="G50" i="19"/>
  <c r="G11" i="19"/>
  <c r="V11" i="19"/>
  <c r="W11" i="19" s="1"/>
  <c r="V23" i="19"/>
  <c r="W23" i="19" s="1"/>
  <c r="G23" i="19"/>
  <c r="AX44" i="16"/>
  <c r="AZ44" i="16" s="1"/>
  <c r="M609" i="1" s="1"/>
  <c r="AU44" i="16"/>
  <c r="AX28" i="14"/>
  <c r="AZ28" i="14" s="1"/>
  <c r="M497" i="1" s="1"/>
  <c r="AU28" i="14"/>
  <c r="G11" i="20"/>
  <c r="X11" i="20"/>
  <c r="Y11" i="20" s="1"/>
  <c r="G9" i="20"/>
  <c r="X9" i="20"/>
  <c r="Y9" i="20" s="1"/>
  <c r="G32" i="19"/>
  <c r="V32" i="19"/>
  <c r="W32" i="19" s="1"/>
  <c r="V47" i="19"/>
  <c r="W47" i="19" s="1"/>
  <c r="G47" i="19"/>
  <c r="G12" i="19"/>
  <c r="V12" i="19"/>
  <c r="W12" i="19" s="1"/>
  <c r="G22" i="19"/>
  <c r="V22" i="19"/>
  <c r="W22" i="19" s="1"/>
  <c r="V19" i="19"/>
  <c r="W19" i="19" s="1"/>
  <c r="G19" i="19"/>
  <c r="V21" i="19"/>
  <c r="W21" i="19" s="1"/>
  <c r="G21" i="19"/>
  <c r="G35" i="18"/>
  <c r="AG35" i="18" s="1"/>
  <c r="AW35" i="18" s="1"/>
  <c r="G10" i="18"/>
  <c r="AG10" i="18" s="1"/>
  <c r="AW10" i="18" s="1"/>
  <c r="BA10" i="18" s="1"/>
  <c r="G11" i="18"/>
  <c r="AG11" i="18" s="1"/>
  <c r="AW11" i="18" s="1"/>
  <c r="G48" i="18"/>
  <c r="AG48" i="18" s="1"/>
  <c r="AW48" i="18" s="1"/>
  <c r="BA48" i="18" s="1"/>
  <c r="G47" i="18"/>
  <c r="AG47" i="18" s="1"/>
  <c r="AW47" i="18" s="1"/>
  <c r="AX25" i="18"/>
  <c r="AZ25" i="18" s="1"/>
  <c r="M686" i="1" s="1"/>
  <c r="AU25" i="18"/>
  <c r="AX48" i="16"/>
  <c r="AZ48" i="16" s="1"/>
  <c r="AU48" i="16"/>
  <c r="G39" i="16"/>
  <c r="AG39" i="16" s="1"/>
  <c r="AW39" i="16" s="1"/>
  <c r="BA39" i="16" s="1"/>
  <c r="G21" i="16"/>
  <c r="AG21" i="16" s="1"/>
  <c r="AW21" i="16" s="1"/>
  <c r="BA21" i="16" s="1"/>
  <c r="G28" i="16"/>
  <c r="AG28" i="16" s="1"/>
  <c r="AW28" i="16" s="1"/>
  <c r="G12" i="16"/>
  <c r="AG12" i="16" s="1"/>
  <c r="AW12" i="16" s="1"/>
  <c r="BA12" i="16" s="1"/>
  <c r="G37" i="15"/>
  <c r="AG37" i="15" s="1"/>
  <c r="AW37" i="15" s="1"/>
  <c r="BA37" i="15" s="1"/>
  <c r="G24" i="15"/>
  <c r="AG24" i="15" s="1"/>
  <c r="AW24" i="15" s="1"/>
  <c r="BA24" i="15" s="1"/>
  <c r="G8" i="15"/>
  <c r="AG8" i="15" s="1"/>
  <c r="AW8" i="15" s="1"/>
  <c r="BA8" i="15" s="1"/>
  <c r="AX38" i="14"/>
  <c r="AZ38" i="14" s="1"/>
  <c r="M507" i="1" s="1"/>
  <c r="AU38" i="14"/>
  <c r="G25" i="14"/>
  <c r="AG25" i="14" s="1"/>
  <c r="AW25" i="14" s="1"/>
  <c r="BA46" i="14"/>
  <c r="G39" i="14"/>
  <c r="AG39" i="14" s="1"/>
  <c r="AW39" i="14" s="1"/>
  <c r="G38" i="13"/>
  <c r="AB38" i="13" s="1"/>
  <c r="AR38" i="13" s="1"/>
  <c r="AV38" i="13" s="1"/>
  <c r="G48" i="13"/>
  <c r="AB48" i="13" s="1"/>
  <c r="AR48" i="13" s="1"/>
  <c r="AV48" i="13" s="1"/>
  <c r="AI47" i="12"/>
  <c r="AK47" i="12" s="1"/>
  <c r="M420" i="1" s="1"/>
  <c r="AF47" i="12"/>
  <c r="AI39" i="12"/>
  <c r="AK39" i="12" s="1"/>
  <c r="AF39" i="12"/>
  <c r="G40" i="12"/>
  <c r="T40" i="12" s="1"/>
  <c r="AH40" i="12" s="1"/>
  <c r="BO99" i="11"/>
  <c r="BS99" i="11" s="1"/>
  <c r="V99" i="11"/>
  <c r="BS60" i="11"/>
  <c r="Y78" i="11"/>
  <c r="CE78" i="11" s="1"/>
  <c r="CI78" i="11" s="1"/>
  <c r="BW78" i="11"/>
  <c r="CA78" i="11" s="1"/>
  <c r="Y71" i="11"/>
  <c r="CE71" i="11" s="1"/>
  <c r="CI71" i="11" s="1"/>
  <c r="BW71" i="11"/>
  <c r="CA71" i="11" s="1"/>
  <c r="BO90" i="11"/>
  <c r="BS90" i="11" s="1"/>
  <c r="V90" i="11"/>
  <c r="Y31" i="11"/>
  <c r="CE31" i="11" s="1"/>
  <c r="CI31" i="11" s="1"/>
  <c r="F295" i="1" s="1"/>
  <c r="BW31" i="11"/>
  <c r="CA31" i="11" s="1"/>
  <c r="F294" i="1" s="1"/>
  <c r="AC27" i="9"/>
  <c r="AI27" i="9" s="1"/>
  <c r="E51" i="4"/>
  <c r="E24" i="4"/>
  <c r="E49" i="4"/>
  <c r="E22" i="4"/>
  <c r="W10" i="5"/>
  <c r="F8" i="5" s="1"/>
  <c r="F17" i="5" s="1"/>
  <c r="E41" i="4"/>
  <c r="E14" i="4"/>
  <c r="D51" i="4"/>
  <c r="D24" i="4"/>
  <c r="D21" i="4"/>
  <c r="D48" i="4"/>
  <c r="D43" i="4"/>
  <c r="D16" i="4"/>
  <c r="D13" i="4"/>
  <c r="D40" i="4"/>
  <c r="J40" i="4" s="1"/>
  <c r="M40" i="4" s="1"/>
  <c r="BB23" i="7"/>
  <c r="E42" i="4"/>
  <c r="E15" i="4"/>
  <c r="G9" i="21"/>
  <c r="AE9" i="21"/>
  <c r="AF9" i="21" s="1"/>
  <c r="G48" i="19"/>
  <c r="V48" i="19"/>
  <c r="W48" i="19" s="1"/>
  <c r="V33" i="19"/>
  <c r="W33" i="19" s="1"/>
  <c r="G33" i="19"/>
  <c r="V37" i="19"/>
  <c r="W37" i="19" s="1"/>
  <c r="G37" i="19"/>
  <c r="V14" i="19"/>
  <c r="W14" i="19" s="1"/>
  <c r="G14" i="19"/>
  <c r="V27" i="19"/>
  <c r="W27" i="19" s="1"/>
  <c r="G27" i="19"/>
  <c r="V29" i="19"/>
  <c r="W29" i="19" s="1"/>
  <c r="G29" i="19"/>
  <c r="G19" i="18"/>
  <c r="AG19" i="18" s="1"/>
  <c r="AW19" i="18" s="1"/>
  <c r="G52" i="18"/>
  <c r="AG52" i="18" s="1"/>
  <c r="AW52" i="18" s="1"/>
  <c r="G51" i="18"/>
  <c r="AG51" i="18" s="1"/>
  <c r="AW51" i="18" s="1"/>
  <c r="BA51" i="18" s="1"/>
  <c r="G18" i="19"/>
  <c r="AC18" i="19" s="1"/>
  <c r="AS18" i="19" s="1"/>
  <c r="AW18" i="19" s="1"/>
  <c r="G40" i="19"/>
  <c r="AC40" i="19" s="1"/>
  <c r="AS40" i="19" s="1"/>
  <c r="G21" i="17"/>
  <c r="AG21" i="17" s="1"/>
  <c r="AW21" i="17" s="1"/>
  <c r="BA21" i="17" s="1"/>
  <c r="G35" i="16"/>
  <c r="AG35" i="16" s="1"/>
  <c r="AW35" i="16" s="1"/>
  <c r="BA35" i="16" s="1"/>
  <c r="G17" i="16"/>
  <c r="AG17" i="16" s="1"/>
  <c r="AW17" i="16" s="1"/>
  <c r="BA17" i="16" s="1"/>
  <c r="AX9" i="17"/>
  <c r="AZ9" i="17" s="1"/>
  <c r="M622" i="1" s="1"/>
  <c r="AU9" i="17"/>
  <c r="G40" i="16"/>
  <c r="AG40" i="16" s="1"/>
  <c r="AW40" i="16" s="1"/>
  <c r="BA40" i="16" s="1"/>
  <c r="G24" i="16"/>
  <c r="AG24" i="16" s="1"/>
  <c r="AW24" i="16" s="1"/>
  <c r="G33" i="15"/>
  <c r="AG33" i="15" s="1"/>
  <c r="AW33" i="15" s="1"/>
  <c r="G36" i="15"/>
  <c r="AG36" i="15" s="1"/>
  <c r="AW36" i="15" s="1"/>
  <c r="BA36" i="15" s="1"/>
  <c r="G20" i="15"/>
  <c r="AG20" i="15" s="1"/>
  <c r="AW20" i="15" s="1"/>
  <c r="BA20" i="15" s="1"/>
  <c r="G23" i="14"/>
  <c r="AG23" i="14" s="1"/>
  <c r="AW23" i="14" s="1"/>
  <c r="BA23" i="14" s="1"/>
  <c r="G30" i="14"/>
  <c r="AG30" i="14" s="1"/>
  <c r="AW30" i="14" s="1"/>
  <c r="G47" i="14"/>
  <c r="AG47" i="14" s="1"/>
  <c r="AW47" i="14" s="1"/>
  <c r="BA47" i="14" s="1"/>
  <c r="G44" i="14"/>
  <c r="AG44" i="14" s="1"/>
  <c r="AW44" i="14" s="1"/>
  <c r="BA44" i="14" s="1"/>
  <c r="G54" i="13"/>
  <c r="AB54" i="13" s="1"/>
  <c r="AR54" i="13" s="1"/>
  <c r="AV54" i="13" s="1"/>
  <c r="G42" i="13"/>
  <c r="AB42" i="13" s="1"/>
  <c r="AR42" i="13" s="1"/>
  <c r="AV42" i="13" s="1"/>
  <c r="AI53" i="12"/>
  <c r="AK53" i="12" s="1"/>
  <c r="M426" i="1" s="1"/>
  <c r="AF53" i="12"/>
  <c r="AI45" i="12"/>
  <c r="AK45" i="12" s="1"/>
  <c r="M418" i="1" s="1"/>
  <c r="AF45" i="12"/>
  <c r="AI37" i="12"/>
  <c r="AK37" i="12" s="1"/>
  <c r="M410" i="1" s="1"/>
  <c r="AF37" i="12"/>
  <c r="G54" i="12"/>
  <c r="T54" i="12" s="1"/>
  <c r="AH54" i="12" s="1"/>
  <c r="AL54" i="12" s="1"/>
  <c r="G46" i="12"/>
  <c r="T46" i="12" s="1"/>
  <c r="AH46" i="12" s="1"/>
  <c r="AL46" i="12" s="1"/>
  <c r="G38" i="12"/>
  <c r="T38" i="12" s="1"/>
  <c r="AH38" i="12" s="1"/>
  <c r="AL38" i="12" s="1"/>
  <c r="G24" i="12"/>
  <c r="T24" i="12" s="1"/>
  <c r="AH24" i="12" s="1"/>
  <c r="AL24" i="12" s="1"/>
  <c r="Y85" i="11"/>
  <c r="CE85" i="11" s="1"/>
  <c r="CI85" i="11" s="1"/>
  <c r="BW85" i="11"/>
  <c r="CA85" i="11" s="1"/>
  <c r="BS49" i="11"/>
  <c r="F347" i="1" s="1"/>
  <c r="BS59" i="11"/>
  <c r="F377" i="1" s="1"/>
  <c r="Y76" i="11"/>
  <c r="CE76" i="11" s="1"/>
  <c r="CI76" i="11" s="1"/>
  <c r="BW76" i="11"/>
  <c r="CA76" i="11" s="1"/>
  <c r="Y63" i="11"/>
  <c r="CE63" i="11" s="1"/>
  <c r="CI63" i="11" s="1"/>
  <c r="BW63" i="11"/>
  <c r="CA63" i="11" s="1"/>
  <c r="Y37" i="11"/>
  <c r="CE37" i="11" s="1"/>
  <c r="CI37" i="11" s="1"/>
  <c r="F313" i="1" s="1"/>
  <c r="BW37" i="11"/>
  <c r="CA37" i="11" s="1"/>
  <c r="F312" i="1" s="1"/>
  <c r="Y29" i="11"/>
  <c r="CE29" i="11" s="1"/>
  <c r="CI29" i="11" s="1"/>
  <c r="F289" i="1" s="1"/>
  <c r="BW29" i="11"/>
  <c r="CA29" i="11" s="1"/>
  <c r="F288" i="1" s="1"/>
  <c r="BB16" i="7"/>
  <c r="D9" i="4"/>
  <c r="I9" i="4" s="1"/>
  <c r="D36" i="4"/>
  <c r="J36" i="4" s="1"/>
  <c r="M36" i="4" s="1"/>
  <c r="BJ6" i="7"/>
  <c r="R32" i="7"/>
  <c r="N32" i="7" s="1"/>
  <c r="D20" i="4"/>
  <c r="I20" i="4" s="1"/>
  <c r="D47" i="4"/>
  <c r="D42" i="4"/>
  <c r="D15" i="4"/>
  <c r="N33" i="7"/>
  <c r="AQ31" i="19"/>
  <c r="AT31" i="19"/>
  <c r="AV31" i="19" s="1"/>
  <c r="M740" i="1" s="1"/>
  <c r="G7" i="21"/>
  <c r="AE7" i="21"/>
  <c r="AF7" i="21" s="1"/>
  <c r="V54" i="19"/>
  <c r="W54" i="19" s="1"/>
  <c r="G54" i="19"/>
  <c r="V42" i="19"/>
  <c r="W42" i="19" s="1"/>
  <c r="G42" i="19"/>
  <c r="V41" i="19"/>
  <c r="W41" i="19" s="1"/>
  <c r="G41" i="19"/>
  <c r="G10" i="20"/>
  <c r="AE10" i="20" s="1"/>
  <c r="AS10" i="20" s="1"/>
  <c r="AW10" i="20" s="1"/>
  <c r="G7" i="19"/>
  <c r="V7" i="19"/>
  <c r="W7" i="19" s="1"/>
  <c r="G20" i="19"/>
  <c r="V20" i="19"/>
  <c r="W20" i="19" s="1"/>
  <c r="G30" i="18"/>
  <c r="AG30" i="18" s="1"/>
  <c r="AW30" i="18" s="1"/>
  <c r="BA30" i="18" s="1"/>
  <c r="AX27" i="18"/>
  <c r="AZ27" i="18" s="1"/>
  <c r="M688" i="1" s="1"/>
  <c r="AU27" i="18"/>
  <c r="G38" i="18"/>
  <c r="AG38" i="18" s="1"/>
  <c r="AW38" i="18" s="1"/>
  <c r="BA38" i="18" s="1"/>
  <c r="G53" i="18"/>
  <c r="AG53" i="18" s="1"/>
  <c r="AW53" i="18" s="1"/>
  <c r="BA53" i="18" s="1"/>
  <c r="G20" i="18"/>
  <c r="AG20" i="18" s="1"/>
  <c r="AW20" i="18" s="1"/>
  <c r="BA20" i="18" s="1"/>
  <c r="G17" i="18"/>
  <c r="AG17" i="18" s="1"/>
  <c r="AW17" i="18" s="1"/>
  <c r="BA17" i="18" s="1"/>
  <c r="G33" i="16"/>
  <c r="AG33" i="16" s="1"/>
  <c r="AW33" i="16" s="1"/>
  <c r="BA33" i="16" s="1"/>
  <c r="AX54" i="16"/>
  <c r="AZ54" i="16" s="1"/>
  <c r="AU54" i="16"/>
  <c r="G38" i="16"/>
  <c r="AG38" i="16" s="1"/>
  <c r="AW38" i="16" s="1"/>
  <c r="BA38" i="16" s="1"/>
  <c r="G22" i="16"/>
  <c r="AG22" i="16" s="1"/>
  <c r="AW22" i="16" s="1"/>
  <c r="BA22" i="16" s="1"/>
  <c r="G50" i="15"/>
  <c r="AG50" i="15" s="1"/>
  <c r="AW50" i="15" s="1"/>
  <c r="BA50" i="15" s="1"/>
  <c r="G34" i="15"/>
  <c r="AG34" i="15" s="1"/>
  <c r="AW34" i="15" s="1"/>
  <c r="BA34" i="15" s="1"/>
  <c r="G18" i="15"/>
  <c r="AG18" i="15" s="1"/>
  <c r="AW18" i="15" s="1"/>
  <c r="AX37" i="14"/>
  <c r="AZ37" i="14" s="1"/>
  <c r="AU37" i="14"/>
  <c r="G12" i="14"/>
  <c r="AG12" i="14" s="1"/>
  <c r="AW12" i="14" s="1"/>
  <c r="BA12" i="14" s="1"/>
  <c r="G14" i="14"/>
  <c r="AG14" i="14" s="1"/>
  <c r="AW14" i="14" s="1"/>
  <c r="BA14" i="14" s="1"/>
  <c r="G50" i="14"/>
  <c r="AG50" i="14" s="1"/>
  <c r="AW50" i="14" s="1"/>
  <c r="BA50" i="14" s="1"/>
  <c r="G52" i="14"/>
  <c r="AG52" i="14" s="1"/>
  <c r="AW52" i="14" s="1"/>
  <c r="BA52" i="14" s="1"/>
  <c r="G44" i="13"/>
  <c r="AB44" i="13" s="1"/>
  <c r="AR44" i="13" s="1"/>
  <c r="AV44" i="13" s="1"/>
  <c r="G50" i="13"/>
  <c r="AB50" i="13" s="1"/>
  <c r="AR50" i="13" s="1"/>
  <c r="AV50" i="13" s="1"/>
  <c r="G53" i="12"/>
  <c r="T53" i="12" s="1"/>
  <c r="AH53" i="12" s="1"/>
  <c r="G45" i="12"/>
  <c r="T45" i="12" s="1"/>
  <c r="AH45" i="12" s="1"/>
  <c r="G37" i="12"/>
  <c r="T37" i="12" s="1"/>
  <c r="AH37" i="12" s="1"/>
  <c r="G35" i="13"/>
  <c r="AB35" i="13" s="1"/>
  <c r="AR35" i="13" s="1"/>
  <c r="AV35" i="13" s="1"/>
  <c r="G22" i="12"/>
  <c r="T22" i="12" s="1"/>
  <c r="AH22" i="12" s="1"/>
  <c r="AL22" i="12" s="1"/>
  <c r="AL27" i="12"/>
  <c r="Y69" i="11"/>
  <c r="CE69" i="11" s="1"/>
  <c r="CI69" i="11" s="1"/>
  <c r="BW69" i="11"/>
  <c r="CA69" i="11" s="1"/>
  <c r="BW86" i="11"/>
  <c r="CA86" i="11" s="1"/>
  <c r="Y75" i="11"/>
  <c r="CE75" i="11" s="1"/>
  <c r="CI75" i="11" s="1"/>
  <c r="BW75" i="11"/>
  <c r="CA75" i="11" s="1"/>
  <c r="Y89" i="11"/>
  <c r="CE89" i="11" s="1"/>
  <c r="CI89" i="11" s="1"/>
  <c r="BW89" i="11"/>
  <c r="CA89" i="11" s="1"/>
  <c r="Y87" i="11"/>
  <c r="CE87" i="11" s="1"/>
  <c r="CI87" i="11" s="1"/>
  <c r="BW87" i="11"/>
  <c r="CA87" i="11" s="1"/>
  <c r="Y50" i="11"/>
  <c r="CE50" i="11" s="1"/>
  <c r="CI50" i="11" s="1"/>
  <c r="F352" i="1" s="1"/>
  <c r="BW50" i="11"/>
  <c r="CA50" i="11" s="1"/>
  <c r="F351" i="1" s="1"/>
  <c r="Y44" i="11"/>
  <c r="CE44" i="11" s="1"/>
  <c r="CI44" i="11" s="1"/>
  <c r="F334" i="1" s="1"/>
  <c r="BW44" i="11"/>
  <c r="CA44" i="11" s="1"/>
  <c r="F333" i="1" s="1"/>
  <c r="Y28" i="11"/>
  <c r="CE28" i="11" s="1"/>
  <c r="CI28" i="11" s="1"/>
  <c r="F286" i="1" s="1"/>
  <c r="BW28" i="11"/>
  <c r="CA28" i="11" s="1"/>
  <c r="F285" i="1" s="1"/>
  <c r="Y60" i="11"/>
  <c r="CE60" i="11" s="1"/>
  <c r="CI60" i="11" s="1"/>
  <c r="BW60" i="11"/>
  <c r="CA60" i="11" s="1"/>
  <c r="BB25" i="7"/>
  <c r="E46" i="4"/>
  <c r="E19" i="4"/>
  <c r="D41" i="4"/>
  <c r="D14" i="4"/>
  <c r="BW66" i="11"/>
  <c r="CA66" i="11" s="1"/>
  <c r="Y56" i="11"/>
  <c r="CE56" i="11" s="1"/>
  <c r="CI56" i="11" s="1"/>
  <c r="F370" i="1" s="1"/>
  <c r="BW56" i="11"/>
  <c r="CA56" i="11" s="1"/>
  <c r="F369" i="1" s="1"/>
  <c r="BW43" i="11"/>
  <c r="CA43" i="11" s="1"/>
  <c r="F330" i="1" s="1"/>
  <c r="Y43" i="11"/>
  <c r="CE43" i="11" s="1"/>
  <c r="CI43" i="11" s="1"/>
  <c r="F331" i="1" s="1"/>
  <c r="Y35" i="11"/>
  <c r="CE35" i="11" s="1"/>
  <c r="CI35" i="11" s="1"/>
  <c r="F307" i="1" s="1"/>
  <c r="BW35" i="11"/>
  <c r="CA35" i="11" s="1"/>
  <c r="F306" i="1" s="1"/>
  <c r="Y11" i="11"/>
  <c r="CE11" i="11" s="1"/>
  <c r="CI11" i="11" s="1"/>
  <c r="F235" i="1" s="1"/>
  <c r="BW11" i="11"/>
  <c r="CA11" i="11" s="1"/>
  <c r="F234" i="1" s="1"/>
  <c r="BW58" i="11"/>
  <c r="CA58" i="11" s="1"/>
  <c r="F375" i="1" s="1"/>
  <c r="AC84" i="9"/>
  <c r="AI84" i="9" s="1"/>
  <c r="F201" i="1" s="1"/>
  <c r="B15" i="5"/>
  <c r="B6" i="5"/>
  <c r="D49" i="4"/>
  <c r="D22" i="4"/>
  <c r="D46" i="4"/>
  <c r="D19" i="4"/>
  <c r="G12" i="20"/>
  <c r="X12" i="20"/>
  <c r="Y12" i="20" s="1"/>
  <c r="V38" i="19"/>
  <c r="W38" i="19" s="1"/>
  <c r="G38" i="19"/>
  <c r="V35" i="19"/>
  <c r="W35" i="19" s="1"/>
  <c r="G35" i="19"/>
  <c r="V49" i="19"/>
  <c r="W49" i="19" s="1"/>
  <c r="G49" i="19"/>
  <c r="G30" i="19"/>
  <c r="V30" i="19"/>
  <c r="W30" i="19" s="1"/>
  <c r="G28" i="19"/>
  <c r="V28" i="19"/>
  <c r="W28" i="19" s="1"/>
  <c r="AX49" i="18"/>
  <c r="AZ49" i="18" s="1"/>
  <c r="M710" i="1" s="1"/>
  <c r="AU49" i="18"/>
  <c r="G34" i="19"/>
  <c r="AC34" i="19" s="1"/>
  <c r="AS34" i="19" s="1"/>
  <c r="AW34" i="19" s="1"/>
  <c r="G22" i="18"/>
  <c r="AG22" i="18" s="1"/>
  <c r="AW22" i="18" s="1"/>
  <c r="BA22" i="18" s="1"/>
  <c r="G15" i="18"/>
  <c r="AG15" i="18" s="1"/>
  <c r="AW15" i="18" s="1"/>
  <c r="G42" i="18"/>
  <c r="AG42" i="18" s="1"/>
  <c r="AW42" i="18" s="1"/>
  <c r="BA42" i="18" s="1"/>
  <c r="G41" i="18"/>
  <c r="AG41" i="18" s="1"/>
  <c r="AW41" i="18" s="1"/>
  <c r="G34" i="18"/>
  <c r="AG34" i="18" s="1"/>
  <c r="AW34" i="18" s="1"/>
  <c r="AU31" i="17"/>
  <c r="AX31" i="17"/>
  <c r="AZ31" i="17" s="1"/>
  <c r="G15" i="17"/>
  <c r="AG15" i="17" s="1"/>
  <c r="AW15" i="17" s="1"/>
  <c r="BA15" i="17" s="1"/>
  <c r="G27" i="16"/>
  <c r="AG27" i="16" s="1"/>
  <c r="AW27" i="16" s="1"/>
  <c r="BA27" i="16" s="1"/>
  <c r="G34" i="16"/>
  <c r="AG34" i="16" s="1"/>
  <c r="AW34" i="16" s="1"/>
  <c r="BA34" i="16" s="1"/>
  <c r="G18" i="16"/>
  <c r="AG18" i="16" s="1"/>
  <c r="AW18" i="16" s="1"/>
  <c r="BA18" i="16" s="1"/>
  <c r="AX53" i="14"/>
  <c r="AZ53" i="14" s="1"/>
  <c r="AU53" i="14"/>
  <c r="G19" i="14"/>
  <c r="AG19" i="14" s="1"/>
  <c r="AW19" i="14" s="1"/>
  <c r="G26" i="14"/>
  <c r="AG26" i="14" s="1"/>
  <c r="AW26" i="14" s="1"/>
  <c r="BA26" i="14" s="1"/>
  <c r="G28" i="14"/>
  <c r="AG28" i="14" s="1"/>
  <c r="AW28" i="14" s="1"/>
  <c r="G40" i="14"/>
  <c r="AG40" i="14" s="1"/>
  <c r="AW40" i="14" s="1"/>
  <c r="G41" i="14"/>
  <c r="AG41" i="14" s="1"/>
  <c r="AW41" i="14" s="1"/>
  <c r="G51" i="12"/>
  <c r="T51" i="12" s="1"/>
  <c r="AH51" i="12" s="1"/>
  <c r="G43" i="12"/>
  <c r="T43" i="12" s="1"/>
  <c r="AH43" i="12" s="1"/>
  <c r="BO102" i="11"/>
  <c r="BS102" i="11" s="1"/>
  <c r="V102" i="11"/>
  <c r="AL12" i="12"/>
  <c r="AF10" i="12"/>
  <c r="AI10" i="12"/>
  <c r="AK10" i="12" s="1"/>
  <c r="M383" i="1" s="1"/>
  <c r="Y68" i="11"/>
  <c r="CE68" i="11" s="1"/>
  <c r="CI68" i="11" s="1"/>
  <c r="BW68" i="11"/>
  <c r="CA68" i="11" s="1"/>
  <c r="V64" i="11"/>
  <c r="BO64" i="11"/>
  <c r="BS64" i="11" s="1"/>
  <c r="BS61" i="11"/>
  <c r="Y91" i="11"/>
  <c r="CE91" i="11" s="1"/>
  <c r="CI91" i="11" s="1"/>
  <c r="BW91" i="11"/>
  <c r="CA91" i="11" s="1"/>
  <c r="Y84" i="11"/>
  <c r="CE84" i="11" s="1"/>
  <c r="CI84" i="11" s="1"/>
  <c r="BW84" i="11"/>
  <c r="CA84" i="11" s="1"/>
  <c r="Y30" i="11"/>
  <c r="CE30" i="11" s="1"/>
  <c r="CI30" i="11" s="1"/>
  <c r="F292" i="1" s="1"/>
  <c r="BW30" i="11"/>
  <c r="CA30" i="11" s="1"/>
  <c r="F291" i="1" s="1"/>
  <c r="Y22" i="11"/>
  <c r="CE22" i="11" s="1"/>
  <c r="CI22" i="11" s="1"/>
  <c r="F268" i="1" s="1"/>
  <c r="BW22" i="11"/>
  <c r="CA22" i="11" s="1"/>
  <c r="F267" i="1" s="1"/>
  <c r="Y6" i="11"/>
  <c r="CE6" i="11" s="1"/>
  <c r="CI6" i="11" s="1"/>
  <c r="F220" i="1" s="1"/>
  <c r="BW6" i="11"/>
  <c r="CA6" i="11" s="1"/>
  <c r="F219" i="1" s="1"/>
  <c r="P16" i="5"/>
  <c r="D7" i="5" s="1"/>
  <c r="D16" i="5" s="1"/>
  <c r="D25" i="4"/>
  <c r="D52" i="4"/>
  <c r="D12" i="4"/>
  <c r="I12" i="4" s="1"/>
  <c r="D39" i="4"/>
  <c r="J39" i="4" s="1"/>
  <c r="M39" i="4" s="1"/>
  <c r="D45" i="4"/>
  <c r="D18" i="4"/>
  <c r="AX41" i="18"/>
  <c r="AZ41" i="18" s="1"/>
  <c r="M702" i="1" s="1"/>
  <c r="AU41" i="18"/>
  <c r="V8" i="19"/>
  <c r="W8" i="19" s="1"/>
  <c r="G8" i="19"/>
  <c r="V13" i="19"/>
  <c r="W13" i="19" s="1"/>
  <c r="G13" i="19"/>
  <c r="AX23" i="18"/>
  <c r="AZ23" i="18" s="1"/>
  <c r="AU23" i="18"/>
  <c r="AX34" i="18"/>
  <c r="AZ34" i="18" s="1"/>
  <c r="M695" i="1" s="1"/>
  <c r="AU34" i="18"/>
  <c r="AX29" i="18"/>
  <c r="AZ29" i="18" s="1"/>
  <c r="M690" i="1" s="1"/>
  <c r="AU29" i="18"/>
  <c r="AX52" i="16"/>
  <c r="AZ52" i="16" s="1"/>
  <c r="M617" i="1" s="1"/>
  <c r="AU52" i="16"/>
  <c r="G49" i="16"/>
  <c r="AG49" i="16" s="1"/>
  <c r="AW49" i="16" s="1"/>
  <c r="BA49" i="16" s="1"/>
  <c r="AU8" i="17"/>
  <c r="AX8" i="17"/>
  <c r="AZ8" i="17" s="1"/>
  <c r="G28" i="15"/>
  <c r="AG28" i="15" s="1"/>
  <c r="AW28" i="15" s="1"/>
  <c r="BA28" i="15" s="1"/>
  <c r="G12" i="15"/>
  <c r="AG12" i="15" s="1"/>
  <c r="AW12" i="15" s="1"/>
  <c r="BA12" i="15" s="1"/>
  <c r="AX14" i="15"/>
  <c r="AZ14" i="15" s="1"/>
  <c r="AU14" i="15"/>
  <c r="AX17" i="14"/>
  <c r="AZ17" i="14" s="1"/>
  <c r="M486" i="1" s="1"/>
  <c r="AU17" i="14"/>
  <c r="G49" i="14"/>
  <c r="AG49" i="14" s="1"/>
  <c r="AW49" i="14" s="1"/>
  <c r="BA49" i="14" s="1"/>
  <c r="G29" i="13"/>
  <c r="AB29" i="13" s="1"/>
  <c r="AR29" i="13" s="1"/>
  <c r="AV29" i="13" s="1"/>
  <c r="AI49" i="12"/>
  <c r="AK49" i="12" s="1"/>
  <c r="M422" i="1" s="1"/>
  <c r="AF49" i="12"/>
  <c r="AI41" i="12"/>
  <c r="AK41" i="12" s="1"/>
  <c r="M414" i="1" s="1"/>
  <c r="AF41" i="12"/>
  <c r="G42" i="12"/>
  <c r="T42" i="12" s="1"/>
  <c r="AH42" i="12" s="1"/>
  <c r="AL42" i="12" s="1"/>
  <c r="G33" i="13"/>
  <c r="AB33" i="13" s="1"/>
  <c r="AR33" i="13" s="1"/>
  <c r="AV33" i="13" s="1"/>
  <c r="BO98" i="11"/>
  <c r="BS98" i="11" s="1"/>
  <c r="V98" i="11"/>
  <c r="Y74" i="11"/>
  <c r="CE74" i="11" s="1"/>
  <c r="CI74" i="11" s="1"/>
  <c r="BW74" i="11"/>
  <c r="CA74" i="11" s="1"/>
  <c r="AC79" i="9"/>
  <c r="AI79" i="9" s="1"/>
  <c r="F196" i="1" s="1"/>
  <c r="Y33" i="11"/>
  <c r="CE33" i="11" s="1"/>
  <c r="CI33" i="11" s="1"/>
  <c r="F301" i="1" s="1"/>
  <c r="BW33" i="11"/>
  <c r="CA33" i="11" s="1"/>
  <c r="F300" i="1" s="1"/>
  <c r="E25" i="4"/>
  <c r="E52" i="4"/>
  <c r="AC37" i="9"/>
  <c r="AI37" i="9" s="1"/>
  <c r="AC41" i="9"/>
  <c r="AI41" i="9" s="1"/>
  <c r="E18" i="4"/>
  <c r="E45" i="4"/>
  <c r="E10" i="4"/>
  <c r="E37" i="4"/>
  <c r="E17" i="4"/>
  <c r="E44" i="4"/>
  <c r="D37" i="4"/>
  <c r="D10" i="4"/>
  <c r="G52" i="19"/>
  <c r="V52" i="19"/>
  <c r="W52" i="19" s="1"/>
  <c r="V43" i="19"/>
  <c r="W43" i="19" s="1"/>
  <c r="G43" i="19"/>
  <c r="V9" i="19"/>
  <c r="W9" i="19" s="1"/>
  <c r="G9" i="19"/>
  <c r="G26" i="19"/>
  <c r="V26" i="19"/>
  <c r="W26" i="19" s="1"/>
  <c r="V17" i="19"/>
  <c r="W17" i="19" s="1"/>
  <c r="G17" i="19"/>
  <c r="G16" i="19"/>
  <c r="AC16" i="19" s="1"/>
  <c r="AS16" i="19" s="1"/>
  <c r="AW16" i="19" s="1"/>
  <c r="G36" i="18"/>
  <c r="AG36" i="18" s="1"/>
  <c r="AW36" i="18" s="1"/>
  <c r="BA36" i="18" s="1"/>
  <c r="AX11" i="18"/>
  <c r="AZ11" i="18" s="1"/>
  <c r="M672" i="1" s="1"/>
  <c r="AU11" i="18"/>
  <c r="G45" i="18"/>
  <c r="AG45" i="18" s="1"/>
  <c r="AW45" i="18" s="1"/>
  <c r="G44" i="17"/>
  <c r="AG44" i="17" s="1"/>
  <c r="AW44" i="17" s="1"/>
  <c r="BA44" i="17" s="1"/>
  <c r="G37" i="17"/>
  <c r="AG37" i="17" s="1"/>
  <c r="AW37" i="17" s="1"/>
  <c r="BA37" i="17" s="1"/>
  <c r="G53" i="17"/>
  <c r="AG53" i="17" s="1"/>
  <c r="AW53" i="17" s="1"/>
  <c r="BA53" i="17" s="1"/>
  <c r="G27" i="17"/>
  <c r="AG27" i="17" s="1"/>
  <c r="AW27" i="17" s="1"/>
  <c r="G11" i="17"/>
  <c r="AG11" i="17" s="1"/>
  <c r="AW11" i="17" s="1"/>
  <c r="BA11" i="17" s="1"/>
  <c r="AX50" i="16"/>
  <c r="AZ50" i="16" s="1"/>
  <c r="M615" i="1" s="1"/>
  <c r="AU50" i="16"/>
  <c r="G23" i="16"/>
  <c r="AG23" i="16" s="1"/>
  <c r="AW23" i="16" s="1"/>
  <c r="BA23" i="16" s="1"/>
  <c r="G30" i="16"/>
  <c r="AG30" i="16" s="1"/>
  <c r="AW30" i="16" s="1"/>
  <c r="BA30" i="16" s="1"/>
  <c r="G14" i="16"/>
  <c r="AG14" i="16" s="1"/>
  <c r="AW14" i="16" s="1"/>
  <c r="BA14" i="16" s="1"/>
  <c r="AX30" i="14"/>
  <c r="AZ30" i="14" s="1"/>
  <c r="M499" i="1" s="1"/>
  <c r="AU30" i="14"/>
  <c r="G17" i="14"/>
  <c r="AG17" i="14" s="1"/>
  <c r="AW17" i="14" s="1"/>
  <c r="G45" i="14"/>
  <c r="AG45" i="14" s="1"/>
  <c r="AW45" i="14" s="1"/>
  <c r="G53" i="13"/>
  <c r="AB53" i="13" s="1"/>
  <c r="AR53" i="13" s="1"/>
  <c r="AV53" i="13" s="1"/>
  <c r="G40" i="13"/>
  <c r="AB40" i="13" s="1"/>
  <c r="AR40" i="13" s="1"/>
  <c r="AV40" i="13" s="1"/>
  <c r="G49" i="12"/>
  <c r="T49" i="12" s="1"/>
  <c r="AH49" i="12" s="1"/>
  <c r="G41" i="12"/>
  <c r="T41" i="12" s="1"/>
  <c r="AH41" i="12" s="1"/>
  <c r="BO103" i="11"/>
  <c r="BS103" i="11" s="1"/>
  <c r="V103" i="11"/>
  <c r="Y82" i="11"/>
  <c r="CE82" i="11" s="1"/>
  <c r="CI82" i="11" s="1"/>
  <c r="BW82" i="11"/>
  <c r="CA82" i="11" s="1"/>
  <c r="Y67" i="11"/>
  <c r="CE67" i="11" s="1"/>
  <c r="CI67" i="11" s="1"/>
  <c r="BW67" i="11"/>
  <c r="CA67" i="11" s="1"/>
  <c r="BO92" i="11"/>
  <c r="BS92" i="11" s="1"/>
  <c r="V92" i="11"/>
  <c r="Y52" i="11"/>
  <c r="CE52" i="11" s="1"/>
  <c r="CI52" i="11" s="1"/>
  <c r="F358" i="1" s="1"/>
  <c r="BW52" i="11"/>
  <c r="CA52" i="11" s="1"/>
  <c r="F357" i="1" s="1"/>
  <c r="AC77" i="9"/>
  <c r="AI77" i="9" s="1"/>
  <c r="F194" i="1" s="1"/>
  <c r="Y40" i="11"/>
  <c r="CE40" i="11" s="1"/>
  <c r="CI40" i="11" s="1"/>
  <c r="F322" i="1" s="1"/>
  <c r="BW40" i="11"/>
  <c r="CA40" i="11" s="1"/>
  <c r="F321" i="1" s="1"/>
  <c r="Y32" i="11"/>
  <c r="CE32" i="11" s="1"/>
  <c r="CI32" i="11" s="1"/>
  <c r="F298" i="1" s="1"/>
  <c r="BW32" i="11"/>
  <c r="CA32" i="11" s="1"/>
  <c r="F297" i="1" s="1"/>
  <c r="AC71" i="9"/>
  <c r="AI71" i="9" s="1"/>
  <c r="P49" i="7"/>
  <c r="Q49" i="7" s="1"/>
  <c r="P50" i="6"/>
  <c r="Q50" i="6" s="1"/>
  <c r="E43" i="4"/>
  <c r="E16" i="4"/>
  <c r="D35" i="4"/>
  <c r="J35" i="4" s="1"/>
  <c r="M35" i="4" s="1"/>
  <c r="D8" i="4"/>
  <c r="D50" i="4"/>
  <c r="J50" i="4" s="1"/>
  <c r="M50" i="4" s="1"/>
  <c r="D23" i="4"/>
  <c r="BB27" i="7"/>
  <c r="D17" i="4"/>
  <c r="D44" i="4"/>
  <c r="Y13" i="11" l="1"/>
  <c r="CE13" i="11" s="1"/>
  <c r="CI13" i="11" s="1"/>
  <c r="F241" i="1" s="1"/>
  <c r="K241" i="1" s="1"/>
  <c r="E6" i="5"/>
  <c r="AL35" i="12"/>
  <c r="L810" i="1"/>
  <c r="AL33" i="12"/>
  <c r="BA11" i="16"/>
  <c r="L248" i="1"/>
  <c r="BA15" i="15"/>
  <c r="BW79" i="11"/>
  <c r="CA79" i="11" s="1"/>
  <c r="BA18" i="18"/>
  <c r="BA52" i="18"/>
  <c r="BV52" i="18" s="1"/>
  <c r="H713" i="1" s="1"/>
  <c r="K314" i="1"/>
  <c r="BW45" i="11"/>
  <c r="CA45" i="11" s="1"/>
  <c r="F336" i="1" s="1"/>
  <c r="BA32" i="18"/>
  <c r="F693" i="1" s="1"/>
  <c r="BA54" i="18"/>
  <c r="BV54" i="18" s="1"/>
  <c r="H715" i="1" s="1"/>
  <c r="M25" i="6"/>
  <c r="N25" i="6" s="1"/>
  <c r="BW54" i="11"/>
  <c r="CA54" i="11" s="1"/>
  <c r="F363" i="1" s="1"/>
  <c r="K363" i="1" s="1"/>
  <c r="BA40" i="18"/>
  <c r="F633" i="1"/>
  <c r="L633" i="1" s="1"/>
  <c r="K290" i="1"/>
  <c r="BA45" i="14"/>
  <c r="AL48" i="12"/>
  <c r="F421" i="1" s="1"/>
  <c r="BA19" i="14"/>
  <c r="BC19" i="14" s="1"/>
  <c r="H488" i="1" s="1"/>
  <c r="F485" i="1"/>
  <c r="L485" i="1" s="1"/>
  <c r="J47" i="4"/>
  <c r="M47" i="4" s="1"/>
  <c r="BW24" i="11"/>
  <c r="CA24" i="11" s="1"/>
  <c r="F273" i="1" s="1"/>
  <c r="L273" i="1" s="1"/>
  <c r="AL23" i="12"/>
  <c r="AN23" i="12" s="1"/>
  <c r="H396" i="1" s="1"/>
  <c r="BA48" i="14"/>
  <c r="BC48" i="14" s="1"/>
  <c r="H517" i="1" s="1"/>
  <c r="Y48" i="11"/>
  <c r="CE48" i="11" s="1"/>
  <c r="CI48" i="11" s="1"/>
  <c r="F346" i="1" s="1"/>
  <c r="BA53" i="15"/>
  <c r="F570" i="1" s="1"/>
  <c r="L284" i="1"/>
  <c r="K242" i="1"/>
  <c r="K326" i="1"/>
  <c r="BA17" i="15"/>
  <c r="F534" i="1" s="1"/>
  <c r="BA33" i="15"/>
  <c r="F550" i="1" s="1"/>
  <c r="Y38" i="11"/>
  <c r="CE38" i="11" s="1"/>
  <c r="CI38" i="11" s="1"/>
  <c r="F316" i="1" s="1"/>
  <c r="L316" i="1" s="1"/>
  <c r="BA24" i="16"/>
  <c r="BA28" i="17"/>
  <c r="Y57" i="11"/>
  <c r="CE57" i="11" s="1"/>
  <c r="CI57" i="11" s="1"/>
  <c r="F373" i="1" s="1"/>
  <c r="L373" i="1" s="1"/>
  <c r="Y9" i="11"/>
  <c r="CE9" i="11" s="1"/>
  <c r="CI9" i="11" s="1"/>
  <c r="F229" i="1" s="1"/>
  <c r="L229" i="1" s="1"/>
  <c r="BA28" i="16"/>
  <c r="F593" i="1" s="1"/>
  <c r="AL50" i="12"/>
  <c r="AN50" i="12" s="1"/>
  <c r="H423" i="1" s="1"/>
  <c r="Y49" i="11"/>
  <c r="CE49" i="11" s="1"/>
  <c r="CI49" i="11" s="1"/>
  <c r="F349" i="1" s="1"/>
  <c r="L349" i="1" s="1"/>
  <c r="BW83" i="11"/>
  <c r="CA83" i="11" s="1"/>
  <c r="BA13" i="14"/>
  <c r="BC13" i="14" s="1"/>
  <c r="H482" i="1" s="1"/>
  <c r="E9" i="1" s="1"/>
  <c r="BA50" i="18"/>
  <c r="F711" i="1" s="1"/>
  <c r="L320" i="1"/>
  <c r="L308" i="1"/>
  <c r="L266" i="1"/>
  <c r="L338" i="1"/>
  <c r="K44" i="1"/>
  <c r="AL30" i="12"/>
  <c r="AN30" i="12" s="1"/>
  <c r="H403" i="1" s="1"/>
  <c r="L374" i="1"/>
  <c r="BA45" i="18"/>
  <c r="F706" i="1" s="1"/>
  <c r="BW81" i="11"/>
  <c r="CA81" i="11" s="1"/>
  <c r="AL32" i="12"/>
  <c r="F405" i="1" s="1"/>
  <c r="AL44" i="12"/>
  <c r="AN44" i="12" s="1"/>
  <c r="H417" i="1" s="1"/>
  <c r="Y77" i="11"/>
  <c r="CE77" i="11" s="1"/>
  <c r="CI77" i="11" s="1"/>
  <c r="D6" i="5"/>
  <c r="D11" i="5" s="1"/>
  <c r="L365" i="1"/>
  <c r="BA18" i="17"/>
  <c r="BA35" i="15"/>
  <c r="F552" i="1" s="1"/>
  <c r="K272" i="1"/>
  <c r="AL31" i="12"/>
  <c r="AN31" i="12" s="1"/>
  <c r="H404" i="1" s="1"/>
  <c r="AL40" i="12"/>
  <c r="AN40" i="12" s="1"/>
  <c r="H413" i="1" s="1"/>
  <c r="BW41" i="11"/>
  <c r="CA41" i="11" s="1"/>
  <c r="F324" i="1" s="1"/>
  <c r="K324" i="1" s="1"/>
  <c r="AW40" i="19"/>
  <c r="BT40" i="19" s="1"/>
  <c r="H749" i="1" s="1"/>
  <c r="BW18" i="11"/>
  <c r="CA18" i="11" s="1"/>
  <c r="F255" i="1" s="1"/>
  <c r="K255" i="1" s="1"/>
  <c r="F629" i="1"/>
  <c r="L629" i="1" s="1"/>
  <c r="AL9" i="12"/>
  <c r="AN9" i="12" s="1"/>
  <c r="H382" i="1" s="1"/>
  <c r="BA54" i="14"/>
  <c r="F523" i="1" s="1"/>
  <c r="BA46" i="18"/>
  <c r="BV46" i="18" s="1"/>
  <c r="H707" i="1" s="1"/>
  <c r="Y59" i="11"/>
  <c r="CE59" i="11" s="1"/>
  <c r="CI59" i="11" s="1"/>
  <c r="F379" i="1" s="1"/>
  <c r="L379" i="1" s="1"/>
  <c r="Y93" i="11"/>
  <c r="CE93" i="11" s="1"/>
  <c r="CI93" i="11" s="1"/>
  <c r="Y21" i="11"/>
  <c r="CE21" i="11" s="1"/>
  <c r="CI21" i="11" s="1"/>
  <c r="F265" i="1" s="1"/>
  <c r="K265" i="1" s="1"/>
  <c r="I13" i="4"/>
  <c r="BA47" i="15"/>
  <c r="F564" i="1" s="1"/>
  <c r="L811" i="1"/>
  <c r="M43" i="6"/>
  <c r="L224" i="1"/>
  <c r="Y19" i="11"/>
  <c r="CE19" i="11" s="1"/>
  <c r="CI19" i="11" s="1"/>
  <c r="F259" i="1" s="1"/>
  <c r="L259" i="1" s="1"/>
  <c r="BA35" i="18"/>
  <c r="F696" i="1" s="1"/>
  <c r="L124" i="1"/>
  <c r="K362" i="1"/>
  <c r="BW34" i="11"/>
  <c r="CA34" i="11" s="1"/>
  <c r="F303" i="1" s="1"/>
  <c r="K303" i="1" s="1"/>
  <c r="Y95" i="11"/>
  <c r="CE95" i="11" s="1"/>
  <c r="CI95" i="11" s="1"/>
  <c r="BW70" i="11"/>
  <c r="CA70" i="11" s="1"/>
  <c r="L296" i="1"/>
  <c r="L254" i="1"/>
  <c r="Y15" i="11"/>
  <c r="CE15" i="11" s="1"/>
  <c r="CI15" i="11" s="1"/>
  <c r="F247" i="1" s="1"/>
  <c r="L247" i="1" s="1"/>
  <c r="L93" i="1"/>
  <c r="Y36" i="11"/>
  <c r="CE36" i="11" s="1"/>
  <c r="CI36" i="11" s="1"/>
  <c r="F310" i="1" s="1"/>
  <c r="K310" i="1" s="1"/>
  <c r="BA27" i="17"/>
  <c r="F640" i="1" s="1"/>
  <c r="BW8" i="11"/>
  <c r="CA8" i="11" s="1"/>
  <c r="F225" i="1" s="1"/>
  <c r="L225" i="1" s="1"/>
  <c r="BW16" i="11"/>
  <c r="CA16" i="11" s="1"/>
  <c r="F249" i="1" s="1"/>
  <c r="L249" i="1" s="1"/>
  <c r="BW20" i="11"/>
  <c r="CA20" i="11" s="1"/>
  <c r="F261" i="1" s="1"/>
  <c r="L261" i="1" s="1"/>
  <c r="BW47" i="11"/>
  <c r="CA47" i="11" s="1"/>
  <c r="F342" i="1" s="1"/>
  <c r="K342" i="1" s="1"/>
  <c r="L293" i="1"/>
  <c r="I8" i="4"/>
  <c r="M8" i="4" s="1"/>
  <c r="Y7" i="11"/>
  <c r="CE7" i="11" s="1"/>
  <c r="CI7" i="11" s="1"/>
  <c r="F223" i="1" s="1"/>
  <c r="L223" i="1" s="1"/>
  <c r="F512" i="1"/>
  <c r="K512" i="1" s="1"/>
  <c r="Y23" i="11"/>
  <c r="CE23" i="11" s="1"/>
  <c r="CI23" i="11" s="1"/>
  <c r="F271" i="1" s="1"/>
  <c r="K271" i="1" s="1"/>
  <c r="F625" i="1"/>
  <c r="L625" i="1" s="1"/>
  <c r="K278" i="1"/>
  <c r="F452" i="1"/>
  <c r="K452" i="1" s="1"/>
  <c r="L794" i="1"/>
  <c r="F447" i="1"/>
  <c r="L447" i="1" s="1"/>
  <c r="AL52" i="12"/>
  <c r="AN52" i="12" s="1"/>
  <c r="H425" i="1" s="1"/>
  <c r="BW25" i="11"/>
  <c r="CA25" i="11" s="1"/>
  <c r="F276" i="1" s="1"/>
  <c r="K276" i="1" s="1"/>
  <c r="Y94" i="11"/>
  <c r="CE94" i="11" s="1"/>
  <c r="CI94" i="11" s="1"/>
  <c r="M52" i="6"/>
  <c r="F407" i="1"/>
  <c r="K407" i="1" s="1"/>
  <c r="AX21" i="13"/>
  <c r="H442" i="1" s="1"/>
  <c r="BV10" i="17"/>
  <c r="H623" i="1" s="1"/>
  <c r="AC41" i="19"/>
  <c r="AS41" i="19" s="1"/>
  <c r="AW41" i="19" s="1"/>
  <c r="F750" i="1" s="1"/>
  <c r="F498" i="1"/>
  <c r="K498" i="1" s="1"/>
  <c r="Y104" i="11"/>
  <c r="CE104" i="11" s="1"/>
  <c r="CI104" i="11" s="1"/>
  <c r="F430" i="1"/>
  <c r="L430" i="1" s="1"/>
  <c r="BC10" i="14"/>
  <c r="H479" i="1" s="1"/>
  <c r="F487" i="1"/>
  <c r="L487" i="1" s="1"/>
  <c r="BV12" i="18"/>
  <c r="H673" i="1" s="1"/>
  <c r="K299" i="1"/>
  <c r="Y14" i="11"/>
  <c r="CE14" i="11" s="1"/>
  <c r="CI14" i="11" s="1"/>
  <c r="F244" i="1" s="1"/>
  <c r="L244" i="1" s="1"/>
  <c r="BV7" i="17"/>
  <c r="H620" i="1" s="1"/>
  <c r="F184" i="1"/>
  <c r="K184" i="1" s="1"/>
  <c r="BW51" i="11"/>
  <c r="CA51" i="11" s="1"/>
  <c r="F354" i="1" s="1"/>
  <c r="L354" i="1" s="1"/>
  <c r="Y100" i="11"/>
  <c r="CE100" i="11" s="1"/>
  <c r="CI100" i="11" s="1"/>
  <c r="BW17" i="11"/>
  <c r="CA17" i="11" s="1"/>
  <c r="F252" i="1" s="1"/>
  <c r="K252" i="1" s="1"/>
  <c r="BW39" i="11"/>
  <c r="CA39" i="11" s="1"/>
  <c r="F318" i="1" s="1"/>
  <c r="K318" i="1" s="1"/>
  <c r="BA27" i="15"/>
  <c r="F544" i="1" s="1"/>
  <c r="L350" i="1"/>
  <c r="M35" i="7"/>
  <c r="K348" i="1"/>
  <c r="L348" i="1"/>
  <c r="K319" i="1"/>
  <c r="L319" i="1"/>
  <c r="K258" i="1"/>
  <c r="L258" i="1"/>
  <c r="K777" i="1"/>
  <c r="L777" i="1"/>
  <c r="L337" i="1"/>
  <c r="K337" i="1"/>
  <c r="L243" i="1"/>
  <c r="K243" i="1"/>
  <c r="K355" i="1"/>
  <c r="L355" i="1"/>
  <c r="K237" i="1"/>
  <c r="L237" i="1"/>
  <c r="K322" i="1"/>
  <c r="L322" i="1"/>
  <c r="L347" i="1"/>
  <c r="K347" i="1"/>
  <c r="K295" i="1"/>
  <c r="L295" i="1"/>
  <c r="K283" i="1"/>
  <c r="L283" i="1"/>
  <c r="L49" i="1"/>
  <c r="K49" i="1"/>
  <c r="K370" i="1"/>
  <c r="L370" i="1"/>
  <c r="K285" i="1"/>
  <c r="L285" i="1"/>
  <c r="K351" i="1"/>
  <c r="L351" i="1"/>
  <c r="K313" i="1"/>
  <c r="L313" i="1"/>
  <c r="L346" i="1"/>
  <c r="K346" i="1"/>
  <c r="K359" i="1"/>
  <c r="L359" i="1"/>
  <c r="K325" i="1"/>
  <c r="L325" i="1"/>
  <c r="K306" i="1"/>
  <c r="L306" i="1"/>
  <c r="K286" i="1"/>
  <c r="L286" i="1"/>
  <c r="K240" i="1"/>
  <c r="L240" i="1"/>
  <c r="K256" i="1"/>
  <c r="L256" i="1"/>
  <c r="K366" i="1"/>
  <c r="L366" i="1"/>
  <c r="K340" i="1"/>
  <c r="L340" i="1"/>
  <c r="CD13" i="21"/>
  <c r="H777" i="1" s="1"/>
  <c r="L250" i="1"/>
  <c r="K250" i="1"/>
  <c r="K357" i="1"/>
  <c r="L357" i="1"/>
  <c r="K268" i="1"/>
  <c r="L268" i="1"/>
  <c r="K307" i="1"/>
  <c r="L307" i="1"/>
  <c r="K309" i="1"/>
  <c r="L309" i="1"/>
  <c r="L241" i="1"/>
  <c r="K364" i="1"/>
  <c r="L364" i="1"/>
  <c r="K280" i="1"/>
  <c r="L280" i="1"/>
  <c r="K367" i="1"/>
  <c r="L367" i="1"/>
  <c r="L233" i="1"/>
  <c r="K233" i="1"/>
  <c r="K368" i="1"/>
  <c r="L368" i="1"/>
  <c r="K311" i="1"/>
  <c r="L311" i="1"/>
  <c r="L42" i="1"/>
  <c r="K42" i="1"/>
  <c r="L336" i="1"/>
  <c r="K336" i="1"/>
  <c r="L378" i="1"/>
  <c r="K378" i="1"/>
  <c r="K331" i="1"/>
  <c r="L331" i="1"/>
  <c r="K264" i="1"/>
  <c r="L264" i="1"/>
  <c r="K332" i="1"/>
  <c r="L332" i="1"/>
  <c r="K246" i="1"/>
  <c r="L246" i="1"/>
  <c r="L304" i="1"/>
  <c r="K304" i="1"/>
  <c r="K231" i="1"/>
  <c r="L231" i="1"/>
  <c r="K335" i="1"/>
  <c r="L335" i="1"/>
  <c r="K86" i="1"/>
  <c r="L86" i="1"/>
  <c r="L218" i="1"/>
  <c r="K218" i="1"/>
  <c r="AY6" i="6"/>
  <c r="BB6" i="6" s="1"/>
  <c r="BH6" i="6" s="1"/>
  <c r="R33" i="6" s="1"/>
  <c r="N33" i="6" s="1"/>
  <c r="S33" i="6" s="1"/>
  <c r="K253" i="1"/>
  <c r="L253" i="1"/>
  <c r="K274" i="1"/>
  <c r="L274" i="1"/>
  <c r="K292" i="1"/>
  <c r="L292" i="1"/>
  <c r="L330" i="1"/>
  <c r="K330" i="1"/>
  <c r="K333" i="1"/>
  <c r="L333" i="1"/>
  <c r="K232" i="1"/>
  <c r="L232" i="1"/>
  <c r="K371" i="1"/>
  <c r="L371" i="1"/>
  <c r="K297" i="1"/>
  <c r="L297" i="1"/>
  <c r="K277" i="1"/>
  <c r="L277" i="1"/>
  <c r="L219" i="1"/>
  <c r="K219" i="1"/>
  <c r="K315" i="1"/>
  <c r="L315" i="1"/>
  <c r="L234" i="1"/>
  <c r="K234" i="1"/>
  <c r="K372" i="1"/>
  <c r="L372" i="1"/>
  <c r="I19" i="4"/>
  <c r="M19" i="4" s="1"/>
  <c r="Y12" i="11"/>
  <c r="CE12" i="11" s="1"/>
  <c r="CI12" i="11" s="1"/>
  <c r="F238" i="1" s="1"/>
  <c r="K334" i="1"/>
  <c r="L334" i="1"/>
  <c r="K288" i="1"/>
  <c r="L288" i="1"/>
  <c r="K270" i="1"/>
  <c r="L270" i="1"/>
  <c r="K356" i="1"/>
  <c r="L356" i="1"/>
  <c r="K287" i="1"/>
  <c r="L287" i="1"/>
  <c r="L353" i="1"/>
  <c r="K353" i="1"/>
  <c r="K329" i="1"/>
  <c r="L329" i="1"/>
  <c r="K102" i="1"/>
  <c r="L102" i="1"/>
  <c r="L298" i="1"/>
  <c r="K298" i="1"/>
  <c r="K300" i="1"/>
  <c r="L300" i="1"/>
  <c r="K220" i="1"/>
  <c r="L220" i="1"/>
  <c r="L235" i="1"/>
  <c r="K235" i="1"/>
  <c r="K289" i="1"/>
  <c r="L289" i="1"/>
  <c r="K228" i="1"/>
  <c r="L228" i="1"/>
  <c r="K328" i="1"/>
  <c r="L328" i="1"/>
  <c r="K230" i="1"/>
  <c r="L230" i="1"/>
  <c r="L226" i="1"/>
  <c r="K226" i="1"/>
  <c r="K267" i="1"/>
  <c r="L267" i="1"/>
  <c r="K352" i="1"/>
  <c r="L352" i="1"/>
  <c r="K222" i="1"/>
  <c r="L222" i="1"/>
  <c r="K279" i="1"/>
  <c r="L279" i="1"/>
  <c r="K358" i="1"/>
  <c r="L358" i="1"/>
  <c r="K291" i="1"/>
  <c r="L291" i="1"/>
  <c r="K375" i="1"/>
  <c r="L375" i="1"/>
  <c r="K376" i="1"/>
  <c r="L376" i="1"/>
  <c r="K321" i="1"/>
  <c r="L321" i="1"/>
  <c r="K301" i="1"/>
  <c r="L301" i="1"/>
  <c r="Y61" i="11"/>
  <c r="CE61" i="11" s="1"/>
  <c r="CI61" i="11" s="1"/>
  <c r="K369" i="1"/>
  <c r="L369" i="1"/>
  <c r="K262" i="1"/>
  <c r="L262" i="1"/>
  <c r="K343" i="1"/>
  <c r="L343" i="1"/>
  <c r="K312" i="1"/>
  <c r="L312" i="1"/>
  <c r="K377" i="1"/>
  <c r="L377" i="1"/>
  <c r="K345" i="1"/>
  <c r="L345" i="1"/>
  <c r="K294" i="1"/>
  <c r="L294" i="1"/>
  <c r="K361" i="1"/>
  <c r="L361" i="1"/>
  <c r="K305" i="1"/>
  <c r="L305" i="1"/>
  <c r="L194" i="1"/>
  <c r="K194" i="1"/>
  <c r="G25" i="6"/>
  <c r="H25" i="6" s="1"/>
  <c r="F146" i="1"/>
  <c r="G14" i="6"/>
  <c r="H14" i="6" s="1"/>
  <c r="F135" i="1"/>
  <c r="J14" i="6"/>
  <c r="K14" i="6" s="1"/>
  <c r="F157" i="1"/>
  <c r="J24" i="6"/>
  <c r="K24" i="6" s="1"/>
  <c r="F167" i="1"/>
  <c r="G12" i="6"/>
  <c r="H12" i="6" s="1"/>
  <c r="F133" i="1"/>
  <c r="G18" i="6"/>
  <c r="H18" i="6" s="1"/>
  <c r="AY18" i="6" s="1"/>
  <c r="BB18" i="6" s="1"/>
  <c r="BH18" i="6" s="1"/>
  <c r="R45" i="6" s="1"/>
  <c r="N45" i="6" s="1"/>
  <c r="S45" i="6" s="1"/>
  <c r="F139" i="1"/>
  <c r="M17" i="6"/>
  <c r="N17" i="6" s="1"/>
  <c r="F182" i="1"/>
  <c r="L804" i="1"/>
  <c r="K804" i="1"/>
  <c r="K797" i="1"/>
  <c r="L797" i="1"/>
  <c r="K808" i="1"/>
  <c r="L808" i="1"/>
  <c r="L809" i="1"/>
  <c r="K809" i="1"/>
  <c r="L129" i="1"/>
  <c r="K129" i="1"/>
  <c r="L173" i="1"/>
  <c r="K173" i="1"/>
  <c r="L156" i="1"/>
  <c r="K156" i="1"/>
  <c r="K130" i="1"/>
  <c r="L130" i="1"/>
  <c r="L177" i="1"/>
  <c r="K177" i="1"/>
  <c r="L132" i="1"/>
  <c r="K132" i="1"/>
  <c r="L163" i="1"/>
  <c r="K163" i="1"/>
  <c r="L201" i="1"/>
  <c r="K201" i="1"/>
  <c r="K202" i="1"/>
  <c r="L202" i="1"/>
  <c r="J25" i="6"/>
  <c r="K25" i="6" s="1"/>
  <c r="F168" i="1"/>
  <c r="M27" i="6"/>
  <c r="N27" i="6" s="1"/>
  <c r="F192" i="1"/>
  <c r="L195" i="1"/>
  <c r="K195" i="1"/>
  <c r="L204" i="1"/>
  <c r="K204" i="1"/>
  <c r="G15" i="6"/>
  <c r="H15" i="6" s="1"/>
  <c r="F136" i="1"/>
  <c r="M11" i="6"/>
  <c r="N11" i="6" s="1"/>
  <c r="F176" i="1"/>
  <c r="L205" i="1"/>
  <c r="K205" i="1"/>
  <c r="J26" i="6"/>
  <c r="K26" i="6" s="1"/>
  <c r="F169" i="1"/>
  <c r="M24" i="6"/>
  <c r="N24" i="6" s="1"/>
  <c r="F189" i="1"/>
  <c r="G24" i="6"/>
  <c r="H24" i="6" s="1"/>
  <c r="F145" i="1"/>
  <c r="M10" i="6"/>
  <c r="N10" i="6" s="1"/>
  <c r="F175" i="1"/>
  <c r="J16" i="6"/>
  <c r="K16" i="6" s="1"/>
  <c r="F159" i="1"/>
  <c r="L203" i="1"/>
  <c r="K203" i="1"/>
  <c r="J12" i="6"/>
  <c r="K12" i="6" s="1"/>
  <c r="F155" i="1"/>
  <c r="K791" i="1"/>
  <c r="L791" i="1"/>
  <c r="L796" i="1"/>
  <c r="K796" i="1"/>
  <c r="K807" i="1"/>
  <c r="L807" i="1"/>
  <c r="L801" i="1"/>
  <c r="K801" i="1"/>
  <c r="L795" i="1"/>
  <c r="K795" i="1"/>
  <c r="K142" i="1"/>
  <c r="L142" i="1"/>
  <c r="L179" i="1"/>
  <c r="K179" i="1"/>
  <c r="K183" i="1"/>
  <c r="L183" i="1"/>
  <c r="L161" i="1"/>
  <c r="K161" i="1"/>
  <c r="K186" i="1"/>
  <c r="L186" i="1"/>
  <c r="L171" i="1"/>
  <c r="K171" i="1"/>
  <c r="K190" i="1"/>
  <c r="L190" i="1"/>
  <c r="L196" i="1"/>
  <c r="K196" i="1"/>
  <c r="M16" i="6"/>
  <c r="N16" i="6" s="1"/>
  <c r="F181" i="1"/>
  <c r="L193" i="1"/>
  <c r="K193" i="1"/>
  <c r="G16" i="6"/>
  <c r="H16" i="6" s="1"/>
  <c r="F137" i="1"/>
  <c r="M22" i="6"/>
  <c r="N22" i="6" s="1"/>
  <c r="F187" i="1"/>
  <c r="J27" i="6"/>
  <c r="K27" i="6" s="1"/>
  <c r="F170" i="1"/>
  <c r="K197" i="1"/>
  <c r="L197" i="1"/>
  <c r="G17" i="6"/>
  <c r="H17" i="6" s="1"/>
  <c r="F138" i="1"/>
  <c r="G19" i="6"/>
  <c r="H19" i="6" s="1"/>
  <c r="F140" i="1"/>
  <c r="J19" i="6"/>
  <c r="K19" i="6" s="1"/>
  <c r="F162" i="1"/>
  <c r="M9" i="6"/>
  <c r="N9" i="6" s="1"/>
  <c r="F174" i="1"/>
  <c r="M26" i="6"/>
  <c r="N26" i="6" s="1"/>
  <c r="F191" i="1"/>
  <c r="G26" i="6"/>
  <c r="H26" i="6" s="1"/>
  <c r="F147" i="1"/>
  <c r="L793" i="1"/>
  <c r="K793" i="1"/>
  <c r="L798" i="1"/>
  <c r="K798" i="1"/>
  <c r="K799" i="1"/>
  <c r="L799" i="1"/>
  <c r="L805" i="1"/>
  <c r="K805" i="1"/>
  <c r="K150" i="1"/>
  <c r="L150" i="1"/>
  <c r="K166" i="1"/>
  <c r="L166" i="1"/>
  <c r="L172" i="1"/>
  <c r="K172" i="1"/>
  <c r="L178" i="1"/>
  <c r="K178" i="1"/>
  <c r="G27" i="6"/>
  <c r="H27" i="6" s="1"/>
  <c r="F148" i="1"/>
  <c r="K200" i="1"/>
  <c r="L200" i="1"/>
  <c r="G20" i="6"/>
  <c r="H20" i="6" s="1"/>
  <c r="AY20" i="6" s="1"/>
  <c r="BB20" i="6" s="1"/>
  <c r="BH20" i="6" s="1"/>
  <c r="R47" i="6" s="1"/>
  <c r="N47" i="6" s="1"/>
  <c r="S47" i="6" s="1"/>
  <c r="F141" i="1"/>
  <c r="K792" i="1"/>
  <c r="L792" i="1"/>
  <c r="L149" i="1"/>
  <c r="K149" i="1"/>
  <c r="M23" i="6"/>
  <c r="N23" i="6" s="1"/>
  <c r="F188" i="1"/>
  <c r="J15" i="6"/>
  <c r="K15" i="6" s="1"/>
  <c r="F158" i="1"/>
  <c r="G23" i="6"/>
  <c r="H23" i="6" s="1"/>
  <c r="F144" i="1"/>
  <c r="G22" i="6"/>
  <c r="H22" i="6" s="1"/>
  <c r="F143" i="1"/>
  <c r="K199" i="1"/>
  <c r="L199" i="1"/>
  <c r="K802" i="1"/>
  <c r="L802" i="1"/>
  <c r="AY8" i="6"/>
  <c r="BB8" i="6" s="1"/>
  <c r="BH8" i="6" s="1"/>
  <c r="R35" i="6" s="1"/>
  <c r="N35" i="6" s="1"/>
  <c r="S35" i="6" s="1"/>
  <c r="J11" i="6"/>
  <c r="K11" i="6" s="1"/>
  <c r="F154" i="1"/>
  <c r="J17" i="6"/>
  <c r="K17" i="6" s="1"/>
  <c r="F160" i="1"/>
  <c r="J21" i="6"/>
  <c r="K21" i="6" s="1"/>
  <c r="AY21" i="6" s="1"/>
  <c r="BB21" i="6" s="1"/>
  <c r="BH21" i="6" s="1"/>
  <c r="R48" i="6" s="1"/>
  <c r="N48" i="6" s="1"/>
  <c r="S48" i="6" s="1"/>
  <c r="F164" i="1"/>
  <c r="J22" i="6"/>
  <c r="K22" i="6" s="1"/>
  <c r="F165" i="1"/>
  <c r="J9" i="6"/>
  <c r="K9" i="6" s="1"/>
  <c r="F152" i="1"/>
  <c r="G13" i="6"/>
  <c r="H13" i="6" s="1"/>
  <c r="AY13" i="6" s="1"/>
  <c r="BB13" i="6" s="1"/>
  <c r="BH13" i="6" s="1"/>
  <c r="BJ13" i="6" s="1"/>
  <c r="F134" i="1"/>
  <c r="AY7" i="6"/>
  <c r="BB7" i="6" s="1"/>
  <c r="BH7" i="6" s="1"/>
  <c r="R34" i="6" s="1"/>
  <c r="N34" i="6" s="1"/>
  <c r="S34" i="6" s="1"/>
  <c r="K800" i="1"/>
  <c r="L800" i="1"/>
  <c r="K806" i="1"/>
  <c r="L806" i="1"/>
  <c r="L803" i="1"/>
  <c r="K803" i="1"/>
  <c r="L185" i="1"/>
  <c r="K185" i="1"/>
  <c r="K128" i="1"/>
  <c r="L128" i="1"/>
  <c r="L131" i="1"/>
  <c r="K131" i="1"/>
  <c r="L151" i="1"/>
  <c r="K151" i="1"/>
  <c r="L127" i="1"/>
  <c r="K127" i="1"/>
  <c r="L180" i="1"/>
  <c r="K180" i="1"/>
  <c r="J10" i="6"/>
  <c r="K10" i="6" s="1"/>
  <c r="F153" i="1"/>
  <c r="BA37" i="18"/>
  <c r="BV37" i="18" s="1"/>
  <c r="H698" i="1" s="1"/>
  <c r="M698" i="1"/>
  <c r="L673" i="1"/>
  <c r="K673" i="1"/>
  <c r="BA23" i="18"/>
  <c r="F684" i="1" s="1"/>
  <c r="M684" i="1"/>
  <c r="BA31" i="17"/>
  <c r="F644" i="1" s="1"/>
  <c r="M644" i="1"/>
  <c r="L620" i="1"/>
  <c r="K620" i="1"/>
  <c r="L627" i="1"/>
  <c r="K627" i="1"/>
  <c r="BA8" i="17"/>
  <c r="BV8" i="17" s="1"/>
  <c r="H621" i="1" s="1"/>
  <c r="M621" i="1"/>
  <c r="K623" i="1"/>
  <c r="L623" i="1"/>
  <c r="BA48" i="16"/>
  <c r="F613" i="1" s="1"/>
  <c r="M613" i="1"/>
  <c r="BA54" i="16"/>
  <c r="F619" i="1" s="1"/>
  <c r="M619" i="1"/>
  <c r="BA14" i="15"/>
  <c r="BX14" i="15" s="1"/>
  <c r="H531" i="1" s="1"/>
  <c r="M531" i="1"/>
  <c r="BA37" i="14"/>
  <c r="BC37" i="14" s="1"/>
  <c r="H506" i="1" s="1"/>
  <c r="M506" i="1"/>
  <c r="BA53" i="14"/>
  <c r="F522" i="1" s="1"/>
  <c r="M522" i="1"/>
  <c r="BA31" i="14"/>
  <c r="BC31" i="14" s="1"/>
  <c r="H500" i="1" s="1"/>
  <c r="M500" i="1"/>
  <c r="BA40" i="14"/>
  <c r="BC40" i="14" s="1"/>
  <c r="H509" i="1" s="1"/>
  <c r="L479" i="1"/>
  <c r="K479" i="1"/>
  <c r="L493" i="1"/>
  <c r="K493" i="1"/>
  <c r="L498" i="1"/>
  <c r="K470" i="1"/>
  <c r="L470" i="1"/>
  <c r="L455" i="1"/>
  <c r="K455" i="1"/>
  <c r="L464" i="1"/>
  <c r="K464" i="1"/>
  <c r="F473" i="1"/>
  <c r="K462" i="1"/>
  <c r="L462" i="1"/>
  <c r="F433" i="1"/>
  <c r="L444" i="1"/>
  <c r="K444" i="1"/>
  <c r="AX23" i="13"/>
  <c r="H444" i="1" s="1"/>
  <c r="F438" i="1"/>
  <c r="L436" i="1"/>
  <c r="K436" i="1"/>
  <c r="K442" i="1"/>
  <c r="L442" i="1"/>
  <c r="L428" i="1"/>
  <c r="K428" i="1"/>
  <c r="AL39" i="12"/>
  <c r="AN39" i="12" s="1"/>
  <c r="H412" i="1" s="1"/>
  <c r="M412" i="1"/>
  <c r="F409" i="1"/>
  <c r="S32" i="7"/>
  <c r="BA49" i="18"/>
  <c r="F710" i="1" s="1"/>
  <c r="BA25" i="16"/>
  <c r="BW25" i="16" s="1"/>
  <c r="H590" i="1" s="1"/>
  <c r="BA31" i="16"/>
  <c r="F596" i="1" s="1"/>
  <c r="BA41" i="14"/>
  <c r="BC41" i="14" s="1"/>
  <c r="H510" i="1" s="1"/>
  <c r="F434" i="1"/>
  <c r="AX13" i="13"/>
  <c r="H434" i="1" s="1"/>
  <c r="F435" i="1"/>
  <c r="AX14" i="13"/>
  <c r="H435" i="1" s="1"/>
  <c r="F437" i="1"/>
  <c r="F468" i="1"/>
  <c r="F636" i="1"/>
  <c r="BV23" i="17"/>
  <c r="H636" i="1" s="1"/>
  <c r="F606" i="1"/>
  <c r="BW41" i="16"/>
  <c r="H606" i="1" s="1"/>
  <c r="F380" i="1"/>
  <c r="AN7" i="12"/>
  <c r="H380" i="1" s="1"/>
  <c r="F585" i="1"/>
  <c r="BW20" i="16"/>
  <c r="H585" i="1" s="1"/>
  <c r="F581" i="1"/>
  <c r="BW16" i="16"/>
  <c r="H581" i="1" s="1"/>
  <c r="F528" i="1"/>
  <c r="BX11" i="15"/>
  <c r="H528" i="1" s="1"/>
  <c r="F607" i="1"/>
  <c r="BW42" i="16"/>
  <c r="H607" i="1" s="1"/>
  <c r="F548" i="1"/>
  <c r="BX31" i="15"/>
  <c r="H548" i="1" s="1"/>
  <c r="F653" i="1"/>
  <c r="BV40" i="17"/>
  <c r="H653" i="1" s="1"/>
  <c r="F650" i="1"/>
  <c r="BV37" i="17"/>
  <c r="H650" i="1" s="1"/>
  <c r="F577" i="1"/>
  <c r="BW12" i="16"/>
  <c r="H577" i="1" s="1"/>
  <c r="F674" i="1"/>
  <c r="BV13" i="18"/>
  <c r="H674" i="1" s="1"/>
  <c r="F682" i="1"/>
  <c r="BV21" i="18"/>
  <c r="H682" i="1" s="1"/>
  <c r="F574" i="1"/>
  <c r="BW9" i="16"/>
  <c r="H574" i="1" s="1"/>
  <c r="F599" i="1"/>
  <c r="BW34" i="16"/>
  <c r="H599" i="1" s="1"/>
  <c r="F551" i="1"/>
  <c r="BX34" i="15"/>
  <c r="H551" i="1" s="1"/>
  <c r="F614" i="1"/>
  <c r="BW49" i="16"/>
  <c r="H614" i="1" s="1"/>
  <c r="Y72" i="11"/>
  <c r="CE72" i="11" s="1"/>
  <c r="CI72" i="11" s="1"/>
  <c r="F579" i="1"/>
  <c r="BW14" i="16"/>
  <c r="H579" i="1" s="1"/>
  <c r="F666" i="1"/>
  <c r="BV53" i="17"/>
  <c r="H666" i="1" s="1"/>
  <c r="F725" i="1"/>
  <c r="BT16" i="19"/>
  <c r="H725" i="1" s="1"/>
  <c r="F529" i="1"/>
  <c r="BX12" i="15"/>
  <c r="H529" i="1" s="1"/>
  <c r="F658" i="1"/>
  <c r="BV45" i="17"/>
  <c r="H658" i="1" s="1"/>
  <c r="F608" i="1"/>
  <c r="BW43" i="16"/>
  <c r="H608" i="1" s="1"/>
  <c r="F603" i="1"/>
  <c r="BW38" i="16"/>
  <c r="H603" i="1" s="1"/>
  <c r="F767" i="1"/>
  <c r="BS10" i="20"/>
  <c r="H767" i="1" s="1"/>
  <c r="F576" i="1"/>
  <c r="BW11" i="16"/>
  <c r="H576" i="1" s="1"/>
  <c r="F530" i="1"/>
  <c r="BX13" i="15"/>
  <c r="H530" i="1" s="1"/>
  <c r="F560" i="1"/>
  <c r="BX43" i="15"/>
  <c r="H560" i="1" s="1"/>
  <c r="F591" i="1"/>
  <c r="BW26" i="16"/>
  <c r="H591" i="1" s="1"/>
  <c r="F679" i="1"/>
  <c r="BV18" i="18"/>
  <c r="H679" i="1" s="1"/>
  <c r="F527" i="1"/>
  <c r="BX10" i="15"/>
  <c r="H527" i="1" s="1"/>
  <c r="F542" i="1"/>
  <c r="BX25" i="15"/>
  <c r="H542" i="1" s="1"/>
  <c r="F685" i="1"/>
  <c r="BV24" i="18"/>
  <c r="H685" i="1" s="1"/>
  <c r="F654" i="1"/>
  <c r="BV41" i="17"/>
  <c r="H654" i="1" s="1"/>
  <c r="F526" i="1"/>
  <c r="BX9" i="15"/>
  <c r="H526" i="1" s="1"/>
  <c r="F618" i="1"/>
  <c r="BW53" i="16"/>
  <c r="H618" i="1" s="1"/>
  <c r="F655" i="1"/>
  <c r="BV42" i="17"/>
  <c r="H655" i="1" s="1"/>
  <c r="F597" i="1"/>
  <c r="BW32" i="16"/>
  <c r="H597" i="1" s="1"/>
  <c r="F549" i="1"/>
  <c r="BX32" i="15"/>
  <c r="H549" i="1" s="1"/>
  <c r="F647" i="1"/>
  <c r="BV34" i="17"/>
  <c r="H647" i="1" s="1"/>
  <c r="M13" i="4"/>
  <c r="F538" i="1"/>
  <c r="BX21" i="15"/>
  <c r="H538" i="1" s="1"/>
  <c r="F772" i="1"/>
  <c r="CD8" i="21"/>
  <c r="H772" i="1" s="1"/>
  <c r="F565" i="1"/>
  <c r="BX48" i="15"/>
  <c r="H565" i="1" s="1"/>
  <c r="F646" i="1"/>
  <c r="BV33" i="17"/>
  <c r="H646" i="1" s="1"/>
  <c r="F661" i="1"/>
  <c r="BV48" i="17"/>
  <c r="H661" i="1" s="1"/>
  <c r="F657" i="1"/>
  <c r="BV44" i="17"/>
  <c r="H657" i="1" s="1"/>
  <c r="BH21" i="7"/>
  <c r="R47" i="7" s="1"/>
  <c r="N47" i="7" s="1"/>
  <c r="S47" i="7" s="1"/>
  <c r="F546" i="1"/>
  <c r="BX29" i="15"/>
  <c r="H546" i="1" s="1"/>
  <c r="F675" i="1"/>
  <c r="BV14" i="18"/>
  <c r="H675" i="1" s="1"/>
  <c r="M7" i="4"/>
  <c r="F663" i="1"/>
  <c r="BV50" i="17"/>
  <c r="H663" i="1" s="1"/>
  <c r="F656" i="1"/>
  <c r="BV43" i="17"/>
  <c r="H656" i="1" s="1"/>
  <c r="F639" i="1"/>
  <c r="BV26" i="17"/>
  <c r="H639" i="1" s="1"/>
  <c r="F687" i="1"/>
  <c r="BV26" i="18"/>
  <c r="H687" i="1" s="1"/>
  <c r="BW96" i="11"/>
  <c r="CA96" i="11" s="1"/>
  <c r="F664" i="1"/>
  <c r="BV51" i="17"/>
  <c r="H664" i="1" s="1"/>
  <c r="BA29" i="18"/>
  <c r="F592" i="1"/>
  <c r="BW27" i="16"/>
  <c r="H592" i="1" s="1"/>
  <c r="F683" i="1"/>
  <c r="BV22" i="18"/>
  <c r="H683" i="1" s="1"/>
  <c r="F572" i="1"/>
  <c r="BW7" i="16"/>
  <c r="H572" i="1" s="1"/>
  <c r="F598" i="1"/>
  <c r="BW33" i="16"/>
  <c r="H598" i="1" s="1"/>
  <c r="F704" i="1"/>
  <c r="BV43" i="18"/>
  <c r="H704" i="1" s="1"/>
  <c r="F589" i="1"/>
  <c r="BW24" i="16"/>
  <c r="H589" i="1" s="1"/>
  <c r="F727" i="1"/>
  <c r="BT18" i="19"/>
  <c r="H727" i="1" s="1"/>
  <c r="F648" i="1"/>
  <c r="BV35" i="17"/>
  <c r="H648" i="1" s="1"/>
  <c r="BW42" i="11"/>
  <c r="CA42" i="11" s="1"/>
  <c r="F327" i="1" s="1"/>
  <c r="F571" i="1"/>
  <c r="BX54" i="15"/>
  <c r="H571" i="1" s="1"/>
  <c r="F578" i="1"/>
  <c r="BW13" i="16"/>
  <c r="H578" i="1" s="1"/>
  <c r="F630" i="1"/>
  <c r="BV17" i="17"/>
  <c r="H630" i="1" s="1"/>
  <c r="F700" i="1"/>
  <c r="BV39" i="18"/>
  <c r="H700" i="1" s="1"/>
  <c r="F632" i="1"/>
  <c r="BV19" i="17"/>
  <c r="H632" i="1" s="1"/>
  <c r="F580" i="1"/>
  <c r="BW15" i="16"/>
  <c r="H580" i="1" s="1"/>
  <c r="F652" i="1"/>
  <c r="BV39" i="17"/>
  <c r="H652" i="1" s="1"/>
  <c r="F556" i="1"/>
  <c r="BX39" i="15"/>
  <c r="H556" i="1" s="1"/>
  <c r="F588" i="1"/>
  <c r="BW23" i="16"/>
  <c r="H588" i="1" s="1"/>
  <c r="F558" i="1"/>
  <c r="BX41" i="15"/>
  <c r="H558" i="1" s="1"/>
  <c r="I16" i="4"/>
  <c r="F524" i="1"/>
  <c r="BX7" i="15"/>
  <c r="H524" i="1" s="1"/>
  <c r="F628" i="1"/>
  <c r="BV15" i="17"/>
  <c r="H628" i="1" s="1"/>
  <c r="F743" i="1"/>
  <c r="BT34" i="19"/>
  <c r="H743" i="1" s="1"/>
  <c r="E11" i="5"/>
  <c r="F567" i="1"/>
  <c r="BX50" i="15"/>
  <c r="H567" i="1" s="1"/>
  <c r="F678" i="1"/>
  <c r="BV17" i="18"/>
  <c r="H678" i="1" s="1"/>
  <c r="M9" i="4"/>
  <c r="F561" i="1"/>
  <c r="BX44" i="15"/>
  <c r="H561" i="1" s="1"/>
  <c r="F605" i="1"/>
  <c r="BW40" i="16"/>
  <c r="H605" i="1" s="1"/>
  <c r="F712" i="1"/>
  <c r="BV51" i="18"/>
  <c r="H712" i="1" s="1"/>
  <c r="F557" i="1"/>
  <c r="BX40" i="15"/>
  <c r="H557" i="1" s="1"/>
  <c r="F671" i="1"/>
  <c r="BV10" i="18"/>
  <c r="H671" i="1" s="1"/>
  <c r="F431" i="1"/>
  <c r="F670" i="1"/>
  <c r="BV9" i="18"/>
  <c r="H670" i="1" s="1"/>
  <c r="F660" i="1"/>
  <c r="BV47" i="17"/>
  <c r="H660" i="1" s="1"/>
  <c r="F649" i="1"/>
  <c r="BV36" i="17"/>
  <c r="H649" i="1" s="1"/>
  <c r="BX17" i="15"/>
  <c r="H534" i="1" s="1"/>
  <c r="F594" i="1"/>
  <c r="BW29" i="16"/>
  <c r="H594" i="1" s="1"/>
  <c r="F547" i="1"/>
  <c r="BX30" i="15"/>
  <c r="H547" i="1" s="1"/>
  <c r="F559" i="1"/>
  <c r="BX42" i="15"/>
  <c r="H559" i="1" s="1"/>
  <c r="F610" i="1"/>
  <c r="BW45" i="16"/>
  <c r="H610" i="1" s="1"/>
  <c r="F573" i="1"/>
  <c r="BW8" i="16"/>
  <c r="H573" i="1" s="1"/>
  <c r="F563" i="1"/>
  <c r="BX46" i="15"/>
  <c r="H563" i="1" s="1"/>
  <c r="M12" i="4"/>
  <c r="F703" i="1"/>
  <c r="BV42" i="18"/>
  <c r="H703" i="1" s="1"/>
  <c r="F566" i="1"/>
  <c r="BX49" i="15"/>
  <c r="H566" i="1" s="1"/>
  <c r="F539" i="1"/>
  <c r="BX22" i="15"/>
  <c r="H539" i="1" s="1"/>
  <c r="F775" i="1"/>
  <c r="CD11" i="21"/>
  <c r="H775" i="1" s="1"/>
  <c r="F709" i="1"/>
  <c r="BV48" i="18"/>
  <c r="H709" i="1" s="1"/>
  <c r="F645" i="1"/>
  <c r="BV32" i="17"/>
  <c r="H645" i="1" s="1"/>
  <c r="F604" i="1"/>
  <c r="BW39" i="16"/>
  <c r="H604" i="1" s="1"/>
  <c r="F586" i="1"/>
  <c r="BW21" i="16"/>
  <c r="H586" i="1" s="1"/>
  <c r="F667" i="1"/>
  <c r="BV54" i="17"/>
  <c r="H667" i="1" s="1"/>
  <c r="F635" i="1"/>
  <c r="BV22" i="17"/>
  <c r="H635" i="1" s="1"/>
  <c r="BX35" i="15"/>
  <c r="H552" i="1" s="1"/>
  <c r="F569" i="1"/>
  <c r="BX52" i="15"/>
  <c r="H569" i="1" s="1"/>
  <c r="F638" i="1"/>
  <c r="BV25" i="17"/>
  <c r="H638" i="1" s="1"/>
  <c r="F677" i="1"/>
  <c r="BV16" i="18"/>
  <c r="H677" i="1" s="1"/>
  <c r="BV50" i="18"/>
  <c r="H711" i="1" s="1"/>
  <c r="F616" i="1"/>
  <c r="BW51" i="16"/>
  <c r="H616" i="1" s="1"/>
  <c r="F705" i="1"/>
  <c r="BV44" i="18"/>
  <c r="H705" i="1" s="1"/>
  <c r="F555" i="1"/>
  <c r="BX38" i="15"/>
  <c r="H555" i="1" s="1"/>
  <c r="F701" i="1"/>
  <c r="BV40" i="18"/>
  <c r="H701" i="1" s="1"/>
  <c r="F382" i="1"/>
  <c r="F681" i="1"/>
  <c r="BV20" i="18"/>
  <c r="H681" i="1" s="1"/>
  <c r="F537" i="1"/>
  <c r="BX20" i="15"/>
  <c r="H537" i="1" s="1"/>
  <c r="F525" i="1"/>
  <c r="BX8" i="15"/>
  <c r="H525" i="1" s="1"/>
  <c r="F624" i="1"/>
  <c r="BV11" i="17"/>
  <c r="H624" i="1" s="1"/>
  <c r="F602" i="1"/>
  <c r="BW37" i="16"/>
  <c r="H602" i="1" s="1"/>
  <c r="F714" i="1"/>
  <c r="BV53" i="18"/>
  <c r="H714" i="1" s="1"/>
  <c r="F553" i="1"/>
  <c r="BX36" i="15"/>
  <c r="H553" i="1" s="1"/>
  <c r="F541" i="1"/>
  <c r="BX24" i="15"/>
  <c r="H541" i="1" s="1"/>
  <c r="F651" i="1"/>
  <c r="BV38" i="17"/>
  <c r="H651" i="1" s="1"/>
  <c r="F776" i="1"/>
  <c r="CD12" i="21"/>
  <c r="H776" i="1" s="1"/>
  <c r="F612" i="1"/>
  <c r="BW47" i="16"/>
  <c r="H612" i="1" s="1"/>
  <c r="F536" i="1"/>
  <c r="BX19" i="15"/>
  <c r="H536" i="1" s="1"/>
  <c r="F694" i="1"/>
  <c r="BV33" i="18"/>
  <c r="H694" i="1" s="1"/>
  <c r="F665" i="1"/>
  <c r="BV52" i="17"/>
  <c r="H665" i="1" s="1"/>
  <c r="F601" i="1"/>
  <c r="BW36" i="16"/>
  <c r="H601" i="1" s="1"/>
  <c r="F584" i="1"/>
  <c r="BW19" i="16"/>
  <c r="H584" i="1" s="1"/>
  <c r="F668" i="1"/>
  <c r="BV7" i="18"/>
  <c r="H668" i="1" s="1"/>
  <c r="F774" i="1"/>
  <c r="CD10" i="21"/>
  <c r="H774" i="1" s="1"/>
  <c r="F641" i="1"/>
  <c r="BV28" i="17"/>
  <c r="H641" i="1" s="1"/>
  <c r="F595" i="1"/>
  <c r="BW30" i="16"/>
  <c r="H595" i="1" s="1"/>
  <c r="F545" i="1"/>
  <c r="BX28" i="15"/>
  <c r="H545" i="1" s="1"/>
  <c r="F583" i="1"/>
  <c r="BW18" i="16"/>
  <c r="H583" i="1" s="1"/>
  <c r="F634" i="1"/>
  <c r="BV21" i="17"/>
  <c r="H634" i="1" s="1"/>
  <c r="F543" i="1"/>
  <c r="BX26" i="15"/>
  <c r="H543" i="1" s="1"/>
  <c r="BX53" i="15"/>
  <c r="H570" i="1" s="1"/>
  <c r="F642" i="1"/>
  <c r="BV29" i="17"/>
  <c r="H642" i="1" s="1"/>
  <c r="F691" i="1"/>
  <c r="BV30" i="18"/>
  <c r="H691" i="1" s="1"/>
  <c r="F689" i="1"/>
  <c r="BV28" i="18"/>
  <c r="H689" i="1" s="1"/>
  <c r="F532" i="1"/>
  <c r="BX15" i="15"/>
  <c r="H532" i="1" s="1"/>
  <c r="E20" i="5"/>
  <c r="F697" i="1"/>
  <c r="BV36" i="18"/>
  <c r="H697" i="1" s="1"/>
  <c r="F600" i="1"/>
  <c r="BW35" i="16"/>
  <c r="H600" i="1" s="1"/>
  <c r="F587" i="1"/>
  <c r="BW22" i="16"/>
  <c r="H587" i="1" s="1"/>
  <c r="F699" i="1"/>
  <c r="BV38" i="18"/>
  <c r="H699" i="1" s="1"/>
  <c r="M20" i="4"/>
  <c r="F631" i="1"/>
  <c r="BV18" i="17"/>
  <c r="H631" i="1" s="1"/>
  <c r="F582" i="1"/>
  <c r="BW17" i="16"/>
  <c r="H582" i="1" s="1"/>
  <c r="F554" i="1"/>
  <c r="BX37" i="15"/>
  <c r="H554" i="1" s="1"/>
  <c r="AX41" i="13"/>
  <c r="H462" i="1" s="1"/>
  <c r="F477" i="1"/>
  <c r="F669" i="1"/>
  <c r="BV8" i="18"/>
  <c r="H669" i="1" s="1"/>
  <c r="F626" i="1"/>
  <c r="BV13" i="17"/>
  <c r="H626" i="1" s="1"/>
  <c r="F659" i="1"/>
  <c r="BV46" i="17"/>
  <c r="H659" i="1" s="1"/>
  <c r="F575" i="1"/>
  <c r="BW10" i="16"/>
  <c r="H575" i="1" s="1"/>
  <c r="F662" i="1"/>
  <c r="BV49" i="17"/>
  <c r="H662" i="1" s="1"/>
  <c r="F568" i="1"/>
  <c r="BX51" i="15"/>
  <c r="H568" i="1" s="1"/>
  <c r="F692" i="1"/>
  <c r="BV31" i="18"/>
  <c r="H692" i="1" s="1"/>
  <c r="BV32" i="18"/>
  <c r="H693" i="1" s="1"/>
  <c r="F562" i="1"/>
  <c r="BX45" i="15"/>
  <c r="H562" i="1" s="1"/>
  <c r="M11" i="4"/>
  <c r="F540" i="1"/>
  <c r="BX23" i="15"/>
  <c r="H540" i="1" s="1"/>
  <c r="F643" i="1"/>
  <c r="BV30" i="17"/>
  <c r="H643" i="1" s="1"/>
  <c r="F533" i="1"/>
  <c r="BX16" i="15"/>
  <c r="H533" i="1" s="1"/>
  <c r="F637" i="1"/>
  <c r="BV24" i="17"/>
  <c r="H637" i="1" s="1"/>
  <c r="F449" i="1"/>
  <c r="F441" i="1"/>
  <c r="F484" i="1"/>
  <c r="F457" i="1"/>
  <c r="F504" i="1"/>
  <c r="F446" i="1"/>
  <c r="F445" i="1"/>
  <c r="AX24" i="13"/>
  <c r="H445" i="1" s="1"/>
  <c r="BW53" i="11"/>
  <c r="CA53" i="11" s="1"/>
  <c r="F360" i="1" s="1"/>
  <c r="S34" i="7"/>
  <c r="AX34" i="13"/>
  <c r="H455" i="1" s="1"/>
  <c r="C11" i="5"/>
  <c r="B11" i="5"/>
  <c r="BW62" i="11"/>
  <c r="CA62" i="11" s="1"/>
  <c r="B20" i="5"/>
  <c r="F451" i="1"/>
  <c r="AC36" i="19"/>
  <c r="AS36" i="19" s="1"/>
  <c r="AW36" i="19" s="1"/>
  <c r="BA46" i="16"/>
  <c r="F460" i="1"/>
  <c r="AC12" i="19"/>
  <c r="AS12" i="19" s="1"/>
  <c r="AW12" i="19" s="1"/>
  <c r="AE11" i="20"/>
  <c r="AS11" i="20" s="1"/>
  <c r="AW11" i="20" s="1"/>
  <c r="BA50" i="16"/>
  <c r="BA38" i="14"/>
  <c r="BC38" i="14" s="1"/>
  <c r="H507" i="1" s="1"/>
  <c r="BA27" i="18"/>
  <c r="BA9" i="17"/>
  <c r="J52" i="4"/>
  <c r="M52" i="4" s="1"/>
  <c r="BA39" i="14"/>
  <c r="BC39" i="14" s="1"/>
  <c r="H508" i="1" s="1"/>
  <c r="BC36" i="14"/>
  <c r="H505" i="1" s="1"/>
  <c r="F505" i="1"/>
  <c r="AX37" i="13"/>
  <c r="H458" i="1" s="1"/>
  <c r="F458" i="1"/>
  <c r="AC52" i="19"/>
  <c r="AS52" i="19" s="1"/>
  <c r="AW52" i="19" s="1"/>
  <c r="Y73" i="11"/>
  <c r="CE73" i="11" s="1"/>
  <c r="CI73" i="11" s="1"/>
  <c r="AC49" i="19"/>
  <c r="AS49" i="19" s="1"/>
  <c r="AW49" i="19" s="1"/>
  <c r="BW27" i="11"/>
  <c r="CA27" i="11" s="1"/>
  <c r="F282" i="1" s="1"/>
  <c r="AC51" i="19"/>
  <c r="AS51" i="19" s="1"/>
  <c r="AW51" i="19" s="1"/>
  <c r="AX7" i="13"/>
  <c r="H428" i="1" s="1"/>
  <c r="F439" i="1"/>
  <c r="BA52" i="16"/>
  <c r="AX43" i="13"/>
  <c r="H464" i="1" s="1"/>
  <c r="BA25" i="18"/>
  <c r="F466" i="1"/>
  <c r="BA30" i="14"/>
  <c r="BC30" i="14" s="1"/>
  <c r="H499" i="1" s="1"/>
  <c r="BW97" i="11"/>
  <c r="CA97" i="11" s="1"/>
  <c r="BW46" i="11"/>
  <c r="CA46" i="11" s="1"/>
  <c r="F339" i="1" s="1"/>
  <c r="F386" i="1"/>
  <c r="F520" i="1"/>
  <c r="AE8" i="20"/>
  <c r="AS8" i="20" s="1"/>
  <c r="AW8" i="20" s="1"/>
  <c r="C15" i="5"/>
  <c r="C20" i="5" s="1"/>
  <c r="I23" i="4"/>
  <c r="F467" i="1"/>
  <c r="AX46" i="13"/>
  <c r="H467" i="1" s="1"/>
  <c r="AC27" i="19"/>
  <c r="AS27" i="19" s="1"/>
  <c r="AW27" i="19" s="1"/>
  <c r="AC19" i="19"/>
  <c r="AS19" i="19" s="1"/>
  <c r="AW19" i="19" s="1"/>
  <c r="S33" i="7"/>
  <c r="AL10" i="12"/>
  <c r="AN10" i="12" s="1"/>
  <c r="H383" i="1" s="1"/>
  <c r="AE9" i="20"/>
  <c r="AS9" i="20" s="1"/>
  <c r="AW9" i="20" s="1"/>
  <c r="I18" i="4"/>
  <c r="AE7" i="20"/>
  <c r="AS7" i="20" s="1"/>
  <c r="AW7" i="20" s="1"/>
  <c r="F472" i="1"/>
  <c r="BC24" i="14"/>
  <c r="H493" i="1" s="1"/>
  <c r="J48" i="4"/>
  <c r="M48" i="4" s="1"/>
  <c r="BH26" i="7"/>
  <c r="BJ26" i="7" s="1"/>
  <c r="AC23" i="19"/>
  <c r="AS23" i="19" s="1"/>
  <c r="AW23" i="19" s="1"/>
  <c r="AX22" i="13"/>
  <c r="H443" i="1" s="1"/>
  <c r="F443" i="1"/>
  <c r="F482" i="1"/>
  <c r="AX32" i="13"/>
  <c r="H453" i="1" s="1"/>
  <c r="F453" i="1"/>
  <c r="AC28" i="19"/>
  <c r="AS28" i="19" s="1"/>
  <c r="AW28" i="19" s="1"/>
  <c r="J49" i="4"/>
  <c r="M49" i="4" s="1"/>
  <c r="AC33" i="19"/>
  <c r="AS33" i="19" s="1"/>
  <c r="AW33" i="19" s="1"/>
  <c r="AL47" i="12"/>
  <c r="F420" i="1" s="1"/>
  <c r="AC22" i="19"/>
  <c r="AS22" i="19" s="1"/>
  <c r="AW22" i="19" s="1"/>
  <c r="BA18" i="15"/>
  <c r="AC39" i="19"/>
  <c r="AS39" i="19" s="1"/>
  <c r="AW39" i="19" s="1"/>
  <c r="AC26" i="19"/>
  <c r="AS26" i="19" s="1"/>
  <c r="AW26" i="19" s="1"/>
  <c r="AC31" i="19"/>
  <c r="AS31" i="19" s="1"/>
  <c r="AW31" i="19" s="1"/>
  <c r="BA11" i="18"/>
  <c r="AC20" i="19"/>
  <c r="AS20" i="19" s="1"/>
  <c r="AW20" i="19" s="1"/>
  <c r="AC54" i="19"/>
  <c r="AS54" i="19" s="1"/>
  <c r="AW54" i="19" s="1"/>
  <c r="AC48" i="19"/>
  <c r="AS48" i="19" s="1"/>
  <c r="AW48" i="19" s="1"/>
  <c r="J51" i="4"/>
  <c r="M51" i="4" s="1"/>
  <c r="I24" i="4"/>
  <c r="BA44" i="16"/>
  <c r="AC43" i="19"/>
  <c r="AS43" i="19" s="1"/>
  <c r="AW43" i="19" s="1"/>
  <c r="I25" i="4"/>
  <c r="AL41" i="12"/>
  <c r="AN41" i="12" s="1"/>
  <c r="H414" i="1" s="1"/>
  <c r="J45" i="4"/>
  <c r="M45" i="4" s="1"/>
  <c r="AC14" i="19"/>
  <c r="AS14" i="19" s="1"/>
  <c r="AW14" i="19" s="1"/>
  <c r="AC50" i="19"/>
  <c r="AS50" i="19" s="1"/>
  <c r="AW50" i="19" s="1"/>
  <c r="I21" i="4"/>
  <c r="AC24" i="19"/>
  <c r="AS24" i="19" s="1"/>
  <c r="AW24" i="19" s="1"/>
  <c r="Y101" i="11"/>
  <c r="CE101" i="11" s="1"/>
  <c r="CI101" i="11" s="1"/>
  <c r="BW101" i="11"/>
  <c r="CA101" i="11" s="1"/>
  <c r="AC17" i="19"/>
  <c r="AS17" i="19" s="1"/>
  <c r="AW17" i="19" s="1"/>
  <c r="AL49" i="12"/>
  <c r="AN49" i="12" s="1"/>
  <c r="H422" i="1" s="1"/>
  <c r="AC35" i="19"/>
  <c r="AS35" i="19" s="1"/>
  <c r="AW35" i="19" s="1"/>
  <c r="J46" i="4"/>
  <c r="M46" i="4" s="1"/>
  <c r="J41" i="4"/>
  <c r="M41" i="4" s="1"/>
  <c r="J42" i="4"/>
  <c r="M42" i="4" s="1"/>
  <c r="AC32" i="19"/>
  <c r="AS32" i="19" s="1"/>
  <c r="AW32" i="19" s="1"/>
  <c r="D20" i="5"/>
  <c r="AC15" i="19"/>
  <c r="AS15" i="19" s="1"/>
  <c r="AW15" i="19" s="1"/>
  <c r="AC53" i="19"/>
  <c r="AS53" i="19" s="1"/>
  <c r="AW53" i="19" s="1"/>
  <c r="AN42" i="12"/>
  <c r="H415" i="1" s="1"/>
  <c r="F415" i="1"/>
  <c r="AX38" i="13"/>
  <c r="H459" i="1" s="1"/>
  <c r="F459" i="1"/>
  <c r="AX11" i="13"/>
  <c r="H432" i="1" s="1"/>
  <c r="F432" i="1"/>
  <c r="AX40" i="13"/>
  <c r="H461" i="1" s="1"/>
  <c r="F461" i="1"/>
  <c r="AN22" i="12"/>
  <c r="H395" i="1" s="1"/>
  <c r="F395" i="1"/>
  <c r="BC50" i="14"/>
  <c r="H519" i="1" s="1"/>
  <c r="F519" i="1"/>
  <c r="AX53" i="13"/>
  <c r="H474" i="1" s="1"/>
  <c r="F474" i="1"/>
  <c r="AX35" i="13"/>
  <c r="H456" i="1" s="1"/>
  <c r="F456" i="1"/>
  <c r="F425" i="1"/>
  <c r="BC45" i="14"/>
  <c r="H514" i="1" s="1"/>
  <c r="F514" i="1"/>
  <c r="BC12" i="14"/>
  <c r="H481" i="1" s="1"/>
  <c r="F481" i="1"/>
  <c r="BC33" i="14"/>
  <c r="H502" i="1" s="1"/>
  <c r="F502" i="1"/>
  <c r="AN54" i="12"/>
  <c r="H427" i="1" s="1"/>
  <c r="F427" i="1"/>
  <c r="AX8" i="13"/>
  <c r="H429" i="1" s="1"/>
  <c r="F429" i="1"/>
  <c r="BC20" i="14"/>
  <c r="H489" i="1" s="1"/>
  <c r="F489" i="1"/>
  <c r="BC49" i="14"/>
  <c r="H518" i="1" s="1"/>
  <c r="F518" i="1"/>
  <c r="AX27" i="13"/>
  <c r="H448" i="1" s="1"/>
  <c r="F448" i="1"/>
  <c r="J44" i="4"/>
  <c r="M44" i="4" s="1"/>
  <c r="R48" i="7"/>
  <c r="N48" i="7" s="1"/>
  <c r="S48" i="7" s="1"/>
  <c r="BJ22" i="7"/>
  <c r="J37" i="4"/>
  <c r="M37" i="4" s="1"/>
  <c r="BA17" i="14"/>
  <c r="AC13" i="19"/>
  <c r="AS13" i="19" s="1"/>
  <c r="AW13" i="19" s="1"/>
  <c r="BH25" i="7"/>
  <c r="F404" i="1"/>
  <c r="AX50" i="13"/>
  <c r="H471" i="1" s="1"/>
  <c r="F471" i="1"/>
  <c r="AX42" i="13"/>
  <c r="H463" i="1" s="1"/>
  <c r="F463" i="1"/>
  <c r="BC11" i="14"/>
  <c r="H480" i="1" s="1"/>
  <c r="F480" i="1"/>
  <c r="AC29" i="19"/>
  <c r="AS29" i="19" s="1"/>
  <c r="AW29" i="19" s="1"/>
  <c r="AM9" i="21"/>
  <c r="BD9" i="21" s="1"/>
  <c r="BH9" i="21" s="1"/>
  <c r="Y90" i="11"/>
  <c r="CE90" i="11" s="1"/>
  <c r="CI90" i="11" s="1"/>
  <c r="BW90" i="11"/>
  <c r="CA90" i="11" s="1"/>
  <c r="AC47" i="19"/>
  <c r="AS47" i="19" s="1"/>
  <c r="AW47" i="19" s="1"/>
  <c r="BA28" i="14"/>
  <c r="BC22" i="14"/>
  <c r="H491" i="1" s="1"/>
  <c r="F491" i="1"/>
  <c r="AX44" i="13"/>
  <c r="H465" i="1" s="1"/>
  <c r="F465" i="1"/>
  <c r="BC9" i="14"/>
  <c r="H478" i="1" s="1"/>
  <c r="F478" i="1"/>
  <c r="BC46" i="14"/>
  <c r="H515" i="1" s="1"/>
  <c r="F515" i="1"/>
  <c r="AX48" i="13"/>
  <c r="H469" i="1" s="1"/>
  <c r="F469" i="1"/>
  <c r="AN24" i="12"/>
  <c r="H397" i="1" s="1"/>
  <c r="F397" i="1"/>
  <c r="BC14" i="14"/>
  <c r="H483" i="1" s="1"/>
  <c r="F483" i="1"/>
  <c r="BC32" i="14"/>
  <c r="H501" i="1" s="1"/>
  <c r="F501" i="1"/>
  <c r="AN17" i="12"/>
  <c r="H390" i="1" s="1"/>
  <c r="F390" i="1"/>
  <c r="BH27" i="7"/>
  <c r="AN33" i="12"/>
  <c r="H406" i="1" s="1"/>
  <c r="F406" i="1"/>
  <c r="BC7" i="14"/>
  <c r="H476" i="1" s="1"/>
  <c r="F476" i="1"/>
  <c r="I17" i="4"/>
  <c r="AC8" i="19"/>
  <c r="AS8" i="19" s="1"/>
  <c r="AW8" i="19" s="1"/>
  <c r="BC26" i="14"/>
  <c r="H495" i="1" s="1"/>
  <c r="F495" i="1"/>
  <c r="R41" i="7"/>
  <c r="N41" i="7" s="1"/>
  <c r="S41" i="7" s="1"/>
  <c r="BJ15" i="7"/>
  <c r="AN38" i="12"/>
  <c r="H411" i="1" s="1"/>
  <c r="F411" i="1"/>
  <c r="AC7" i="19"/>
  <c r="AS7" i="19" s="1"/>
  <c r="AW7" i="19" s="1"/>
  <c r="BC21" i="14"/>
  <c r="H490" i="1" s="1"/>
  <c r="F490" i="1"/>
  <c r="J43" i="4"/>
  <c r="M43" i="4" s="1"/>
  <c r="BW99" i="11"/>
  <c r="CA99" i="11" s="1"/>
  <c r="Y99" i="11"/>
  <c r="CE99" i="11" s="1"/>
  <c r="CI99" i="11" s="1"/>
  <c r="AL51" i="12"/>
  <c r="R40" i="7"/>
  <c r="N40" i="7" s="1"/>
  <c r="S40" i="7" s="1"/>
  <c r="BJ14" i="7"/>
  <c r="AN21" i="12"/>
  <c r="H394" i="1" s="1"/>
  <c r="F394" i="1"/>
  <c r="AC10" i="19"/>
  <c r="AS10" i="19" s="1"/>
  <c r="AW10" i="19" s="1"/>
  <c r="AX54" i="13"/>
  <c r="H475" i="1" s="1"/>
  <c r="F475" i="1"/>
  <c r="AN11" i="12"/>
  <c r="H384" i="1" s="1"/>
  <c r="F384" i="1"/>
  <c r="AN46" i="12"/>
  <c r="H419" i="1" s="1"/>
  <c r="F419" i="1"/>
  <c r="BA34" i="18"/>
  <c r="AN26" i="12"/>
  <c r="H399" i="1" s="1"/>
  <c r="F399" i="1"/>
  <c r="AX19" i="13"/>
  <c r="H440" i="1" s="1"/>
  <c r="F440" i="1"/>
  <c r="AC38" i="19"/>
  <c r="AS38" i="19" s="1"/>
  <c r="AW38" i="19" s="1"/>
  <c r="R39" i="7"/>
  <c r="N39" i="7" s="1"/>
  <c r="S39" i="7" s="1"/>
  <c r="BJ13" i="7"/>
  <c r="AL37" i="12"/>
  <c r="F20" i="5"/>
  <c r="R35" i="7"/>
  <c r="N35" i="7" s="1"/>
  <c r="S35" i="7" s="1"/>
  <c r="BJ9" i="7"/>
  <c r="AN29" i="12"/>
  <c r="H402" i="1" s="1"/>
  <c r="F402" i="1"/>
  <c r="BC44" i="14"/>
  <c r="H513" i="1" s="1"/>
  <c r="F513" i="1"/>
  <c r="I15" i="4"/>
  <c r="AE13" i="20"/>
  <c r="AS13" i="20" s="1"/>
  <c r="AW13" i="20" s="1"/>
  <c r="R46" i="7"/>
  <c r="N46" i="7" s="1"/>
  <c r="S46" i="7" s="1"/>
  <c r="BJ20" i="7"/>
  <c r="F11" i="5"/>
  <c r="BA15" i="18"/>
  <c r="AN19" i="12"/>
  <c r="H392" i="1" s="1"/>
  <c r="F392" i="1"/>
  <c r="R43" i="7"/>
  <c r="N43" i="7" s="1"/>
  <c r="S43" i="7" s="1"/>
  <c r="BJ17" i="7"/>
  <c r="AN16" i="12"/>
  <c r="H389" i="1" s="1"/>
  <c r="F389" i="1"/>
  <c r="AN15" i="12"/>
  <c r="H388" i="1" s="1"/>
  <c r="F388" i="1"/>
  <c r="F517" i="1"/>
  <c r="I22" i="4"/>
  <c r="BW92" i="11"/>
  <c r="CA92" i="11" s="1"/>
  <c r="Y92" i="11"/>
  <c r="CE92" i="11" s="1"/>
  <c r="CI92" i="11" s="1"/>
  <c r="BW103" i="11"/>
  <c r="CA103" i="11" s="1"/>
  <c r="Y103" i="11"/>
  <c r="CE103" i="11" s="1"/>
  <c r="CI103" i="11" s="1"/>
  <c r="I10" i="4"/>
  <c r="BW98" i="11"/>
  <c r="CA98" i="11" s="1"/>
  <c r="Y98" i="11"/>
  <c r="CE98" i="11" s="1"/>
  <c r="CI98" i="11" s="1"/>
  <c r="BC34" i="14"/>
  <c r="H503" i="1" s="1"/>
  <c r="F503" i="1"/>
  <c r="BA41" i="18"/>
  <c r="BJ12" i="7"/>
  <c r="R38" i="7"/>
  <c r="N38" i="7" s="1"/>
  <c r="S38" i="7" s="1"/>
  <c r="AN18" i="12"/>
  <c r="H391" i="1" s="1"/>
  <c r="F391" i="1"/>
  <c r="AC30" i="19"/>
  <c r="AS30" i="19" s="1"/>
  <c r="AW30" i="19" s="1"/>
  <c r="AN48" i="12"/>
  <c r="H421" i="1" s="1"/>
  <c r="AL45" i="12"/>
  <c r="BC47" i="14"/>
  <c r="H516" i="1" s="1"/>
  <c r="F516" i="1"/>
  <c r="AN25" i="12"/>
  <c r="H398" i="1" s="1"/>
  <c r="F398" i="1"/>
  <c r="BC27" i="14"/>
  <c r="H496" i="1" s="1"/>
  <c r="F496" i="1"/>
  <c r="AC11" i="19"/>
  <c r="AS11" i="19" s="1"/>
  <c r="AW11" i="19" s="1"/>
  <c r="AL43" i="12"/>
  <c r="BJ10" i="7"/>
  <c r="R36" i="7"/>
  <c r="N36" i="7" s="1"/>
  <c r="S36" i="7" s="1"/>
  <c r="R44" i="7"/>
  <c r="N44" i="7" s="1"/>
  <c r="S44" i="7" s="1"/>
  <c r="BJ18" i="7"/>
  <c r="AC44" i="19"/>
  <c r="AS44" i="19" s="1"/>
  <c r="AW44" i="19" s="1"/>
  <c r="AC46" i="19"/>
  <c r="AS46" i="19" s="1"/>
  <c r="AW46" i="19" s="1"/>
  <c r="R50" i="7"/>
  <c r="N50" i="7" s="1"/>
  <c r="S50" i="7" s="1"/>
  <c r="BJ24" i="7"/>
  <c r="AX29" i="13"/>
  <c r="H450" i="1" s="1"/>
  <c r="F450" i="1"/>
  <c r="BC52" i="14"/>
  <c r="H521" i="1" s="1"/>
  <c r="F521" i="1"/>
  <c r="Y64" i="11"/>
  <c r="CE64" i="11" s="1"/>
  <c r="CI64" i="11" s="1"/>
  <c r="BW64" i="11"/>
  <c r="CA64" i="11" s="1"/>
  <c r="AN12" i="12"/>
  <c r="H385" i="1" s="1"/>
  <c r="F385" i="1"/>
  <c r="BH23" i="7"/>
  <c r="BA19" i="18"/>
  <c r="AN14" i="12"/>
  <c r="H387" i="1" s="1"/>
  <c r="F387" i="1"/>
  <c r="AN8" i="12"/>
  <c r="H381" i="1" s="1"/>
  <c r="F381" i="1"/>
  <c r="BA47" i="18"/>
  <c r="AX33" i="13"/>
  <c r="H454" i="1" s="1"/>
  <c r="F454" i="1"/>
  <c r="R37" i="7"/>
  <c r="N37" i="7" s="1"/>
  <c r="S37" i="7" s="1"/>
  <c r="BJ11" i="7"/>
  <c r="AN27" i="12"/>
  <c r="H400" i="1" s="1"/>
  <c r="F400" i="1"/>
  <c r="AN28" i="12"/>
  <c r="H401" i="1" s="1"/>
  <c r="F401" i="1"/>
  <c r="AC9" i="19"/>
  <c r="AS9" i="19" s="1"/>
  <c r="AW9" i="19" s="1"/>
  <c r="AN35" i="12"/>
  <c r="H408" i="1" s="1"/>
  <c r="F408" i="1"/>
  <c r="BW102" i="11"/>
  <c r="CA102" i="11" s="1"/>
  <c r="Y102" i="11"/>
  <c r="CE102" i="11" s="1"/>
  <c r="CI102" i="11" s="1"/>
  <c r="AE12" i="20"/>
  <c r="AS12" i="20" s="1"/>
  <c r="AW12" i="20" s="1"/>
  <c r="BC42" i="14"/>
  <c r="H511" i="1" s="1"/>
  <c r="F511" i="1"/>
  <c r="AC42" i="19"/>
  <c r="AS42" i="19" s="1"/>
  <c r="AW42" i="19" s="1"/>
  <c r="AM7" i="21"/>
  <c r="BD7" i="21" s="1"/>
  <c r="BH7" i="21" s="1"/>
  <c r="BH16" i="7"/>
  <c r="AL53" i="12"/>
  <c r="BC23" i="14"/>
  <c r="H492" i="1" s="1"/>
  <c r="F492" i="1"/>
  <c r="AC37" i="19"/>
  <c r="AS37" i="19" s="1"/>
  <c r="AW37" i="19" s="1"/>
  <c r="I14" i="4"/>
  <c r="AC21" i="19"/>
  <c r="AS21" i="19" s="1"/>
  <c r="AW21" i="19" s="1"/>
  <c r="AC45" i="19"/>
  <c r="AS45" i="19" s="1"/>
  <c r="AW45" i="19" s="1"/>
  <c r="R45" i="7"/>
  <c r="N45" i="7" s="1"/>
  <c r="S45" i="7" s="1"/>
  <c r="BJ19" i="7"/>
  <c r="BA25" i="14"/>
  <c r="AN20" i="12"/>
  <c r="H393" i="1" s="1"/>
  <c r="F393" i="1"/>
  <c r="AC25" i="19"/>
  <c r="AS25" i="19" s="1"/>
  <c r="AW25" i="19" s="1"/>
  <c r="F413" i="1" l="1"/>
  <c r="F707" i="1"/>
  <c r="AN32" i="12"/>
  <c r="H405" i="1" s="1"/>
  <c r="K229" i="1"/>
  <c r="K379" i="1"/>
  <c r="L363" i="1"/>
  <c r="K259" i="1"/>
  <c r="BW28" i="16"/>
  <c r="H593" i="1" s="1"/>
  <c r="F417" i="1"/>
  <c r="K485" i="1"/>
  <c r="K316" i="1"/>
  <c r="L255" i="1"/>
  <c r="K223" i="1"/>
  <c r="L310" i="1"/>
  <c r="F715" i="1"/>
  <c r="K715" i="1" s="1"/>
  <c r="F403" i="1"/>
  <c r="BC54" i="14"/>
  <c r="H523" i="1" s="1"/>
  <c r="F713" i="1"/>
  <c r="K349" i="1"/>
  <c r="K273" i="1"/>
  <c r="L324" i="1"/>
  <c r="K373" i="1"/>
  <c r="K633" i="1"/>
  <c r="F396" i="1"/>
  <c r="L396" i="1" s="1"/>
  <c r="F488" i="1"/>
  <c r="L488" i="1" s="1"/>
  <c r="BX27" i="15"/>
  <c r="H544" i="1" s="1"/>
  <c r="BV35" i="18"/>
  <c r="H696" i="1" s="1"/>
  <c r="F749" i="1"/>
  <c r="L749" i="1" s="1"/>
  <c r="L265" i="1"/>
  <c r="F423" i="1"/>
  <c r="BX33" i="15"/>
  <c r="H550" i="1" s="1"/>
  <c r="K247" i="1"/>
  <c r="BX47" i="15"/>
  <c r="H564" i="1" s="1"/>
  <c r="BV45" i="18"/>
  <c r="H706" i="1" s="1"/>
  <c r="K354" i="1"/>
  <c r="K629" i="1"/>
  <c r="L271" i="1"/>
  <c r="L303" i="1"/>
  <c r="K225" i="1"/>
  <c r="L407" i="1"/>
  <c r="F500" i="1"/>
  <c r="L500" i="1" s="1"/>
  <c r="K625" i="1"/>
  <c r="K249" i="1"/>
  <c r="L184" i="1"/>
  <c r="L276" i="1"/>
  <c r="BV27" i="17"/>
  <c r="H640" i="1" s="1"/>
  <c r="L512" i="1"/>
  <c r="L452" i="1"/>
  <c r="K261" i="1"/>
  <c r="L342" i="1"/>
  <c r="AY10" i="6"/>
  <c r="BB10" i="6" s="1"/>
  <c r="BH10" i="6" s="1"/>
  <c r="R37" i="6" s="1"/>
  <c r="N37" i="6" s="1"/>
  <c r="S37" i="6" s="1"/>
  <c r="BT41" i="19"/>
  <c r="H750" i="1" s="1"/>
  <c r="K447" i="1"/>
  <c r="AY17" i="6"/>
  <c r="BB17" i="6" s="1"/>
  <c r="BH17" i="6" s="1"/>
  <c r="R44" i="6" s="1"/>
  <c r="N44" i="6" s="1"/>
  <c r="S44" i="6" s="1"/>
  <c r="F621" i="1"/>
  <c r="K621" i="1" s="1"/>
  <c r="K430" i="1"/>
  <c r="K487" i="1"/>
  <c r="BV23" i="18"/>
  <c r="H684" i="1" s="1"/>
  <c r="F590" i="1"/>
  <c r="L590" i="1" s="1"/>
  <c r="K244" i="1"/>
  <c r="AN47" i="12"/>
  <c r="H420" i="1" s="1"/>
  <c r="F412" i="1"/>
  <c r="L412" i="1" s="1"/>
  <c r="F506" i="1"/>
  <c r="K506" i="1" s="1"/>
  <c r="L252" i="1"/>
  <c r="L318" i="1"/>
  <c r="BJ21" i="7"/>
  <c r="AY22" i="6"/>
  <c r="BB22" i="6" s="1"/>
  <c r="BH22" i="6" s="1"/>
  <c r="R49" i="6" s="1"/>
  <c r="N49" i="6" s="1"/>
  <c r="S49" i="6" s="1"/>
  <c r="AY27" i="6"/>
  <c r="BB27" i="6" s="1"/>
  <c r="BH27" i="6" s="1"/>
  <c r="R54" i="6" s="1"/>
  <c r="N54" i="6" s="1"/>
  <c r="S54" i="6" s="1"/>
  <c r="AY14" i="6"/>
  <c r="BB14" i="6" s="1"/>
  <c r="BH14" i="6" s="1"/>
  <c r="BJ14" i="6" s="1"/>
  <c r="AY11" i="6"/>
  <c r="BB11" i="6" s="1"/>
  <c r="BH11" i="6" s="1"/>
  <c r="BJ11" i="6" s="1"/>
  <c r="AY26" i="6"/>
  <c r="BB26" i="6" s="1"/>
  <c r="BH26" i="6" s="1"/>
  <c r="R53" i="6" s="1"/>
  <c r="N53" i="6" s="1"/>
  <c r="S53" i="6" s="1"/>
  <c r="AY19" i="6"/>
  <c r="BB19" i="6" s="1"/>
  <c r="BH19" i="6" s="1"/>
  <c r="R46" i="6" s="1"/>
  <c r="N46" i="6" s="1"/>
  <c r="S46" i="6" s="1"/>
  <c r="BJ6" i="6"/>
  <c r="AY25" i="6"/>
  <c r="BB25" i="6" s="1"/>
  <c r="BH25" i="6" s="1"/>
  <c r="BJ25" i="6" s="1"/>
  <c r="AY24" i="6"/>
  <c r="BB24" i="6" s="1"/>
  <c r="BH24" i="6" s="1"/>
  <c r="BJ24" i="6" s="1"/>
  <c r="AY23" i="6"/>
  <c r="BB23" i="6" s="1"/>
  <c r="BH23" i="6" s="1"/>
  <c r="R50" i="6" s="1"/>
  <c r="N50" i="6" s="1"/>
  <c r="S50" i="6" s="1"/>
  <c r="K238" i="1"/>
  <c r="L238" i="1"/>
  <c r="BJ7" i="6"/>
  <c r="K767" i="1"/>
  <c r="L767" i="1"/>
  <c r="K774" i="1"/>
  <c r="L774" i="1"/>
  <c r="K776" i="1"/>
  <c r="L776" i="1"/>
  <c r="F383" i="1"/>
  <c r="K383" i="1" s="1"/>
  <c r="K339" i="1"/>
  <c r="L339" i="1"/>
  <c r="AY15" i="6"/>
  <c r="BB15" i="6" s="1"/>
  <c r="BH15" i="6" s="1"/>
  <c r="R42" i="6" s="1"/>
  <c r="N42" i="6" s="1"/>
  <c r="S42" i="6" s="1"/>
  <c r="AY16" i="6"/>
  <c r="BB16" i="6" s="1"/>
  <c r="BH16" i="6" s="1"/>
  <c r="BJ16" i="6" s="1"/>
  <c r="BW48" i="16"/>
  <c r="H613" i="1" s="1"/>
  <c r="AY9" i="6"/>
  <c r="BB9" i="6" s="1"/>
  <c r="BH9" i="6" s="1"/>
  <c r="BJ9" i="6" s="1"/>
  <c r="AY12" i="6"/>
  <c r="BB12" i="6" s="1"/>
  <c r="BH12" i="6" s="1"/>
  <c r="BJ12" i="6" s="1"/>
  <c r="K360" i="1"/>
  <c r="L360" i="1"/>
  <c r="BV31" i="17"/>
  <c r="H644" i="1" s="1"/>
  <c r="K775" i="1"/>
  <c r="L775" i="1"/>
  <c r="BC53" i="14"/>
  <c r="H522" i="1" s="1"/>
  <c r="L282" i="1"/>
  <c r="K282" i="1"/>
  <c r="K327" i="1"/>
  <c r="L327" i="1"/>
  <c r="K772" i="1"/>
  <c r="L772" i="1"/>
  <c r="K165" i="1"/>
  <c r="L165" i="1"/>
  <c r="K158" i="1"/>
  <c r="L158" i="1"/>
  <c r="K141" i="1"/>
  <c r="L141" i="1"/>
  <c r="K191" i="1"/>
  <c r="L191" i="1"/>
  <c r="L138" i="1"/>
  <c r="K138" i="1"/>
  <c r="L137" i="1"/>
  <c r="K137" i="1"/>
  <c r="K175" i="1"/>
  <c r="L175" i="1"/>
  <c r="K182" i="1"/>
  <c r="L182" i="1"/>
  <c r="K157" i="1"/>
  <c r="L157" i="1"/>
  <c r="L164" i="1"/>
  <c r="K164" i="1"/>
  <c r="L188" i="1"/>
  <c r="K188" i="1"/>
  <c r="K174" i="1"/>
  <c r="L174" i="1"/>
  <c r="L155" i="1"/>
  <c r="K155" i="1"/>
  <c r="L145" i="1"/>
  <c r="K145" i="1"/>
  <c r="K176" i="1"/>
  <c r="L176" i="1"/>
  <c r="K192" i="1"/>
  <c r="L192" i="1"/>
  <c r="L139" i="1"/>
  <c r="K139" i="1"/>
  <c r="K135" i="1"/>
  <c r="L135" i="1"/>
  <c r="K160" i="1"/>
  <c r="L160" i="1"/>
  <c r="K143" i="1"/>
  <c r="L143" i="1"/>
  <c r="L148" i="1"/>
  <c r="K148" i="1"/>
  <c r="L162" i="1"/>
  <c r="K162" i="1"/>
  <c r="K170" i="1"/>
  <c r="L170" i="1"/>
  <c r="K181" i="1"/>
  <c r="L181" i="1"/>
  <c r="L189" i="1"/>
  <c r="K189" i="1"/>
  <c r="K136" i="1"/>
  <c r="L136" i="1"/>
  <c r="K168" i="1"/>
  <c r="L168" i="1"/>
  <c r="L133" i="1"/>
  <c r="K133" i="1"/>
  <c r="K146" i="1"/>
  <c r="L146" i="1"/>
  <c r="K134" i="1"/>
  <c r="L134" i="1"/>
  <c r="K152" i="1"/>
  <c r="L152" i="1"/>
  <c r="L154" i="1"/>
  <c r="K154" i="1"/>
  <c r="BJ8" i="6"/>
  <c r="L153" i="1"/>
  <c r="K153" i="1"/>
  <c r="K144" i="1"/>
  <c r="L144" i="1"/>
  <c r="L147" i="1"/>
  <c r="K147" i="1"/>
  <c r="L140" i="1"/>
  <c r="K140" i="1"/>
  <c r="L187" i="1"/>
  <c r="K187" i="1"/>
  <c r="K159" i="1"/>
  <c r="L159" i="1"/>
  <c r="L169" i="1"/>
  <c r="K169" i="1"/>
  <c r="K167" i="1"/>
  <c r="L167" i="1"/>
  <c r="L750" i="1"/>
  <c r="K750" i="1"/>
  <c r="L743" i="1"/>
  <c r="K743" i="1"/>
  <c r="L727" i="1"/>
  <c r="K727" i="1"/>
  <c r="L725" i="1"/>
  <c r="K725" i="1"/>
  <c r="K710" i="1"/>
  <c r="L710" i="1"/>
  <c r="K714" i="1"/>
  <c r="L714" i="1"/>
  <c r="F698" i="1"/>
  <c r="K705" i="1"/>
  <c r="L705" i="1"/>
  <c r="L712" i="1"/>
  <c r="K712" i="1"/>
  <c r="K696" i="1"/>
  <c r="L696" i="1"/>
  <c r="L693" i="1"/>
  <c r="K693" i="1"/>
  <c r="BV49" i="18"/>
  <c r="H710" i="1" s="1"/>
  <c r="L709" i="1"/>
  <c r="K709" i="1"/>
  <c r="K706" i="1"/>
  <c r="L706" i="1"/>
  <c r="L707" i="1"/>
  <c r="K707" i="1"/>
  <c r="K694" i="1"/>
  <c r="L694" i="1"/>
  <c r="L699" i="1"/>
  <c r="K699" i="1"/>
  <c r="K697" i="1"/>
  <c r="L697" i="1"/>
  <c r="L692" i="1"/>
  <c r="K692" i="1"/>
  <c r="L701" i="1"/>
  <c r="K701" i="1"/>
  <c r="L711" i="1"/>
  <c r="K711" i="1"/>
  <c r="L703" i="1"/>
  <c r="K703" i="1"/>
  <c r="L713" i="1"/>
  <c r="K713" i="1"/>
  <c r="L715" i="1"/>
  <c r="L704" i="1"/>
  <c r="K704" i="1"/>
  <c r="L700" i="1"/>
  <c r="K700" i="1"/>
  <c r="L687" i="1"/>
  <c r="K687" i="1"/>
  <c r="L674" i="1"/>
  <c r="K674" i="1"/>
  <c r="L691" i="1"/>
  <c r="K691" i="1"/>
  <c r="L668" i="1"/>
  <c r="K668" i="1"/>
  <c r="L677" i="1"/>
  <c r="K677" i="1"/>
  <c r="L675" i="1"/>
  <c r="K675" i="1"/>
  <c r="L678" i="1"/>
  <c r="K678" i="1"/>
  <c r="L679" i="1"/>
  <c r="K679" i="1"/>
  <c r="L684" i="1"/>
  <c r="K684" i="1"/>
  <c r="L681" i="1"/>
  <c r="K681" i="1"/>
  <c r="K670" i="1"/>
  <c r="L670" i="1"/>
  <c r="L685" i="1"/>
  <c r="K685" i="1"/>
  <c r="L689" i="1"/>
  <c r="K689" i="1"/>
  <c r="L683" i="1"/>
  <c r="K683" i="1"/>
  <c r="L682" i="1"/>
  <c r="K682" i="1"/>
  <c r="L669" i="1"/>
  <c r="K669" i="1"/>
  <c r="L671" i="1"/>
  <c r="K671" i="1"/>
  <c r="K656" i="1"/>
  <c r="L656" i="1"/>
  <c r="L646" i="1"/>
  <c r="K646" i="1"/>
  <c r="L655" i="1"/>
  <c r="K655" i="1"/>
  <c r="L663" i="1"/>
  <c r="K663" i="1"/>
  <c r="L647" i="1"/>
  <c r="K647" i="1"/>
  <c r="L650" i="1"/>
  <c r="K650" i="1"/>
  <c r="K664" i="1"/>
  <c r="L664" i="1"/>
  <c r="L659" i="1"/>
  <c r="K659" i="1"/>
  <c r="L665" i="1"/>
  <c r="K665" i="1"/>
  <c r="L644" i="1"/>
  <c r="K644" i="1"/>
  <c r="L649" i="1"/>
  <c r="K649" i="1"/>
  <c r="L657" i="1"/>
  <c r="K657" i="1"/>
  <c r="L666" i="1"/>
  <c r="K666" i="1"/>
  <c r="L653" i="1"/>
  <c r="K653" i="1"/>
  <c r="L651" i="1"/>
  <c r="K651" i="1"/>
  <c r="L660" i="1"/>
  <c r="K660" i="1"/>
  <c r="K648" i="1"/>
  <c r="L648" i="1"/>
  <c r="L661" i="1"/>
  <c r="K661" i="1"/>
  <c r="K654" i="1"/>
  <c r="L654" i="1"/>
  <c r="L658" i="1"/>
  <c r="K658" i="1"/>
  <c r="L662" i="1"/>
  <c r="K662" i="1"/>
  <c r="L667" i="1"/>
  <c r="K667" i="1"/>
  <c r="L645" i="1"/>
  <c r="K645" i="1"/>
  <c r="L652" i="1"/>
  <c r="K652" i="1"/>
  <c r="L637" i="1"/>
  <c r="K637" i="1"/>
  <c r="K624" i="1"/>
  <c r="L624" i="1"/>
  <c r="L639" i="1"/>
  <c r="K639" i="1"/>
  <c r="K631" i="1"/>
  <c r="L631" i="1"/>
  <c r="L642" i="1"/>
  <c r="K642" i="1"/>
  <c r="L638" i="1"/>
  <c r="K638" i="1"/>
  <c r="L630" i="1"/>
  <c r="K630" i="1"/>
  <c r="K640" i="1"/>
  <c r="L640" i="1"/>
  <c r="L634" i="1"/>
  <c r="K634" i="1"/>
  <c r="L641" i="1"/>
  <c r="K641" i="1"/>
  <c r="L643" i="1"/>
  <c r="K643" i="1"/>
  <c r="K632" i="1"/>
  <c r="L632" i="1"/>
  <c r="L636" i="1"/>
  <c r="K636" i="1"/>
  <c r="L626" i="1"/>
  <c r="K626" i="1"/>
  <c r="L635" i="1"/>
  <c r="K635" i="1"/>
  <c r="L628" i="1"/>
  <c r="K628" i="1"/>
  <c r="BW31" i="16"/>
  <c r="H596" i="1" s="1"/>
  <c r="BW54" i="16"/>
  <c r="H619" i="1" s="1"/>
  <c r="L619" i="1"/>
  <c r="K619" i="1"/>
  <c r="L613" i="1"/>
  <c r="K613" i="1"/>
  <c r="L596" i="1"/>
  <c r="K596" i="1"/>
  <c r="L607" i="1"/>
  <c r="K607" i="1"/>
  <c r="L618" i="1"/>
  <c r="K618" i="1"/>
  <c r="L603" i="1"/>
  <c r="K603" i="1"/>
  <c r="K614" i="1"/>
  <c r="L614" i="1"/>
  <c r="K606" i="1"/>
  <c r="L606" i="1"/>
  <c r="L600" i="1"/>
  <c r="K600" i="1"/>
  <c r="L604" i="1"/>
  <c r="K604" i="1"/>
  <c r="L610" i="1"/>
  <c r="K610" i="1"/>
  <c r="L608" i="1"/>
  <c r="K608" i="1"/>
  <c r="K601" i="1"/>
  <c r="L601" i="1"/>
  <c r="L612" i="1"/>
  <c r="K612" i="1"/>
  <c r="L602" i="1"/>
  <c r="K602" i="1"/>
  <c r="L598" i="1"/>
  <c r="K598" i="1"/>
  <c r="L597" i="1"/>
  <c r="K597" i="1"/>
  <c r="L599" i="1"/>
  <c r="K599" i="1"/>
  <c r="L616" i="1"/>
  <c r="K616" i="1"/>
  <c r="L605" i="1"/>
  <c r="K605" i="1"/>
  <c r="K575" i="1"/>
  <c r="L575" i="1"/>
  <c r="L595" i="1"/>
  <c r="K595" i="1"/>
  <c r="L584" i="1"/>
  <c r="K584" i="1"/>
  <c r="L592" i="1"/>
  <c r="K592" i="1"/>
  <c r="K581" i="1"/>
  <c r="L581" i="1"/>
  <c r="K573" i="1"/>
  <c r="L573" i="1"/>
  <c r="L594" i="1"/>
  <c r="K594" i="1"/>
  <c r="L576" i="1"/>
  <c r="K576" i="1"/>
  <c r="L579" i="1"/>
  <c r="K579" i="1"/>
  <c r="K577" i="1"/>
  <c r="L577" i="1"/>
  <c r="K585" i="1"/>
  <c r="L585" i="1"/>
  <c r="L586" i="1"/>
  <c r="K586" i="1"/>
  <c r="K593" i="1"/>
  <c r="L593" i="1"/>
  <c r="L583" i="1"/>
  <c r="K583" i="1"/>
  <c r="L588" i="1"/>
  <c r="K588" i="1"/>
  <c r="L572" i="1"/>
  <c r="K572" i="1"/>
  <c r="K591" i="1"/>
  <c r="L591" i="1"/>
  <c r="L574" i="1"/>
  <c r="K574" i="1"/>
  <c r="L587" i="1"/>
  <c r="K587" i="1"/>
  <c r="L580" i="1"/>
  <c r="K580" i="1"/>
  <c r="L578" i="1"/>
  <c r="K578" i="1"/>
  <c r="L582" i="1"/>
  <c r="K582" i="1"/>
  <c r="L589" i="1"/>
  <c r="K589" i="1"/>
  <c r="L562" i="1"/>
  <c r="K562" i="1"/>
  <c r="L553" i="1"/>
  <c r="K553" i="1"/>
  <c r="L564" i="1"/>
  <c r="K564" i="1"/>
  <c r="L555" i="1"/>
  <c r="K555" i="1"/>
  <c r="K557" i="1"/>
  <c r="L557" i="1"/>
  <c r="L571" i="1"/>
  <c r="K571" i="1"/>
  <c r="L563" i="1"/>
  <c r="K563" i="1"/>
  <c r="K558" i="1"/>
  <c r="L558" i="1"/>
  <c r="L556" i="1"/>
  <c r="K556" i="1"/>
  <c r="K551" i="1"/>
  <c r="L551" i="1"/>
  <c r="L570" i="1"/>
  <c r="K570" i="1"/>
  <c r="K567" i="1"/>
  <c r="L567" i="1"/>
  <c r="L569" i="1"/>
  <c r="K569" i="1"/>
  <c r="L568" i="1"/>
  <c r="K568" i="1"/>
  <c r="L554" i="1"/>
  <c r="K554" i="1"/>
  <c r="K550" i="1"/>
  <c r="L550" i="1"/>
  <c r="L552" i="1"/>
  <c r="K552" i="1"/>
  <c r="L561" i="1"/>
  <c r="K561" i="1"/>
  <c r="K566" i="1"/>
  <c r="L566" i="1"/>
  <c r="K559" i="1"/>
  <c r="L559" i="1"/>
  <c r="K565" i="1"/>
  <c r="L565" i="1"/>
  <c r="L560" i="1"/>
  <c r="K560" i="1"/>
  <c r="F531" i="1"/>
  <c r="L531" i="1" s="1"/>
  <c r="L540" i="1"/>
  <c r="K540" i="1"/>
  <c r="L542" i="1"/>
  <c r="K542" i="1"/>
  <c r="L539" i="1"/>
  <c r="K539" i="1"/>
  <c r="L532" i="1"/>
  <c r="K532" i="1"/>
  <c r="K544" i="1"/>
  <c r="L544" i="1"/>
  <c r="L536" i="1"/>
  <c r="K536" i="1"/>
  <c r="K537" i="1"/>
  <c r="L537" i="1"/>
  <c r="L547" i="1"/>
  <c r="K547" i="1"/>
  <c r="L549" i="1"/>
  <c r="K549" i="1"/>
  <c r="K526" i="1"/>
  <c r="L526" i="1"/>
  <c r="L527" i="1"/>
  <c r="K527" i="1"/>
  <c r="L530" i="1"/>
  <c r="K530" i="1"/>
  <c r="L546" i="1"/>
  <c r="K546" i="1"/>
  <c r="L543" i="1"/>
  <c r="K543" i="1"/>
  <c r="L541" i="1"/>
  <c r="K541" i="1"/>
  <c r="L525" i="1"/>
  <c r="K525" i="1"/>
  <c r="K534" i="1"/>
  <c r="L534" i="1"/>
  <c r="K529" i="1"/>
  <c r="L529" i="1"/>
  <c r="L538" i="1"/>
  <c r="K538" i="1"/>
  <c r="L533" i="1"/>
  <c r="K533" i="1"/>
  <c r="L524" i="1"/>
  <c r="K524" i="1"/>
  <c r="K545" i="1"/>
  <c r="L545" i="1"/>
  <c r="K528" i="1"/>
  <c r="L528" i="1"/>
  <c r="L548" i="1"/>
  <c r="K548" i="1"/>
  <c r="K522" i="1"/>
  <c r="L522" i="1"/>
  <c r="K502" i="1"/>
  <c r="L502" i="1"/>
  <c r="L521" i="1"/>
  <c r="K521" i="1"/>
  <c r="L515" i="1"/>
  <c r="K515" i="1"/>
  <c r="F510" i="1"/>
  <c r="L520" i="1"/>
  <c r="K520" i="1"/>
  <c r="L511" i="1"/>
  <c r="K511" i="1"/>
  <c r="L523" i="1"/>
  <c r="K523" i="1"/>
  <c r="L517" i="1"/>
  <c r="K517" i="1"/>
  <c r="F509" i="1"/>
  <c r="L501" i="1"/>
  <c r="K501" i="1"/>
  <c r="L503" i="1"/>
  <c r="K503" i="1"/>
  <c r="K514" i="1"/>
  <c r="L514" i="1"/>
  <c r="L519" i="1"/>
  <c r="K519" i="1"/>
  <c r="K513" i="1"/>
  <c r="L513" i="1"/>
  <c r="K516" i="1"/>
  <c r="L516" i="1"/>
  <c r="K518" i="1"/>
  <c r="L518" i="1"/>
  <c r="L504" i="1"/>
  <c r="K504" i="1"/>
  <c r="L505" i="1"/>
  <c r="K505" i="1"/>
  <c r="L477" i="1"/>
  <c r="K477" i="1"/>
  <c r="L489" i="1"/>
  <c r="K489" i="1"/>
  <c r="L496" i="1"/>
  <c r="K496" i="1"/>
  <c r="K491" i="1"/>
  <c r="L491" i="1"/>
  <c r="K480" i="1"/>
  <c r="L480" i="1"/>
  <c r="L481" i="1"/>
  <c r="K481" i="1"/>
  <c r="L492" i="1"/>
  <c r="K492" i="1"/>
  <c r="K483" i="1"/>
  <c r="L483" i="1"/>
  <c r="K478" i="1"/>
  <c r="L478" i="1"/>
  <c r="B9" i="1"/>
  <c r="L482" i="1"/>
  <c r="F14" i="1" s="1"/>
  <c r="K482" i="1"/>
  <c r="L484" i="1"/>
  <c r="K484" i="1"/>
  <c r="L476" i="1"/>
  <c r="K476" i="1"/>
  <c r="L495" i="1"/>
  <c r="K495" i="1"/>
  <c r="L490" i="1"/>
  <c r="K490" i="1"/>
  <c r="L463" i="1"/>
  <c r="K463" i="1"/>
  <c r="K458" i="1"/>
  <c r="L458" i="1"/>
  <c r="L467" i="1"/>
  <c r="K467" i="1"/>
  <c r="L465" i="1"/>
  <c r="K465" i="1"/>
  <c r="L471" i="1"/>
  <c r="K471" i="1"/>
  <c r="L457" i="1"/>
  <c r="K457" i="1"/>
  <c r="K466" i="1"/>
  <c r="L466" i="1"/>
  <c r="L461" i="1"/>
  <c r="K461" i="1"/>
  <c r="L475" i="1"/>
  <c r="K475" i="1"/>
  <c r="K474" i="1"/>
  <c r="L474" i="1"/>
  <c r="L453" i="1"/>
  <c r="K453" i="1"/>
  <c r="K454" i="1"/>
  <c r="L454" i="1"/>
  <c r="L469" i="1"/>
  <c r="K469" i="1"/>
  <c r="L456" i="1"/>
  <c r="K456" i="1"/>
  <c r="L460" i="1"/>
  <c r="K460" i="1"/>
  <c r="L468" i="1"/>
  <c r="K468" i="1"/>
  <c r="L459" i="1"/>
  <c r="K459" i="1"/>
  <c r="L472" i="1"/>
  <c r="K472" i="1"/>
  <c r="L473" i="1"/>
  <c r="K473" i="1"/>
  <c r="L432" i="1"/>
  <c r="K432" i="1"/>
  <c r="L449" i="1"/>
  <c r="K449" i="1"/>
  <c r="K438" i="1"/>
  <c r="L438" i="1"/>
  <c r="K450" i="1"/>
  <c r="L450" i="1"/>
  <c r="L448" i="1"/>
  <c r="K448" i="1"/>
  <c r="L429" i="1"/>
  <c r="K429" i="1"/>
  <c r="L437" i="1"/>
  <c r="K437" i="1"/>
  <c r="L446" i="1"/>
  <c r="K446" i="1"/>
  <c r="L431" i="1"/>
  <c r="K431" i="1"/>
  <c r="L440" i="1"/>
  <c r="K440" i="1"/>
  <c r="L443" i="1"/>
  <c r="K443" i="1"/>
  <c r="K439" i="1"/>
  <c r="L439" i="1"/>
  <c r="L451" i="1"/>
  <c r="K451" i="1"/>
  <c r="L435" i="1"/>
  <c r="K435" i="1"/>
  <c r="L445" i="1"/>
  <c r="K445" i="1"/>
  <c r="K434" i="1"/>
  <c r="L434" i="1"/>
  <c r="L441" i="1"/>
  <c r="K441" i="1"/>
  <c r="L433" i="1"/>
  <c r="K433" i="1"/>
  <c r="K406" i="1"/>
  <c r="L406" i="1"/>
  <c r="L423" i="1"/>
  <c r="K423" i="1"/>
  <c r="L420" i="1"/>
  <c r="K420" i="1"/>
  <c r="L419" i="1"/>
  <c r="K419" i="1"/>
  <c r="L427" i="1"/>
  <c r="K427" i="1"/>
  <c r="L415" i="1"/>
  <c r="K415" i="1"/>
  <c r="L408" i="1"/>
  <c r="K408" i="1"/>
  <c r="L425" i="1"/>
  <c r="K425" i="1"/>
  <c r="L409" i="1"/>
  <c r="K409" i="1"/>
  <c r="L405" i="1"/>
  <c r="K405" i="1"/>
  <c r="L421" i="1"/>
  <c r="K421" i="1"/>
  <c r="L413" i="1"/>
  <c r="K413" i="1"/>
  <c r="L411" i="1"/>
  <c r="K411" i="1"/>
  <c r="L404" i="1"/>
  <c r="K404" i="1"/>
  <c r="K417" i="1"/>
  <c r="L417" i="1"/>
  <c r="K395" i="1"/>
  <c r="L395" i="1"/>
  <c r="L401" i="1"/>
  <c r="K401" i="1"/>
  <c r="L393" i="1"/>
  <c r="K393" i="1"/>
  <c r="L381" i="1"/>
  <c r="K381" i="1"/>
  <c r="L399" i="1"/>
  <c r="K399" i="1"/>
  <c r="L383" i="1"/>
  <c r="L397" i="1"/>
  <c r="K397" i="1"/>
  <c r="K402" i="1"/>
  <c r="L402" i="1"/>
  <c r="K386" i="1"/>
  <c r="L386" i="1"/>
  <c r="L385" i="1"/>
  <c r="K385" i="1"/>
  <c r="L380" i="1"/>
  <c r="K380" i="1"/>
  <c r="K387" i="1"/>
  <c r="L387" i="1"/>
  <c r="K403" i="1"/>
  <c r="L403" i="1"/>
  <c r="L398" i="1"/>
  <c r="K398" i="1"/>
  <c r="L391" i="1"/>
  <c r="K391" i="1"/>
  <c r="K394" i="1"/>
  <c r="L394" i="1"/>
  <c r="L390" i="1"/>
  <c r="K390" i="1"/>
  <c r="L389" i="1"/>
  <c r="K389" i="1"/>
  <c r="L384" i="1"/>
  <c r="K384" i="1"/>
  <c r="L400" i="1"/>
  <c r="K400" i="1"/>
  <c r="L388" i="1"/>
  <c r="K388" i="1"/>
  <c r="L392" i="1"/>
  <c r="K392" i="1"/>
  <c r="L382" i="1"/>
  <c r="K382" i="1"/>
  <c r="F771" i="1"/>
  <c r="CD7" i="21"/>
  <c r="H771" i="1" s="1"/>
  <c r="M14" i="4"/>
  <c r="F719" i="1"/>
  <c r="BT10" i="19"/>
  <c r="H719" i="1" s="1"/>
  <c r="M17" i="4"/>
  <c r="F722" i="1"/>
  <c r="BT13" i="19"/>
  <c r="H722" i="1" s="1"/>
  <c r="F733" i="1"/>
  <c r="BT24" i="19"/>
  <c r="H733" i="1" s="1"/>
  <c r="F752" i="1"/>
  <c r="BT43" i="19"/>
  <c r="H752" i="1" s="1"/>
  <c r="F672" i="1"/>
  <c r="BV11" i="18"/>
  <c r="H672" i="1" s="1"/>
  <c r="F742" i="1"/>
  <c r="BT33" i="19"/>
  <c r="H742" i="1" s="1"/>
  <c r="F764" i="1"/>
  <c r="BS7" i="20"/>
  <c r="H764" i="1" s="1"/>
  <c r="F617" i="1"/>
  <c r="BW52" i="16"/>
  <c r="H617" i="1" s="1"/>
  <c r="F744" i="1"/>
  <c r="BT35" i="19"/>
  <c r="H744" i="1" s="1"/>
  <c r="M21" i="4"/>
  <c r="F609" i="1"/>
  <c r="BW44" i="16"/>
  <c r="H609" i="1" s="1"/>
  <c r="F740" i="1"/>
  <c r="BT31" i="19"/>
  <c r="H740" i="1" s="1"/>
  <c r="F737" i="1"/>
  <c r="BT28" i="19"/>
  <c r="H737" i="1" s="1"/>
  <c r="M18" i="4"/>
  <c r="M23" i="4"/>
  <c r="F688" i="1"/>
  <c r="BV27" i="18"/>
  <c r="H688" i="1" s="1"/>
  <c r="F745" i="1"/>
  <c r="BT36" i="19"/>
  <c r="H745" i="1" s="1"/>
  <c r="F622" i="1"/>
  <c r="BV9" i="17"/>
  <c r="H622" i="1" s="1"/>
  <c r="F611" i="1"/>
  <c r="BW46" i="16"/>
  <c r="H611" i="1" s="1"/>
  <c r="F751" i="1"/>
  <c r="BT42" i="19"/>
  <c r="H751" i="1" s="1"/>
  <c r="F773" i="1"/>
  <c r="CD9" i="21"/>
  <c r="H773" i="1" s="1"/>
  <c r="F739" i="1"/>
  <c r="BT30" i="19"/>
  <c r="H739" i="1" s="1"/>
  <c r="M22" i="4"/>
  <c r="F738" i="1"/>
  <c r="BT29" i="19"/>
  <c r="H738" i="1" s="1"/>
  <c r="F762" i="1"/>
  <c r="BT53" i="19"/>
  <c r="H762" i="1" s="1"/>
  <c r="F759" i="1"/>
  <c r="BT50" i="19"/>
  <c r="H759" i="1" s="1"/>
  <c r="M24" i="4"/>
  <c r="F735" i="1"/>
  <c r="BT26" i="19"/>
  <c r="H735" i="1" s="1"/>
  <c r="F732" i="1"/>
  <c r="BT23" i="19"/>
  <c r="H732" i="1" s="1"/>
  <c r="F766" i="1"/>
  <c r="BS9" i="20"/>
  <c r="H766" i="1" s="1"/>
  <c r="F702" i="1"/>
  <c r="BV41" i="18"/>
  <c r="H702" i="1" s="1"/>
  <c r="F676" i="1"/>
  <c r="BV15" i="18"/>
  <c r="H676" i="1" s="1"/>
  <c r="F718" i="1"/>
  <c r="BT9" i="19"/>
  <c r="H718" i="1" s="1"/>
  <c r="F724" i="1"/>
  <c r="BT15" i="19"/>
  <c r="H724" i="1" s="1"/>
  <c r="F726" i="1"/>
  <c r="BT17" i="19"/>
  <c r="H726" i="1" s="1"/>
  <c r="F723" i="1"/>
  <c r="BT14" i="19"/>
  <c r="H723" i="1" s="1"/>
  <c r="F748" i="1"/>
  <c r="BT39" i="19"/>
  <c r="H748" i="1" s="1"/>
  <c r="F765" i="1"/>
  <c r="BS8" i="20"/>
  <c r="H765" i="1" s="1"/>
  <c r="F690" i="1"/>
  <c r="BV29" i="18"/>
  <c r="H690" i="1" s="1"/>
  <c r="F708" i="1"/>
  <c r="BV47" i="18"/>
  <c r="H708" i="1" s="1"/>
  <c r="C8" i="23"/>
  <c r="F757" i="1"/>
  <c r="BT48" i="19"/>
  <c r="H757" i="1" s="1"/>
  <c r="F535" i="1"/>
  <c r="BX18" i="15"/>
  <c r="H535" i="1" s="1"/>
  <c r="F760" i="1"/>
  <c r="BT51" i="19"/>
  <c r="H760" i="1" s="1"/>
  <c r="F615" i="1"/>
  <c r="BW50" i="16"/>
  <c r="H615" i="1" s="1"/>
  <c r="F741" i="1"/>
  <c r="BT32" i="19"/>
  <c r="H741" i="1" s="1"/>
  <c r="F763" i="1"/>
  <c r="BT54" i="19"/>
  <c r="H763" i="1" s="1"/>
  <c r="F731" i="1"/>
  <c r="BT22" i="19"/>
  <c r="H731" i="1" s="1"/>
  <c r="F728" i="1"/>
  <c r="BT19" i="19"/>
  <c r="H728" i="1" s="1"/>
  <c r="F686" i="1"/>
  <c r="BV25" i="18"/>
  <c r="H686" i="1" s="1"/>
  <c r="F768" i="1"/>
  <c r="BS11" i="20"/>
  <c r="H768" i="1" s="1"/>
  <c r="F761" i="1"/>
  <c r="BT52" i="19"/>
  <c r="H761" i="1" s="1"/>
  <c r="F747" i="1"/>
  <c r="BT38" i="19"/>
  <c r="H747" i="1" s="1"/>
  <c r="F746" i="1"/>
  <c r="BT37" i="19"/>
  <c r="H746" i="1" s="1"/>
  <c r="F755" i="1"/>
  <c r="BT46" i="19"/>
  <c r="H755" i="1" s="1"/>
  <c r="F754" i="1"/>
  <c r="BT45" i="19"/>
  <c r="H754" i="1" s="1"/>
  <c r="F753" i="1"/>
  <c r="BT44" i="19"/>
  <c r="H753" i="1" s="1"/>
  <c r="M10" i="4"/>
  <c r="F770" i="1"/>
  <c r="BS13" i="20"/>
  <c r="H770" i="1" s="1"/>
  <c r="F734" i="1"/>
  <c r="BT25" i="19"/>
  <c r="H734" i="1" s="1"/>
  <c r="F730" i="1"/>
  <c r="BT21" i="19"/>
  <c r="H730" i="1" s="1"/>
  <c r="F769" i="1"/>
  <c r="BS12" i="20"/>
  <c r="H769" i="1" s="1"/>
  <c r="F680" i="1"/>
  <c r="BV19" i="18"/>
  <c r="H680" i="1" s="1"/>
  <c r="F720" i="1"/>
  <c r="BT11" i="19"/>
  <c r="H720" i="1" s="1"/>
  <c r="M15" i="4"/>
  <c r="F695" i="1"/>
  <c r="BV34" i="18"/>
  <c r="H695" i="1" s="1"/>
  <c r="F716" i="1"/>
  <c r="BT7" i="19"/>
  <c r="H716" i="1" s="1"/>
  <c r="F717" i="1"/>
  <c r="BT8" i="19"/>
  <c r="H717" i="1" s="1"/>
  <c r="F756" i="1"/>
  <c r="BT47" i="19"/>
  <c r="H756" i="1" s="1"/>
  <c r="M25" i="4"/>
  <c r="F729" i="1"/>
  <c r="BT20" i="19"/>
  <c r="H729" i="1" s="1"/>
  <c r="F736" i="1"/>
  <c r="BT27" i="19"/>
  <c r="H736" i="1" s="1"/>
  <c r="F758" i="1"/>
  <c r="BT49" i="19"/>
  <c r="H758" i="1" s="1"/>
  <c r="F721" i="1"/>
  <c r="BT12" i="19"/>
  <c r="H721" i="1" s="1"/>
  <c r="M16" i="4"/>
  <c r="BJ18" i="6"/>
  <c r="F499" i="1"/>
  <c r="F507" i="1"/>
  <c r="R40" i="6"/>
  <c r="N40" i="6" s="1"/>
  <c r="S40" i="6" s="1"/>
  <c r="BJ20" i="6"/>
  <c r="BJ21" i="6"/>
  <c r="F508" i="1"/>
  <c r="R52" i="7"/>
  <c r="N52" i="7" s="1"/>
  <c r="S52" i="7" s="1"/>
  <c r="F414" i="1"/>
  <c r="F422" i="1"/>
  <c r="BC17" i="14"/>
  <c r="H486" i="1" s="1"/>
  <c r="F486" i="1"/>
  <c r="BC25" i="14"/>
  <c r="H494" i="1" s="1"/>
  <c r="F494" i="1"/>
  <c r="AN51" i="12"/>
  <c r="H424" i="1" s="1"/>
  <c r="F424" i="1"/>
  <c r="R53" i="7"/>
  <c r="N53" i="7" s="1"/>
  <c r="S53" i="7" s="1"/>
  <c r="BJ27" i="7"/>
  <c r="BC28" i="14"/>
  <c r="H497" i="1" s="1"/>
  <c r="F497" i="1"/>
  <c r="AN37" i="12"/>
  <c r="H410" i="1" s="1"/>
  <c r="F410" i="1"/>
  <c r="R49" i="7"/>
  <c r="N49" i="7" s="1"/>
  <c r="S49" i="7" s="1"/>
  <c r="BJ23" i="7"/>
  <c r="R51" i="7"/>
  <c r="N51" i="7" s="1"/>
  <c r="S51" i="7" s="1"/>
  <c r="BJ25" i="7"/>
  <c r="AN53" i="12"/>
  <c r="H426" i="1" s="1"/>
  <c r="F426" i="1"/>
  <c r="AN43" i="12"/>
  <c r="H416" i="1" s="1"/>
  <c r="F416" i="1"/>
  <c r="R42" i="7"/>
  <c r="N42" i="7" s="1"/>
  <c r="S42" i="7" s="1"/>
  <c r="BJ16" i="7"/>
  <c r="AN45" i="12"/>
  <c r="H418" i="1" s="1"/>
  <c r="F418" i="1"/>
  <c r="L621" i="1" l="1"/>
  <c r="K488" i="1"/>
  <c r="K749" i="1"/>
  <c r="K500" i="1"/>
  <c r="K396" i="1"/>
  <c r="BJ26" i="6"/>
  <c r="BJ10" i="6"/>
  <c r="K412" i="1"/>
  <c r="BJ17" i="6"/>
  <c r="K531" i="1"/>
  <c r="BJ23" i="6"/>
  <c r="R39" i="6"/>
  <c r="N39" i="6" s="1"/>
  <c r="S39" i="6" s="1"/>
  <c r="K590" i="1"/>
  <c r="BJ27" i="6"/>
  <c r="L506" i="1"/>
  <c r="BJ22" i="6"/>
  <c r="R41" i="6"/>
  <c r="N41" i="6" s="1"/>
  <c r="S41" i="6" s="1"/>
  <c r="R38" i="6"/>
  <c r="N38" i="6" s="1"/>
  <c r="S38" i="6" s="1"/>
  <c r="BJ19" i="6"/>
  <c r="R52" i="6"/>
  <c r="N52" i="6" s="1"/>
  <c r="S52" i="6" s="1"/>
  <c r="BJ15" i="6"/>
  <c r="R51" i="6"/>
  <c r="N51" i="6" s="1"/>
  <c r="S51" i="6" s="1"/>
  <c r="K765" i="1"/>
  <c r="L765" i="1"/>
  <c r="K766" i="1"/>
  <c r="L766" i="1"/>
  <c r="K773" i="1"/>
  <c r="L773" i="1"/>
  <c r="K769" i="1"/>
  <c r="L769" i="1"/>
  <c r="R36" i="6"/>
  <c r="N36" i="6" s="1"/>
  <c r="S36" i="6" s="1"/>
  <c r="L768" i="1"/>
  <c r="K768" i="1"/>
  <c r="K770" i="1"/>
  <c r="L770" i="1"/>
  <c r="K764" i="1"/>
  <c r="L764" i="1"/>
  <c r="K771" i="1"/>
  <c r="L771" i="1"/>
  <c r="R43" i="6"/>
  <c r="N43" i="6" s="1"/>
  <c r="S43" i="6" s="1"/>
  <c r="L758" i="1"/>
  <c r="K758" i="1"/>
  <c r="L755" i="1"/>
  <c r="K755" i="1"/>
  <c r="L752" i="1"/>
  <c r="K752" i="1"/>
  <c r="L751" i="1"/>
  <c r="K751" i="1"/>
  <c r="L747" i="1"/>
  <c r="K747" i="1"/>
  <c r="L742" i="1"/>
  <c r="K742" i="1"/>
  <c r="K748" i="1"/>
  <c r="L748" i="1"/>
  <c r="K753" i="1"/>
  <c r="L753" i="1"/>
  <c r="L756" i="1"/>
  <c r="K756" i="1"/>
  <c r="L754" i="1"/>
  <c r="K754" i="1"/>
  <c r="K761" i="1"/>
  <c r="L761" i="1"/>
  <c r="L760" i="1"/>
  <c r="K760" i="1"/>
  <c r="L744" i="1"/>
  <c r="K744" i="1"/>
  <c r="L763" i="1"/>
  <c r="K763" i="1"/>
  <c r="L759" i="1"/>
  <c r="K759" i="1"/>
  <c r="K745" i="1"/>
  <c r="L745" i="1"/>
  <c r="L740" i="1"/>
  <c r="K740" i="1"/>
  <c r="L746" i="1"/>
  <c r="K746" i="1"/>
  <c r="K741" i="1"/>
  <c r="L741" i="1"/>
  <c r="L757" i="1"/>
  <c r="K757" i="1"/>
  <c r="L762" i="1"/>
  <c r="K762" i="1"/>
  <c r="K734" i="1"/>
  <c r="L734" i="1"/>
  <c r="K726" i="1"/>
  <c r="L726" i="1"/>
  <c r="L737" i="1"/>
  <c r="K737" i="1"/>
  <c r="L731" i="1"/>
  <c r="K731" i="1"/>
  <c r="L719" i="1"/>
  <c r="K719" i="1"/>
  <c r="L724" i="1"/>
  <c r="K724" i="1"/>
  <c r="L716" i="1"/>
  <c r="K716" i="1"/>
  <c r="L733" i="1"/>
  <c r="K733" i="1"/>
  <c r="K718" i="1"/>
  <c r="L718" i="1"/>
  <c r="L732" i="1"/>
  <c r="K732" i="1"/>
  <c r="K720" i="1"/>
  <c r="L720" i="1"/>
  <c r="K736" i="1"/>
  <c r="L736" i="1"/>
  <c r="L729" i="1"/>
  <c r="K729" i="1"/>
  <c r="K728" i="1"/>
  <c r="L728" i="1"/>
  <c r="L738" i="1"/>
  <c r="K738" i="1"/>
  <c r="L722" i="1"/>
  <c r="K722" i="1"/>
  <c r="L739" i="1"/>
  <c r="K739" i="1"/>
  <c r="L717" i="1"/>
  <c r="K717" i="1"/>
  <c r="L721" i="1"/>
  <c r="K721" i="1"/>
  <c r="L730" i="1"/>
  <c r="K730" i="1"/>
  <c r="L723" i="1"/>
  <c r="K723" i="1"/>
  <c r="L735" i="1"/>
  <c r="K735" i="1"/>
  <c r="L708" i="1"/>
  <c r="K708" i="1"/>
  <c r="K698" i="1"/>
  <c r="L698" i="1"/>
  <c r="L695" i="1"/>
  <c r="K695" i="1"/>
  <c r="K702" i="1"/>
  <c r="L702" i="1"/>
  <c r="K680" i="1"/>
  <c r="L680" i="1"/>
  <c r="L686" i="1"/>
  <c r="K686" i="1"/>
  <c r="K688" i="1"/>
  <c r="L688" i="1"/>
  <c r="L676" i="1"/>
  <c r="K676" i="1"/>
  <c r="K672" i="1"/>
  <c r="L672" i="1"/>
  <c r="L690" i="1"/>
  <c r="K690" i="1"/>
  <c r="L622" i="1"/>
  <c r="K622" i="1"/>
  <c r="K617" i="1"/>
  <c r="L617" i="1"/>
  <c r="K609" i="1"/>
  <c r="L609" i="1"/>
  <c r="L615" i="1"/>
  <c r="K615" i="1"/>
  <c r="L611" i="1"/>
  <c r="K611" i="1"/>
  <c r="K535" i="1"/>
  <c r="L535" i="1"/>
  <c r="L509" i="1"/>
  <c r="K509" i="1"/>
  <c r="K508" i="1"/>
  <c r="L508" i="1"/>
  <c r="L507" i="1"/>
  <c r="K507" i="1"/>
  <c r="K510" i="1"/>
  <c r="L510" i="1"/>
  <c r="K486" i="1"/>
  <c r="L486" i="1"/>
  <c r="L497" i="1"/>
  <c r="K497" i="1"/>
  <c r="K494" i="1"/>
  <c r="L494" i="1"/>
  <c r="K499" i="1"/>
  <c r="L499" i="1"/>
  <c r="K418" i="1"/>
  <c r="L418" i="1"/>
  <c r="L422" i="1"/>
  <c r="K422" i="1"/>
  <c r="K410" i="1"/>
  <c r="L410" i="1"/>
  <c r="L414" i="1"/>
  <c r="K414" i="1"/>
  <c r="K426" i="1"/>
  <c r="L426" i="1"/>
  <c r="K416" i="1"/>
  <c r="L416" i="1"/>
  <c r="L424" i="1"/>
  <c r="K4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Matheus</author>
  </authors>
  <commentList>
    <comment ref="AC142" authorId="0" shapeId="0" xr:uid="{D71B4817-F9ED-4559-BF10-EED877CE2160}">
      <text/>
    </comment>
    <comment ref="AC143" authorId="0" shapeId="0" xr:uid="{5E61E674-7225-45E8-9BCA-7255347EADB4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44" authorId="0" shapeId="0" xr:uid="{9BD036D1-185F-4869-985B-317AAD248D6D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45" authorId="0" shapeId="0" xr:uid="{86364695-9BB8-4702-85BC-EC8081B3CCD7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46" authorId="0" shapeId="0" xr:uid="{0C86519B-3C12-432C-8EB8-CDAA470FB860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47" authorId="0" shapeId="0" xr:uid="{CFE6C556-18A4-4CC4-8089-BC854339D72A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48" authorId="0" shapeId="0" xr:uid="{6B7E5326-86C1-49A8-902A-5C3500EA21AB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49" authorId="0" shapeId="0" xr:uid="{5527B3F0-1D6E-405C-B967-7C1F50EF8D0B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50" authorId="0" shapeId="0" xr:uid="{A40268FE-0B63-4A57-9C94-DF1E01947059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51" authorId="0" shapeId="0" xr:uid="{E1EA5546-FCDE-478C-A4A5-DEA3764262B8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52" authorId="0" shapeId="0" xr:uid="{3D01F391-32C0-46B3-BD73-EEBED6BF887E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53" authorId="0" shapeId="0" xr:uid="{E0610DCC-58CD-4AE8-9E3C-603C25D090FE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54" authorId="0" shapeId="0" xr:uid="{14E83AC6-D687-4214-9736-C72B77BDE890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55" authorId="0" shapeId="0" xr:uid="{C7CDF2B3-335D-4BAD-8E27-A7811238C6FA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56" authorId="0" shapeId="0" xr:uid="{E607369B-162F-446E-94A8-87F48FB08462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57" authorId="0" shapeId="0" xr:uid="{EDF6873A-97E8-40A4-92C1-9884349E4609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58" authorId="0" shapeId="0" xr:uid="{EF85C0BF-AE1D-4C1F-94E1-099FF37BF5A0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59" authorId="0" shapeId="0" xr:uid="{47001CA9-8D93-4348-9668-B492BA50A9F8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  <comment ref="AC160" authorId="0" shapeId="0" xr:uid="{D6600704-C644-423F-B3CA-2FC78DFF2BBA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Custo MP do bumper = Flange Bumper (LBD col. Y, 2x) + Bumper elastômero 8086 (LBD col. AC, 2x)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Matheus</author>
  </authors>
  <commentList>
    <comment ref="U4" authorId="0" shapeId="0" xr:uid="{E10877A4-DB8C-46F4-AA6E-BE0F89915D29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Kit fixação (dez/24): 3x arruela lisa 3/4" R$ 9,10 + porca lisa R$ 2,65 + porca parlock R$ 5,20 = R$ 35,15. Valor fixado manualmente após a exclusão das linhas 33:37 em PARÂMETROS.</t>
        </r>
      </text>
    </comment>
  </commentList>
</comments>
</file>

<file path=xl/sharedStrings.xml><?xml version="1.0" encoding="utf-8"?>
<sst xmlns="http://schemas.openxmlformats.org/spreadsheetml/2006/main" count="15485" uniqueCount="1872">
  <si>
    <t>🔎 BUSCA DE CUSTO POR PRODUTO</t>
  </si>
  <si>
    <t>Selecione o produto (Família + Descrição + DN) no menu suspenso abaixo. O custo é buscado automaticamente na aba de origem — sempre atualizado.</t>
  </si>
  <si>
    <t>PRODUTO:</t>
  </si>
  <si>
    <t>PIG HL | PIG HL — MÉDIA (140-160 KG/M³) | DN 6''</t>
  </si>
  <si>
    <t>CUSTO TOTAL (R$):</t>
  </si>
  <si>
    <t>OBSERVAÇÃO:</t>
  </si>
  <si>
    <t>ÍNDICE COMPLETO DE CUSTOS (todas as abas) — pode filtrar/pesquisar livremente nesta tabela</t>
  </si>
  <si>
    <t>CHAVE DE BUSCA (Família + Descrição + DN)</t>
  </si>
  <si>
    <t>FAMÍLIA</t>
  </si>
  <si>
    <t>DESCRIÇÃO/VARIANTE</t>
  </si>
  <si>
    <t>DN</t>
  </si>
  <si>
    <t>CUSTO TOTAL (R$)</t>
  </si>
  <si>
    <t>OBSERVAÇÃO</t>
  </si>
  <si>
    <t>LBD-DG2-DS4</t>
  </si>
  <si>
    <t>2</t>
  </si>
  <si>
    <t>3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</si>
  <si>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</si>
  <si>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</si>
  <si>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</si>
  <si>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</si>
  <si>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</si>
  <si>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</si>
  <si>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</si>
  <si>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</si>
  <si>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</si>
  <si>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</si>
  <si>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</si>
  <si>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</si>
  <si>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</si>
  <si>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</si>
  <si>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</si>
  <si>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</si>
  <si>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</si>
  <si>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38</t>
  </si>
  <si>
    <t>40</t>
  </si>
  <si>
    <t>42</t>
  </si>
  <si>
    <t>PIG LUN-CP3 EPDM | Corpo completo (Eixo+Cabeçote+Nylon+Porca+Flange+Copo) | DN 6''</t>
  </si>
  <si>
    <t>PIG LUN-CP3 EPDM</t>
  </si>
  <si>
    <t>Corpo completo (Eixo+Cabeçote+Nylon+Porca+Flange+Copo)</t>
  </si>
  <si>
    <t>6''</t>
  </si>
  <si>
    <t>PIG LUN-CP3 EPDM | Corpo completo (Eixo+Cabeçote+Nylon+Porca+Flange+Copo) | DN 8''</t>
  </si>
  <si>
    <t>8''</t>
  </si>
  <si>
    <t>PIG LUN-CP3 EPDM | Corpo completo (Eixo+Cabeçote+Nylon+Porca+Flange+Copo) | DN 10''</t>
  </si>
  <si>
    <t>10''</t>
  </si>
  <si>
    <t>PIG LUN-CP3 EPDM | Corpo completo (Eixo+Cabeçote+Nylon+Porca+Flange+Copo) | DN 12''</t>
  </si>
  <si>
    <t>12''</t>
  </si>
  <si>
    <t>PIG LUN-CP3 EPDM | Corpo completo (Eixo+Cabeçote+Nylon+Porca+Flange+Copo) | DN 14''</t>
  </si>
  <si>
    <t>14''</t>
  </si>
  <si>
    <t>PIG LUN-CP3 BUNA N | Corpo completo (Eixo+Cabeçote+Nylon+Porca+Flange+Copo) | DN 6''</t>
  </si>
  <si>
    <t>PIG LUN-CP3 BUNA N</t>
  </si>
  <si>
    <t>PIG LUN-CP3 BUNA N | Corpo completo (Eixo+Cabeçote+Nylon+Porca+Flange+Copo) | DN 8''</t>
  </si>
  <si>
    <t>PIG LUN-CP3 BUNA N | Corpo completo (Eixo+Cabeçote+Nylon+Porca+Flange+Copo) | DN 10''</t>
  </si>
  <si>
    <t>PIG LUN-CP3 BUNA N | Corpo completo (Eixo+Cabeçote+Nylon+Porca+Flange+Copo) | DN 12''</t>
  </si>
  <si>
    <t>PIG LUN-CP3 BUNA N | Corpo completo (Eixo+Cabeçote+Nylon+Porca+Flange+Copo) | DN 14''</t>
  </si>
  <si>
    <t>PIG LUN-CP4 BUNA N | Corpo completo (Eixo+Cabeçote+Nylon+Porca+Flange+Copo) | DN 6''</t>
  </si>
  <si>
    <t>PIG LUN-CP4 BUNA N</t>
  </si>
  <si>
    <t>PIG LUN-CP4 BUNA N | Corpo completo (Eixo+Cabeçote+Nylon+Porca+Flange+Copo) | DN 8''</t>
  </si>
  <si>
    <t>PIG LUN-CP4 BUNA N | Corpo completo (Eixo+Cabeçote+Nylon+Porca+Flange+Copo) | DN 10''</t>
  </si>
  <si>
    <t>PIG LUN-CP4 BUNA N | Corpo completo (Eixo+Cabeçote+Nylon+Porca+Flange+Copo) | DN 12''</t>
  </si>
  <si>
    <t>PIG LUN-CP4 BUNA N | Corpo completo (Eixo+Cabeçote+Nylon+Porca+Flange+Copo) | DN 14''</t>
  </si>
  <si>
    <t>PIG LUN-CP3 VITON | Corpo completo (Eixo+Cabeçote+Nylon+Porca+Flange+Copo) | DN 6''</t>
  </si>
  <si>
    <t>PIG LUN-CP3 VITON</t>
  </si>
  <si>
    <t>PIG LUN-CP3 VITON | Corpo completo (Eixo+Cabeçote+Nylon+Porca+Flange+Copo) | DN 8''</t>
  </si>
  <si>
    <t>PIG LUN-CP3 VITON | Corpo completo (Eixo+Cabeçote+Nylon+Porca+Flange+Copo) | DN 10''</t>
  </si>
  <si>
    <t>PIG LUN-CP3 VITON | Corpo completo (Eixo+Cabeçote+Nylon+Porca+Flange+Copo) | DN 12''</t>
  </si>
  <si>
    <t>PIG LUN-CP3 VITON | Corpo completo (Eixo+Cabeçote+Nylon+Porca+Flange+Copo) | DN 14''</t>
  </si>
  <si>
    <t>LUN</t>
  </si>
  <si>
    <t>ELC (AÇO) | Produção (matéria-prima + HH) | DN 2</t>
  </si>
  <si>
    <t>ELC (AÇO)</t>
  </si>
  <si>
    <t>Produção (matéria-prima + HH)</t>
  </si>
  <si>
    <t>ELC (AÇO) | Produção (matéria-prima + HH) | DN 3</t>
  </si>
  <si>
    <t>ELC (AÇO) | Produção (matéria-prima + HH) | DN 4</t>
  </si>
  <si>
    <t>ELC (AÇO) | Produção (matéria-prima + HH) | DN 6</t>
  </si>
  <si>
    <t>ELC (AÇO) | Produção (matéria-prima + HH) | DN 8</t>
  </si>
  <si>
    <t>ELC (AÇO) | Produção (matéria-prima + HH) | DN 10</t>
  </si>
  <si>
    <t>ELC (AÇO) | Produção (matéria-prima + HH) | DN 12</t>
  </si>
  <si>
    <t>ELC (AÇO) | Produção (matéria-prima + HH) | DN 14</t>
  </si>
  <si>
    <t>ELC (AÇO) | Produção (matéria-prima + HH) | DN 16</t>
  </si>
  <si>
    <t>ELC (AÇO) | Produção (matéria-prima + HH) | DN 18</t>
  </si>
  <si>
    <t>ELC (AÇO) | Produção (matéria-prima + HH) | DN 20</t>
  </si>
  <si>
    <t>ELC (AÇO) | Produção (matéria-prima + HH) | DN 22</t>
  </si>
  <si>
    <t>ELC (AÇO) | Produção (matéria-prima + HH) | DN 24</t>
  </si>
  <si>
    <t>ELC (AÇO) | Produção (matéria-prima + HH) | DN 26</t>
  </si>
  <si>
    <t>ELC (AÇO) | Produção (matéria-prima + HH) | DN 28</t>
  </si>
  <si>
    <t>ELC (AÇO) | Produção (matéria-prima + HH) | DN 30</t>
  </si>
  <si>
    <t>ELC (AÇO) | Produção (matéria-prima + HH) | DN 32</t>
  </si>
  <si>
    <t>ELC (AÇO) | Produção (matéria-prima + HH) | DN 34</t>
  </si>
  <si>
    <t>ELC (AÇO) | Produção (matéria-prima + HH) | DN 36</t>
  </si>
  <si>
    <t>ELC (AÇO) | Produção (matéria-prima + HH) | DN 38</t>
  </si>
  <si>
    <t>ELC (AÇO) | Produção (matéria-prima + HH) | DN 40</t>
  </si>
  <si>
    <t>ELC (AÇO) | Produção (matéria-prima + HH) | DN 42</t>
  </si>
  <si>
    <t>ELP (PP) | Produção (matéria-prima + HH) | DN 2</t>
  </si>
  <si>
    <t>ELP (PP)</t>
  </si>
  <si>
    <t>ELP (PP) | Produção (matéria-prima + HH) | DN 3</t>
  </si>
  <si>
    <t>ELP (PP) | Produção (matéria-prima + HH) | DN 4</t>
  </si>
  <si>
    <t>ELP (PP) | Produção (matéria-prima + HH) | DN 6</t>
  </si>
  <si>
    <t>ELP (PP) | Produção (matéria-prima + HH) | DN 8</t>
  </si>
  <si>
    <t>ELP (PP) | Produção (matéria-prima + HH) | DN 10</t>
  </si>
  <si>
    <t>ELP (PP) | Produção (matéria-prima + HH) | DN 12</t>
  </si>
  <si>
    <t>ELP (PP) | Produção (matéria-prima + HH) | DN 14</t>
  </si>
  <si>
    <t>ELP (PP) | Produção (matéria-prima + HH) | DN 16</t>
  </si>
  <si>
    <t>ELP (PP) | Produção (matéria-prima + HH) | DN 18</t>
  </si>
  <si>
    <t>ELP (PP) | Produção (matéria-prima + HH) | DN 20</t>
  </si>
  <si>
    <t>ELP (PP) | Produção (matéria-prima + HH) | DN 22</t>
  </si>
  <si>
    <t>ELP (PP) | Produção (matéria-prima + HH) | DN 24</t>
  </si>
  <si>
    <t>ELP (PP) | Produção (matéria-prima + HH) | DN 26</t>
  </si>
  <si>
    <t>ELP (PP) | Produção (matéria-prima + HH) | DN 28</t>
  </si>
  <si>
    <t>ELP (PP) | Produção (matéria-prima + HH) | DN 30</t>
  </si>
  <si>
    <t>ELP (PP) | Produção (matéria-prima + HH) | DN 32</t>
  </si>
  <si>
    <t>ELP (PP) | Produção (matéria-prima + HH) | DN 34</t>
  </si>
  <si>
    <t>ELP (PP) | Produção (matéria-prima + HH) | DN 36</t>
  </si>
  <si>
    <t>ELP (PP) | Produção (matéria-prima + HH) | DN 38</t>
  </si>
  <si>
    <t>ELP (PP) | Produção (matéria-prima + HH) | DN 40</t>
  </si>
  <si>
    <t>ELP (PP) | Produção (matéria-prima + HH) | DN 42</t>
  </si>
  <si>
    <t>CINTA MAGNÉTICA | Produção (matéria-prima + HH) | DN 2</t>
  </si>
  <si>
    <t>CINTA MAGNÉTICA</t>
  </si>
  <si>
    <t>CINTA MAGNÉTICA | Produção (matéria-prima + HH) | DN 3</t>
  </si>
  <si>
    <t>CINTA MAGNÉTICA | Produção (matéria-prima + HH) | DN 4</t>
  </si>
  <si>
    <t>CINTA MAGNÉTICA | Produção (matéria-prima + HH) | DN 6</t>
  </si>
  <si>
    <t>CINTA MAGNÉTICA | Produção (matéria-prima + HH) | DN 8</t>
  </si>
  <si>
    <t>CINTA MAGNÉTICA | Produção (matéria-prima + HH) | DN 10</t>
  </si>
  <si>
    <t>CINTA MAGNÉTICA | Produção (matéria-prima + HH) | DN 12</t>
  </si>
  <si>
    <t>CINTA MAGNÉTICA | Produção (matéria-prima + HH) | DN 14</t>
  </si>
  <si>
    <t>CINTA MAGNÉTICA | Produção (matéria-prima + HH) | DN 16</t>
  </si>
  <si>
    <t>CINTA MAGNÉTICA | Produção (matéria-prima + HH) | DN 18</t>
  </si>
  <si>
    <t>CINTA MAGNÉTICA | Produção (matéria-prima + HH) | DN 20</t>
  </si>
  <si>
    <t>CINTA MAGNÉTICA | Produção (matéria-prima + HH) | DN 22</t>
  </si>
  <si>
    <t>CINTA MAGNÉTICA | Produção (matéria-prima + HH) | DN 24</t>
  </si>
  <si>
    <t>CINTA MAGNÉTICA | Produção (matéria-prima + HH) | DN 26</t>
  </si>
  <si>
    <t>CINTA MAGNÉTICA | Produção (matéria-prima + HH) | DN 28</t>
  </si>
  <si>
    <t>CINTA MAGNÉTICA | Produção (matéria-prima + HH) | DN 30</t>
  </si>
  <si>
    <t>CINTA MAGNÉTICA | Produção (matéria-prima + HH) | DN 32</t>
  </si>
  <si>
    <t>CINTA MAGNÉTICA | Produção (matéria-prima + HH) | DN 34</t>
  </si>
  <si>
    <t>CINTA MAGNÉTICA | Produção (matéria-prima + HH) | DN 36</t>
  </si>
  <si>
    <t>CINTA MAGNÉTICA | Produção (matéria-prima + HH) | DN 38</t>
  </si>
  <si>
    <t>CINTA MAGNÉTICA | Produção (matéria-prima + HH) | DN 40</t>
  </si>
  <si>
    <t>CINTA MAGNÉTICA | Produção (matéria-prima + HH) | DN 42</t>
  </si>
  <si>
    <t>PLACA CALIBRADORA | Produção (matéria-prima + HH) | DN 2</t>
  </si>
  <si>
    <t>PLACA CALIBRADORA</t>
  </si>
  <si>
    <t>PLACA CALIBRADORA | Produção (matéria-prima + HH) | DN 3</t>
  </si>
  <si>
    <t>PLACA CALIBRADORA | Produção (matéria-prima + HH) | DN 4</t>
  </si>
  <si>
    <t>PLACA CALIBRADORA | Produção (matéria-prima + HH) | DN 6</t>
  </si>
  <si>
    <t>PLACA CALIBRADORA | Produção (matéria-prima + HH) | DN 8</t>
  </si>
  <si>
    <t>PLACA CALIBRADORA | Produção (matéria-prima + HH) | DN 10</t>
  </si>
  <si>
    <t>PLACA CALIBRADORA | Produção (matéria-prima + HH) | DN 12</t>
  </si>
  <si>
    <t>PLACA CALIBRADORA | Produção (matéria-prima + HH) | DN 14</t>
  </si>
  <si>
    <t>PLACA CALIBRADORA | Produção (matéria-prima + HH) | DN 16</t>
  </si>
  <si>
    <t>PLACA CALIBRADORA | Produção (matéria-prima + HH) | DN 18</t>
  </si>
  <si>
    <t>PLACA CALIBRADORA | Produção (matéria-prima + HH) | DN 20</t>
  </si>
  <si>
    <t>PLACA CALIBRADORA | Produção (matéria-prima + HH) | DN 22</t>
  </si>
  <si>
    <t>PLACA CALIBRADORA | Produção (matéria-prima + HH) | DN 24</t>
  </si>
  <si>
    <t>PLACA CALIBRADORA | Produção (matéria-prima + HH) | DN 26</t>
  </si>
  <si>
    <t>PLACA CALIBRADORA | Produção (matéria-prima + HH) | DN 28</t>
  </si>
  <si>
    <t>PLACA CALIBRADORA | Produção (matéria-prima + HH) | DN 30</t>
  </si>
  <si>
    <t>PLACA CALIBRADORA | Produção (matéria-prima + HH) | DN 32</t>
  </si>
  <si>
    <t>PLACA CALIBRADORA | Produção (matéria-prima + HH) | DN 34</t>
  </si>
  <si>
    <t>PLACA CALIBRADORA | Produção (matéria-prima + HH) | DN 36</t>
  </si>
  <si>
    <t>PLACA CALIBRADORA | Produção (matéria-prima + HH) | DN 38</t>
  </si>
  <si>
    <t>PLACA CALIBRADORA | Produção (matéria-prima + HH) | DN 40</t>
  </si>
  <si>
    <t>PLACA CALIBRADORA | Produção (matéria-prima + HH) | DN 42</t>
  </si>
  <si>
    <t>PU CAST DS</t>
  </si>
  <si>
    <t>PU CAST DG</t>
  </si>
  <si>
    <t>PU CAST DE</t>
  </si>
  <si>
    <t>PU CAST HFLEX</t>
  </si>
  <si>
    <t>DISCFLEX | Disco DISCFLEX (manta silicone) | DN 1 ½"</t>
  </si>
  <si>
    <t>DISCFLEX</t>
  </si>
  <si>
    <t>Disco DISCFLEX (manta silicone)</t>
  </si>
  <si>
    <t>1 ½"</t>
  </si>
  <si>
    <t>DISCFLEX | Disco DISCFLEX (manta silicone) | DN 2"</t>
  </si>
  <si>
    <t>2"</t>
  </si>
  <si>
    <t>DISCFLEX | Disco DISCFLEX (manta silicone) | DN 2 ½"</t>
  </si>
  <si>
    <t>2 ½"</t>
  </si>
  <si>
    <t>DISCFLEX | Disco DISCFLEX (manta silicone) | DN 3"</t>
  </si>
  <si>
    <t>3"</t>
  </si>
  <si>
    <t>DISCFLEX | Disco DISCFLEX (manta silicone) | DN 4"</t>
  </si>
  <si>
    <t>4"</t>
  </si>
  <si>
    <t>DISCFLEX | Disco DISCFLEX (manta silicone) | DN 5"</t>
  </si>
  <si>
    <t>5"</t>
  </si>
  <si>
    <t>DISCFLEX | Disco DISCFLEX (manta silicone) | DN 6"</t>
  </si>
  <si>
    <t>6"</t>
  </si>
  <si>
    <t>DISCFLEX COM IMA | Disco DISCFLEX (manta silicone) | DN 1 ½"</t>
  </si>
  <si>
    <t>DISCFLEX COM IMA</t>
  </si>
  <si>
    <t>DISCFLEX COM IMA | Disco DISCFLEX (manta silicone) | DN 2 ½"</t>
  </si>
  <si>
    <t>HSC AZUL COM IMA | Disco DISCFLEX (manta silicone) | DN 4''</t>
  </si>
  <si>
    <t>HSC AZUL COM IMA</t>
  </si>
  <si>
    <t>4''</t>
  </si>
  <si>
    <t>PIG H | PIG H — BAIXA D26 (CUSTO COMPLETO H) | DN 1''</t>
  </si>
  <si>
    <t>PIG H</t>
  </si>
  <si>
    <t>PIG H — BAIXA D26 (CUSTO COMPLETO H)</t>
  </si>
  <si>
    <t>1''</t>
  </si>
  <si>
    <t>Custo de HH escalonado por lote (ver "CUSTO HH ESC/LOTE" na aba de origem)</t>
  </si>
  <si>
    <t>PIG H | PIG H — BAIXA D26 (CUSTO COMPLETO H COM SELO) | DN 1''</t>
  </si>
  <si>
    <t>PIG H — BAIXA D26 (CUSTO COMPLETO H COM SELO)</t>
  </si>
  <si>
    <t>PIG H | PIG H — BAIXA D26 (CUSTO COMPLETO H COM SELO/CORDA) | DN 1''</t>
  </si>
  <si>
    <t>PIG H — BAIXA D26 (CUSTO COMPLETO H COM SELO/CORDA)</t>
  </si>
  <si>
    <t>PIG H | PIG H — BAIXA D26 (CUSTO COMPLETO H) | DN 2''</t>
  </si>
  <si>
    <t>2''</t>
  </si>
  <si>
    <t>PIG H | PIG H — BAIXA D26 (CUSTO COMPLETO H COM SELO) | DN 2''</t>
  </si>
  <si>
    <t>PIG H | PIG H — BAIXA D26 (CUSTO COMPLETO H COM SELO/CORDA) | DN 2''</t>
  </si>
  <si>
    <t>PIG H | PIG H — BAIXA D26 (CUSTO COMPLETO H) | DN 3''</t>
  </si>
  <si>
    <t>3''</t>
  </si>
  <si>
    <t>PIG H | PIG H — BAIXA D26 (CUSTO COMPLETO H COM SELO) | DN 3''</t>
  </si>
  <si>
    <t>PIG H | PIG H — BAIXA D26 (CUSTO COMPLETO H COM SELO/CORDA) | DN 3''</t>
  </si>
  <si>
    <t>PIG H | PIG H — BAIXA D26 (CUSTO COMPLETO H) | DN 4''</t>
  </si>
  <si>
    <t>PIG H | PIG H — BAIXA D26 (CUSTO COMPLETO H COM SELO) | DN 4''</t>
  </si>
  <si>
    <t>PIG H | PIG H — BAIXA D26 (CUSTO COMPLETO H COM SELO/CORDA) | DN 4''</t>
  </si>
  <si>
    <t>PIG H | PIG H — BAIXA D26 (CUSTO COMPLETO H) | DN 6''</t>
  </si>
  <si>
    <t>PIG H | PIG H — BAIXA D26 (CUSTO COMPLETO H COM SELO) | DN 6''</t>
  </si>
  <si>
    <t>PIG H | PIG H — BAIXA D26 (CUSTO COMPLETO H COM SELO/CORDA) | DN 6''</t>
  </si>
  <si>
    <t>PIG H | PIG H — BAIXA D26 (CUSTO COMPLETO H) | DN 8''</t>
  </si>
  <si>
    <t>PIG H | PIG H — BAIXA D26 (CUSTO COMPLETO H COM SELO) | DN 8''</t>
  </si>
  <si>
    <t>PIG H | PIG H — BAIXA D26 (CUSTO COMPLETO H COM SELO/CORDA) | DN 8''</t>
  </si>
  <si>
    <t>PIG H | PIG H — BAIXA D26 (CUSTO COMPLETO H) | DN 10''</t>
  </si>
  <si>
    <t>PIG H | PIG H — BAIXA D26 (CUSTO COMPLETO H COM SELO) | DN 10''</t>
  </si>
  <si>
    <t>PIG H | PIG H — BAIXA D26 (CUSTO COMPLETO H COM SELO/CORDA) | DN 10''</t>
  </si>
  <si>
    <t>PIG H | PIG H — BAIXA D26 (CUSTO COMPLETO H) | DN 12''</t>
  </si>
  <si>
    <t>PIG H | PIG H — BAIXA D26 (CUSTO COMPLETO H COM SELO) | DN 12''</t>
  </si>
  <si>
    <t>PIG H | PIG H — BAIXA D26 (CUSTO COMPLETO H COM SELO/CORDA) | DN 12''</t>
  </si>
  <si>
    <t>PIG H | PIG H — BAIXA D26 (CUSTO COMPLETO H) | DN 14''</t>
  </si>
  <si>
    <t>PIG H | PIG H — BAIXA D26 (CUSTO COMPLETO H COM SELO) | DN 14''</t>
  </si>
  <si>
    <t>PIG H | PIG H — BAIXA D26 (CUSTO COMPLETO H COM SELO/CORDA) | DN 14''</t>
  </si>
  <si>
    <t>PIG H | PIG H — BAIXA D26 (CUSTO COMPLETO H) | DN 16''</t>
  </si>
  <si>
    <t>16''</t>
  </si>
  <si>
    <t>PIG H | PIG H — BAIXA D26 (CUSTO COMPLETO H COM SELO) | DN 16''</t>
  </si>
  <si>
    <t>PIG H | PIG H — BAIXA D26 (CUSTO COMPLETO H COM SELO/CORDA) | DN 16''</t>
  </si>
  <si>
    <t>PIG H | PIG H — BAIXA D26 (CUSTO COMPLETO H) | DN 18''</t>
  </si>
  <si>
    <t>18''</t>
  </si>
  <si>
    <t>PIG H | PIG H — BAIXA D26 (CUSTO COMPLETO H COM SELO) | DN 18''</t>
  </si>
  <si>
    <t>PIG H | PIG H — BAIXA D26 (CUSTO COMPLETO H COM SELO/CORDA) | DN 18''</t>
  </si>
  <si>
    <t>PIG H | PIG H — BAIXA D26 (CUSTO COMPLETO H) | DN 20''</t>
  </si>
  <si>
    <t>20''</t>
  </si>
  <si>
    <t>PIG H | PIG H — BAIXA D26 (CUSTO COMPLETO H COM SELO) | DN 20''</t>
  </si>
  <si>
    <t>PIG H | PIG H — BAIXA D26 (CUSTO COMPLETO H COM SELO/CORDA) | DN 20''</t>
  </si>
  <si>
    <t>PIG H | PIG H — BAIXA D26 (CUSTO COMPLETO H) | DN 22''</t>
  </si>
  <si>
    <t>22''</t>
  </si>
  <si>
    <t>PIG H | PIG H — BAIXA D26 (CUSTO COMPLETO H COM SELO) | DN 22''</t>
  </si>
  <si>
    <t>PIG H | PIG H — BAIXA D26 (CUSTO COMPLETO H COM SELO/CORDA) | DN 22''</t>
  </si>
  <si>
    <t>PIG H | PIG H — BAIXA D26 (CUSTO COMPLETO H) | DN 24''</t>
  </si>
  <si>
    <t>24''</t>
  </si>
  <si>
    <t>PIG H | PIG H — BAIXA D26 (CUSTO COMPLETO H COM SELO) | DN 24''</t>
  </si>
  <si>
    <t>PIG H | PIG H — BAIXA D26 (CUSTO COMPLETO H COM SELO/CORDA) | DN 24''</t>
  </si>
  <si>
    <t>PIG H | PIG H — BAIXA D26 (CUSTO COMPLETO H) | DN 26''</t>
  </si>
  <si>
    <t>26''</t>
  </si>
  <si>
    <t>PIG H | PIG H — BAIXA D26 (CUSTO COMPLETO H COM SELO) | DN 26''</t>
  </si>
  <si>
    <t>PIG H | PIG H — BAIXA D26 (CUSTO COMPLETO H COM SELO/CORDA) | DN 26''</t>
  </si>
  <si>
    <t>PIG H | PIG H — BAIXA D26 (CUSTO COMPLETO H) | DN 28''</t>
  </si>
  <si>
    <t>28''</t>
  </si>
  <si>
    <t>PIG H | PIG H — BAIXA D26 (CUSTO COMPLETO H COM SELO) | DN 28''</t>
  </si>
  <si>
    <t>PIG H | PIG H — BAIXA D26 (CUSTO COMPLETO H COM SELO/CORDA) | DN 28''</t>
  </si>
  <si>
    <t>PIG H | PIG H — BAIXA D26 (CUSTO COMPLETO H) | DN 30''</t>
  </si>
  <si>
    <t>30''</t>
  </si>
  <si>
    <t>PIG H | PIG H — BAIXA D26 (CUSTO COMPLETO H COM SELO) | DN 30''</t>
  </si>
  <si>
    <t>PIG H | PIG H — BAIXA D26 (CUSTO COMPLETO H COM SELO/CORDA) | DN 30''</t>
  </si>
  <si>
    <t>PIG H | PIG H — BAIXA D26 (CUSTO COMPLETO H) | DN 32''</t>
  </si>
  <si>
    <t>32''</t>
  </si>
  <si>
    <t>PIG H | PIG H — BAIXA D26 (CUSTO COMPLETO H COM SELO) | DN 32''</t>
  </si>
  <si>
    <t>PIG H | PIG H — BAIXA D26 (CUSTO COMPLETO H COM SELO/CORDA) | DN 32''</t>
  </si>
  <si>
    <t>PIG H | PIG H — BAIXA D26 (CUSTO COMPLETO H) | DN 34''</t>
  </si>
  <si>
    <t>34''</t>
  </si>
  <si>
    <t>PIG H | PIG H — BAIXA D26 (CUSTO COMPLETO H COM SELO) | DN 34''</t>
  </si>
  <si>
    <t>PIG H | PIG H — BAIXA D26 (CUSTO COMPLETO H COM SELO/CORDA) | DN 34''</t>
  </si>
  <si>
    <t>PIG H | PIG H — BAIXA D26 (CUSTO COMPLETO H) | DN 36''</t>
  </si>
  <si>
    <t>36''</t>
  </si>
  <si>
    <t>PIG H | PIG H — BAIXA D26 (CUSTO COMPLETO H COM SELO) | DN 36''</t>
  </si>
  <si>
    <t>PIG H | PIG H — BAIXA D26 (CUSTO COMPLETO H COM SELO/CORDA) | DN 36''</t>
  </si>
  <si>
    <t>PIG H | PIG H — BAIXA D26 (CUSTO COMPLETO H) | DN 38''</t>
  </si>
  <si>
    <t>38''</t>
  </si>
  <si>
    <t>PIG H | PIG H — BAIXA D26 (CUSTO COMPLETO H COM SELO) | DN 38''</t>
  </si>
  <si>
    <t>PIG H | PIG H — BAIXA D26 (CUSTO COMPLETO H COM SELO/CORDA) | DN 38''</t>
  </si>
  <si>
    <t>PIG H | PIG H — BAIXA D26 (CUSTO COMPLETO H) | DN 40''</t>
  </si>
  <si>
    <t>40''</t>
  </si>
  <si>
    <t>PIG H | PIG H — BAIXA D26 (CUSTO COMPLETO H COM SELO) | DN 40''</t>
  </si>
  <si>
    <t>PIG H | PIG H — BAIXA D26 (CUSTO COMPLETO H COM SELO/CORDA) | DN 40''</t>
  </si>
  <si>
    <t>PIG H | PIG H — BAIXA D26 (CUSTO COMPLETO H) | DN 42''</t>
  </si>
  <si>
    <t>42''</t>
  </si>
  <si>
    <t>PIG H | PIG H — BAIXA D26 (CUSTO COMPLETO H COM SELO) | DN 42''</t>
  </si>
  <si>
    <t>PIG H | PIG H — BAIXA D26 (CUSTO COMPLETO H COM SELO/CORDA) | DN 42''</t>
  </si>
  <si>
    <t>PIG H | PIG H — BAIXA D26 (CUSTO COMPLETO H) | DN 44''</t>
  </si>
  <si>
    <t>44''</t>
  </si>
  <si>
    <t>PIG H | PIG H — BAIXA D26 (CUSTO COMPLETO H COM SELO) | DN 44''</t>
  </si>
  <si>
    <t>PIG H | PIG H — BAIXA D26 (CUSTO COMPLETO H COM SELO/CORDA) | DN 44''</t>
  </si>
  <si>
    <t>PIG H | PIG H — BAIXA D45 (CUSTO COMPLETO H) | DN 1''</t>
  </si>
  <si>
    <t>PIG H — BAIXA D45 (CUSTO COMPLETO H)</t>
  </si>
  <si>
    <t>PIG H | PIG H — BAIXA D45 (CUSTO COMPLETO H COM SELO) | DN 1''</t>
  </si>
  <si>
    <t>PIG H — BAIXA D45 (CUSTO COMPLETO H COM SELO)</t>
  </si>
  <si>
    <t>PIG H | PIG H — BAIXA D45 (CUSTO COMPLETO H COM SELO/CORDA) | DN 1''</t>
  </si>
  <si>
    <t>PIG H — BAIXA D45 (CUSTO COMPLETO H COM SELO/CORDA)</t>
  </si>
  <si>
    <t>PIG H | PIG H — BAIXA D45 (CUSTO COMPLETO H) | DN 2''</t>
  </si>
  <si>
    <t>PIG H | PIG H — BAIXA D45 (CUSTO COMPLETO H COM SELO) | DN 2''</t>
  </si>
  <si>
    <t>PIG H | PIG H — BAIXA D45 (CUSTO COMPLETO H COM SELO/CORDA) | DN 2''</t>
  </si>
  <si>
    <t>PIG H | PIG H — BAIXA D45 (CUSTO COMPLETO H) | DN 3''</t>
  </si>
  <si>
    <t>PIG H | PIG H — BAIXA D45 (CUSTO COMPLETO H COM SELO) | DN 3''</t>
  </si>
  <si>
    <t>PIG H | PIG H — BAIXA D45 (CUSTO COMPLETO H COM SELO/CORDA) | DN 3''</t>
  </si>
  <si>
    <t>PIG H | PIG H — BAIXA D45 (CUSTO COMPLETO H) | DN 4''</t>
  </si>
  <si>
    <t>PIG H | PIG H — BAIXA D45 (CUSTO COMPLETO H COM SELO) | DN 4''</t>
  </si>
  <si>
    <t>PIG H | PIG H — BAIXA D45 (CUSTO COMPLETO H COM SELO/CORDA) | DN 4''</t>
  </si>
  <si>
    <t>PIG H | PIG H — BAIXA D45 (CUSTO COMPLETO H) | DN 6''</t>
  </si>
  <si>
    <t>PIG H | PIG H — BAIXA D45 (CUSTO COMPLETO H COM SELO) | DN 6''</t>
  </si>
  <si>
    <t>PIG H | PIG H — BAIXA D45 (CUSTO COMPLETO H COM SELO/CORDA) | DN 6''</t>
  </si>
  <si>
    <t>PIG H | PIG H — BAIXA D45 (CUSTO COMPLETO H) | DN 7''</t>
  </si>
  <si>
    <t>7''</t>
  </si>
  <si>
    <t>PIG H | PIG H — BAIXA D45 (CUSTO COMPLETO H COM SELO) | DN 7''</t>
  </si>
  <si>
    <t>PIG H | PIG H — BAIXA D45 (CUSTO COMPLETO H COM SELO/CORDA) | DN 7''</t>
  </si>
  <si>
    <t>PIG H | PIG H — BAIXA D45 (CUSTO COMPLETO H) | DN 8''</t>
  </si>
  <si>
    <t>PIG H | PIG H — BAIXA D45 (CUSTO COMPLETO H COM SELO) | DN 8''</t>
  </si>
  <si>
    <t>PIG H | PIG H — BAIXA D45 (CUSTO COMPLETO H COM SELO/CORDA) | DN 8''</t>
  </si>
  <si>
    <t>PIG H | PIG H — BAIXA D45 (CUSTO COMPLETO H) | DN 10''</t>
  </si>
  <si>
    <t>PIG H | PIG H — BAIXA D45 (CUSTO COMPLETO H COM SELO) | DN 10''</t>
  </si>
  <si>
    <t>PIG H | PIG H — BAIXA D45 (CUSTO COMPLETO H COM SELO/CORDA) | DN 10''</t>
  </si>
  <si>
    <t>PIG H | PIG H — BAIXA D45 (CUSTO COMPLETO H) | DN 12''</t>
  </si>
  <si>
    <t>PIG H | PIG H — BAIXA D45 (CUSTO COMPLETO H COM SELO) | DN 12''</t>
  </si>
  <si>
    <t>PIG H | PIG H — BAIXA D45 (CUSTO COMPLETO H COM SELO/CORDA) | DN 12''</t>
  </si>
  <si>
    <t>PIG H | PIG H — BAIXA D45 (CUSTO COMPLETO H) | DN 14''</t>
  </si>
  <si>
    <t>PIG H | PIG H — BAIXA D45 (CUSTO COMPLETO H COM SELO) | DN 14''</t>
  </si>
  <si>
    <t>PIG H | PIG H — BAIXA D45 (CUSTO COMPLETO H COM SELO/CORDA) | DN 14''</t>
  </si>
  <si>
    <t>PIG H | PIG H — BAIXA D45 (CUSTO COMPLETO H) | DN 16''</t>
  </si>
  <si>
    <t>PIG H | PIG H — BAIXA D45 (CUSTO COMPLETO H COM SELO) | DN 16''</t>
  </si>
  <si>
    <t>PIG H | PIG H — BAIXA D45 (CUSTO COMPLETO H COM SELO/CORDA) | DN 16''</t>
  </si>
  <si>
    <t>PIG H | PIG H — BAIXA D45 (CUSTO COMPLETO H) | DN 18''</t>
  </si>
  <si>
    <t>PIG H | PIG H — BAIXA D45 (CUSTO COMPLETO H COM SELO) | DN 18''</t>
  </si>
  <si>
    <t>PIG H | PIG H — BAIXA D45 (CUSTO COMPLETO H COM SELO/CORDA) | DN 18''</t>
  </si>
  <si>
    <t>PIG H | PIG H — BAIXA D45 (CUSTO COMPLETO H) | DN 20''</t>
  </si>
  <si>
    <t>PIG H | PIG H — BAIXA D45 (CUSTO COMPLETO H COM SELO) | DN 20''</t>
  </si>
  <si>
    <t>PIG H | PIG H — BAIXA D45 (CUSTO COMPLETO H COM SELO/CORDA) | DN 20''</t>
  </si>
  <si>
    <t>PIG H | PIG H — BAIXA D45 (CUSTO COMPLETO H) | DN 22''</t>
  </si>
  <si>
    <t>PIG H | PIG H — BAIXA D45 (CUSTO COMPLETO H COM SELO) | DN 22''</t>
  </si>
  <si>
    <t>PIG H | PIG H — BAIXA D45 (CUSTO COMPLETO H COM SELO/CORDA) | DN 22''</t>
  </si>
  <si>
    <t>PIG H | PIG H — BAIXA D45 (CUSTO COMPLETO H) | DN 24''</t>
  </si>
  <si>
    <t>PIG H | PIG H — BAIXA D45 (CUSTO COMPLETO H COM SELO) | DN 24''</t>
  </si>
  <si>
    <t>PIG H | PIG H — BAIXA D45 (CUSTO COMPLETO H COM SELO/CORDA) | DN 24''</t>
  </si>
  <si>
    <t>PIG H | PIG H — BAIXA D45 (CUSTO COMPLETO H) | DN 26''</t>
  </si>
  <si>
    <t>PIG H | PIG H — BAIXA D45 (CUSTO COMPLETO H COM SELO) | DN 26''</t>
  </si>
  <si>
    <t>PIG H | PIG H — BAIXA D45 (CUSTO COMPLETO H COM SELO/CORDA) | DN 26''</t>
  </si>
  <si>
    <t>PIG H | PIG H — BAIXA D45 (CUSTO COMPLETO H) | DN 28''</t>
  </si>
  <si>
    <t>PIG H | PIG H — BAIXA D45 (CUSTO COMPLETO H COM SELO) | DN 28''</t>
  </si>
  <si>
    <t>PIG H | PIG H — BAIXA D45 (CUSTO COMPLETO H COM SELO/CORDA) | DN 28''</t>
  </si>
  <si>
    <t>PIG H | PIG H — BAIXA D45 (CUSTO COMPLETO H) | DN 30''</t>
  </si>
  <si>
    <t>PIG H | PIG H — BAIXA D45 (CUSTO COMPLETO H COM SELO) | DN 30''</t>
  </si>
  <si>
    <t>PIG H | PIG H — BAIXA D45 (CUSTO COMPLETO H COM SELO/CORDA) | DN 30''</t>
  </si>
  <si>
    <t>PIG H | PIG H — BAIXA D45 (CUSTO COMPLETO H) | DN 32''</t>
  </si>
  <si>
    <t>PIG H | PIG H — BAIXA D45 (CUSTO COMPLETO H COM SELO) | DN 32''</t>
  </si>
  <si>
    <t>PIG H | PIG H — BAIXA D45 (CUSTO COMPLETO H COM SELO/CORDA) | DN 32''</t>
  </si>
  <si>
    <t>PIG H | PIG H — BAIXA D45 (CUSTO COMPLETO H) | DN 34''</t>
  </si>
  <si>
    <t>PIG H | PIG H — BAIXA D45 (CUSTO COMPLETO H COM SELO) | DN 34''</t>
  </si>
  <si>
    <t>PIG H | PIG H — BAIXA D45 (CUSTO COMPLETO H COM SELO/CORDA) | DN 34''</t>
  </si>
  <si>
    <t>PIG H | PIG H — BAIXA D45 (CUSTO COMPLETO H) | DN 36''</t>
  </si>
  <si>
    <t>PIG H | PIG H — BAIXA D45 (CUSTO COMPLETO H COM SELO) | DN 36''</t>
  </si>
  <si>
    <t>PIG H | PIG H — BAIXA D45 (CUSTO COMPLETO H COM SELO/CORDA) | DN 36''</t>
  </si>
  <si>
    <t>PIG H | PIG H — BAIXA D45 (CUSTO COMPLETO H) | DN 38''</t>
  </si>
  <si>
    <t>PIG H | PIG H — BAIXA D45 (CUSTO COMPLETO H COM SELO) | DN 38''</t>
  </si>
  <si>
    <t>PIG H | PIG H — BAIXA D45 (CUSTO COMPLETO H COM SELO/CORDA) | DN 38''</t>
  </si>
  <si>
    <t>PIG H | PIG H — BAIXA D45 (CUSTO COMPLETO H) | DN 40''</t>
  </si>
  <si>
    <t>PIG H | PIG H — BAIXA D45 (CUSTO COMPLETO H COM SELO) | DN 40''</t>
  </si>
  <si>
    <t>PIG H | PIG H — BAIXA D45 (CUSTO COMPLETO H COM SELO/CORDA) | DN 40''</t>
  </si>
  <si>
    <t>PIG H | PIG H — BAIXA D45 (CUSTO COMPLETO H) | DN 42''</t>
  </si>
  <si>
    <t>PIG H | PIG H — BAIXA D45 (CUSTO COMPLETO H COM SELO) | DN 42''</t>
  </si>
  <si>
    <t>PIG H | PIG H — BAIXA D45 (CUSTO COMPLETO H COM SELO/CORDA) | DN 42''</t>
  </si>
  <si>
    <t>PIG H | PIG H — BAIXA D45 (CUSTO COMPLETO H) | DN 44''</t>
  </si>
  <si>
    <t>PIG H | PIG H — BAIXA D45 (CUSTO COMPLETO H COM SELO) | DN 44''</t>
  </si>
  <si>
    <t>PIG H | PIG H — BAIXA D45 (CUSTO COMPLETO H COM SELO/CORDA) | DN 44''</t>
  </si>
  <si>
    <t>PIG H | PIG H — BAIXA D60 (CUSTO COMPLETO H) | DN 1''</t>
  </si>
  <si>
    <t>PIG H — BAIXA D60 (CUSTO COMPLETO H)</t>
  </si>
  <si>
    <t>PIG H | PIG H — BAIXA D60 (CUSTO COMPLETO H COM SELO) | DN 1''</t>
  </si>
  <si>
    <t>PIG H — BAIXA D60 (CUSTO COMPLETO H COM SELO)</t>
  </si>
  <si>
    <t>PIG H | PIG H — BAIXA D60 (CUSTO COMPLETO H COM SELO/CORDA) | DN 1''</t>
  </si>
  <si>
    <t>PIG H — BAIXA D60 (CUSTO COMPLETO H COM SELO/CORDA)</t>
  </si>
  <si>
    <t>PIG H | PIG H — BAIXA D60 (CUSTO COMPLETO H) | DN 2''</t>
  </si>
  <si>
    <t>PIG H | PIG H — BAIXA D60 (CUSTO COMPLETO H COM SELO) | DN 2''</t>
  </si>
  <si>
    <t>PIG H | PIG H — BAIXA D60 (CUSTO COMPLETO H COM SELO/CORDA) | DN 2''</t>
  </si>
  <si>
    <t>PIG H | PIG H — BAIXA D60 (CUSTO COMPLETO H) | DN 3''</t>
  </si>
  <si>
    <t>PIG H | PIG H — BAIXA D60 (CUSTO COMPLETO H COM SELO) | DN 3''</t>
  </si>
  <si>
    <t>PIG H | PIG H — BAIXA D60 (CUSTO COMPLETO H COM SELO/CORDA) | DN 3''</t>
  </si>
  <si>
    <t>PIG H | PIG H — BAIXA D60 (CUSTO COMPLETO H) | DN 4''</t>
  </si>
  <si>
    <t>PIG H | PIG H — BAIXA D60 (CUSTO COMPLETO H COM SELO) | DN 4''</t>
  </si>
  <si>
    <t>PIG H | PIG H — BAIXA D60 (CUSTO COMPLETO H COM SELO/CORDA) | DN 4''</t>
  </si>
  <si>
    <t>PIG H | PIG H — BAIXA D60 (CUSTO COMPLETO H) | DN 6''</t>
  </si>
  <si>
    <t>PIG H | PIG H — BAIXA D60 (CUSTO COMPLETO H COM SELO) | DN 6''</t>
  </si>
  <si>
    <t>PIG H | PIG H — BAIXA D60 (CUSTO COMPLETO H COM SELO/CORDA) | DN 6''</t>
  </si>
  <si>
    <t>PIG HS | PIG HS — MÉDIA (140-160 KG/M³) | DN 2''</t>
  </si>
  <si>
    <t>PIG HS</t>
  </si>
  <si>
    <t>PIG HS — MÉDIA (140-160 KG/M³)</t>
  </si>
  <si>
    <t>PIG HS | PIG HS — MÉDIA (140-160 KG/M³) | DN 3''</t>
  </si>
  <si>
    <t>PIG HS | PIG HS — MÉDIA (140-160 KG/M³) | DN 4''</t>
  </si>
  <si>
    <t>PIG HS | PIG HS — MÉDIA (140-160 KG/M³) | DN 6''</t>
  </si>
  <si>
    <t>PIG HS | PIG HS — MÉDIA (140-160 KG/M³) | DN 7''</t>
  </si>
  <si>
    <t>PIG HS | PIG HS — MÉDIA (140-160 KG/M³) | DN 8''</t>
  </si>
  <si>
    <t>PIG HS | PIG HS — MÉDIA (140-160 KG/M³) | DN 10''</t>
  </si>
  <si>
    <t>PIG HS | PIG HS — MÉDIA (140-160 KG/M³) | DN 12''</t>
  </si>
  <si>
    <t>PIG HS | PIG HS — MÉDIA (140-160 KG/M³) | DN 14''</t>
  </si>
  <si>
    <t>PIG HS | PIG HS — MÉDIA (140-160 KG/M³) | DN 16''</t>
  </si>
  <si>
    <t>PIG HS | PIG HS — MÉDIA (140-160 KG/M³) | DN 18''</t>
  </si>
  <si>
    <t>PIG HS | PIG HS — MÉDIA (140-160 KG/M³) | DN 20''</t>
  </si>
  <si>
    <t>PIG HS | PIG HS — MÉDIA (140-160 KG/M³) | DN 22''</t>
  </si>
  <si>
    <t>PIG HS | PIG HS — MÉDIA (140-160 KG/M³) | DN 24''</t>
  </si>
  <si>
    <t>PIG HS | PIG HS — MÉDIA (140-160 KG/M³) | DN 26''</t>
  </si>
  <si>
    <t>PIG HS | PIG HS — MÉDIA (140-160 KG/M³) | DN 28''</t>
  </si>
  <si>
    <t>PIG HS | PIG HS — MÉDIA (140-160 KG/M³) | DN 30''</t>
  </si>
  <si>
    <t>PIG HS | PIG HS — MÉDIA (140-160 KG/M³) | DN 32''</t>
  </si>
  <si>
    <t>PIG HS | PIG HS — MÉDIA (140-160 KG/M³) | DN 34''</t>
  </si>
  <si>
    <t>PIG HS | PIG HS — MÉDIA (140-160 KG/M³) | DN 36''</t>
  </si>
  <si>
    <t>PIG HS | PIG HS — MÉDIA (140-160 KG/M³) | DN 38''</t>
  </si>
  <si>
    <t>PIG HS | PIG HS — MÉDIA (140-160 KG/M³) | DN 40''</t>
  </si>
  <si>
    <t>PIG HS | PIG HS — MÉDIA (140-160 KG/M³) | DN 42''</t>
  </si>
  <si>
    <t>PIG HS | PIG HS — MÉDIA (140-160 KG/M³) | DN 44''</t>
  </si>
  <si>
    <t>PIG HS | PIG HS — ALTA (170-190 KG/M³) | DN 2''</t>
  </si>
  <si>
    <t>PIG HS — ALTA (170-190 KG/M³)</t>
  </si>
  <si>
    <t>PIG HS | PIG HS — ALTA (170-190 KG/M³) | DN 3''</t>
  </si>
  <si>
    <t>PIG HS | PIG HS — ALTA (170-190 KG/M³) | DN 4''</t>
  </si>
  <si>
    <t>PIG HS | PIG HS — ALTA (170-190 KG/M³) | DN 6''</t>
  </si>
  <si>
    <t>PIG HS | PIG HS — ALTA (170-190 KG/M³) | DN 7''</t>
  </si>
  <si>
    <t>PIG HS | PIG HS — ALTA (170-190 KG/M³) | DN 8''</t>
  </si>
  <si>
    <t>PIG HS | PIG HS — ALTA (170-190 KG/M³) | DN 10''</t>
  </si>
  <si>
    <t>PIG HS | PIG HS — ALTA (170-190 KG/M³) | DN 12''</t>
  </si>
  <si>
    <t>PIG HS | PIG HS — ALTA (170-190 KG/M³) | DN 14''</t>
  </si>
  <si>
    <t>PIG HS | PIG HS — ALTA (170-190 KG/M³) | DN 16''</t>
  </si>
  <si>
    <t>PIG HS | PIG HS — ALTA (170-190 KG/M³) | DN 18''</t>
  </si>
  <si>
    <t>PIG HS | PIG HS — ALTA (170-190 KG/M³) | DN 20''</t>
  </si>
  <si>
    <t>PIG HS | PIG HS — ALTA (170-190 KG/M³) | DN 22''</t>
  </si>
  <si>
    <t>PIG HS | PIG HS — ALTA (170-190 KG/M³) | DN 24''</t>
  </si>
  <si>
    <t>PIG HS | PIG HS — ALTA (170-190 KG/M³) | DN 26''</t>
  </si>
  <si>
    <t>PIG HS | PIG HS — ALTA (170-190 KG/M³) | DN 28''</t>
  </si>
  <si>
    <t>PIG HS | PIG HS — ALTA (170-190 KG/M³) | DN 30''</t>
  </si>
  <si>
    <t>PIG HS | PIG HS — ALTA (170-190 KG/M³) | DN 32''</t>
  </si>
  <si>
    <t>PIG HS | PIG HS — ALTA (170-190 KG/M³) | DN 34''</t>
  </si>
  <si>
    <t>PIG HS | PIG HS — ALTA (170-190 KG/M³) | DN 36''</t>
  </si>
  <si>
    <t>PIG HS | PIG HS — ALTA (170-190 KG/M³) | DN 38''</t>
  </si>
  <si>
    <t>PIG HS | PIG HS — ALTA (170-190 KG/M³) | DN 40''</t>
  </si>
  <si>
    <t>PIG HS | PIG HS — ALTA (170-190 KG/M³) | DN 42''</t>
  </si>
  <si>
    <t>PIG HS | PIG HS — ALTA (170-190 KG/M³) | DN 44''</t>
  </si>
  <si>
    <t>PIG HL | PIG HL — MÉDIA (140-160 KG/M³) | DN 2''</t>
  </si>
  <si>
    <t>PIG HL</t>
  </si>
  <si>
    <t>PIG HL — MÉDIA (140-160 KG/M³)</t>
  </si>
  <si>
    <t>PIG HL | PIG HL — MÉDIA (140-160 KG/M³) | DN 3''</t>
  </si>
  <si>
    <t>PIG HL | PIG HL — MÉDIA (140-160 KG/M³) | DN 4''</t>
  </si>
  <si>
    <t>PIG HL | PIG HL — MÉDIA (140-160 KG/M³) | DN 7''</t>
  </si>
  <si>
    <t>PIG HL | PIG HL — MÉDIA (140-160 KG/M³) | DN 8''</t>
  </si>
  <si>
    <t>PIG HL | PIG HL — MÉDIA (140-160 KG/M³) | DN 10''</t>
  </si>
  <si>
    <t>PIG HL | PIG HL — MÉDIA (140-160 KG/M³) | DN 12''</t>
  </si>
  <si>
    <t>PIG HL | PIG HL — MÉDIA (140-160 KG/M³) | DN 14''</t>
  </si>
  <si>
    <t>PIG HL | PIG HL — MÉDIA (140-160 KG/M³) | DN 16''</t>
  </si>
  <si>
    <t>PIG HL | PIG HL — MÉDIA (140-160 KG/M³) | DN 18''</t>
  </si>
  <si>
    <t>PIG HL | PIG HL — MÉDIA (140-160 KG/M³) | DN 20''</t>
  </si>
  <si>
    <t>PIG HL | PIG HL — MÉDIA (140-160 KG/M³) | DN 22''</t>
  </si>
  <si>
    <t>PIG HL | PIG HL — MÉDIA (140-160 KG/M³) | DN 24''</t>
  </si>
  <si>
    <t>PIG HL | PIG HL — MÉDIA (140-160 KG/M³) | DN 26''</t>
  </si>
  <si>
    <t>PIG HL | PIG HL — MÉDIA (140-160 KG/M³) | DN 28''</t>
  </si>
  <si>
    <t>PIG HL | PIG HL — MÉDIA (140-160 KG/M³) | DN 30''</t>
  </si>
  <si>
    <t>PIG HL | PIG HL — MÉDIA (140-160 KG/M³) | DN 32''</t>
  </si>
  <si>
    <t>PIG HL | PIG HL — MÉDIA (140-160 KG/M³) | DN 34''</t>
  </si>
  <si>
    <t>PIG HL | PIG HL — MÉDIA (140-160 KG/M³) | DN 36''</t>
  </si>
  <si>
    <t>PIG HL | PIG HL — MÉDIA (140-160 KG/M³) | DN 38''</t>
  </si>
  <si>
    <t>PIG HL | PIG HL — MÉDIA (140-160 KG/M³) | DN 40''</t>
  </si>
  <si>
    <t>PIG HL | PIG HL — MÉDIA (140-160 KG/M³) | DN 42''</t>
  </si>
  <si>
    <t>PIG HL | PIG HL — MÉDIA (140-160 KG/M³) | DN 44''</t>
  </si>
  <si>
    <t>PIG HL | PIG HL — ALTA (170-190 KG/M³) | DN 2''</t>
  </si>
  <si>
    <t>PIG HL — ALTA (170-190 KG/M³)</t>
  </si>
  <si>
    <t>PIG HL | PIG HL — ALTA (170-190 KG/M³) | DN 3''</t>
  </si>
  <si>
    <t>PIG HL | PIG HL — ALTA (170-190 KG/M³) | DN 4''</t>
  </si>
  <si>
    <t>PIG HL | PIG HL — ALTA (170-190 KG/M³) | DN 6''</t>
  </si>
  <si>
    <t>PIG HL | PIG HL — ALTA (170-190 KG/M³) | DN 7''</t>
  </si>
  <si>
    <t>PIG HL | PIG HL — ALTA (170-190 KG/M³) | DN 8''</t>
  </si>
  <si>
    <t>PIG HL | PIG HL — ALTA (170-190 KG/M³) | DN 10''</t>
  </si>
  <si>
    <t>PIG HL | PIG HL — ALTA (170-190 KG/M³) | DN 12''</t>
  </si>
  <si>
    <t>PIG HL | PIG HL — ALTA (170-190 KG/M³) | DN 14''</t>
  </si>
  <si>
    <t>PIG HL | PIG HL — ALTA (170-190 KG/M³) | DN 16''</t>
  </si>
  <si>
    <t>PIG HL | PIG HL — ALTA (170-190 KG/M³) | DN 18''</t>
  </si>
  <si>
    <t>PIG HL | PIG HL — ALTA (170-190 KG/M³) | DN 20''</t>
  </si>
  <si>
    <t>PIG HL | PIG HL — ALTA (170-190 KG/M³) | DN 22''</t>
  </si>
  <si>
    <t>PIG HL | PIG HL — ALTA (170-190 KG/M³) | DN 24''</t>
  </si>
  <si>
    <t>PIG HL | PIG HL — ALTA (170-190 KG/M³) | DN 26''</t>
  </si>
  <si>
    <t>PIG HL | PIG HL — ALTA (170-190 KG/M³) | DN 28''</t>
  </si>
  <si>
    <t>PIG HL | PIG HL — ALTA (170-190 KG/M³) | DN 30''</t>
  </si>
  <si>
    <t>PIG HL | PIG HL — ALTA (170-190 KG/M³) | DN 32''</t>
  </si>
  <si>
    <t>PIG HL | PIG HL — ALTA (170-190 KG/M³) | DN 34''</t>
  </si>
  <si>
    <t>PIG HL | PIG HL — ALTA (170-190 KG/M³) | DN 36''</t>
  </si>
  <si>
    <t>PIG HL | PIG HL — ALTA (170-190 KG/M³) | DN 38''</t>
  </si>
  <si>
    <t>PIG HL | PIG HL — ALTA (170-190 KG/M³) | DN 40''</t>
  </si>
  <si>
    <t>PIG HL | PIG HL — ALTA (170-190 KG/M³) | DN 42''</t>
  </si>
  <si>
    <t>PIG HL | PIG HL — ALTA (170-190 KG/M³) | DN 44''</t>
  </si>
  <si>
    <t>PIG HLR | PIG HLR — MÉDIA (140-160 KG/M³) | DN 2''</t>
  </si>
  <si>
    <t>PIG HLR</t>
  </si>
  <si>
    <t>PIG HLR — MÉDIA (140-160 KG/M³)</t>
  </si>
  <si>
    <t>PIG HLR | PIG HLR — MÉDIA (140-160 KG/M³) | DN 3''</t>
  </si>
  <si>
    <t>PIG HLR | PIG HLR — MÉDIA (140-160 KG/M³) | DN 4''</t>
  </si>
  <si>
    <t>PIG HLR | PIG HLR — MÉDIA (140-160 KG/M³) | DN 6''</t>
  </si>
  <si>
    <t>PIG HLR | PIG HLR — MÉDIA (140-160 KG/M³) | DN 7''</t>
  </si>
  <si>
    <t>PIG HLR | PIG HLR — MÉDIA (140-160 KG/M³) | DN 8''</t>
  </si>
  <si>
    <t>PIG HLR | PIG HLR — MÉDIA (140-160 KG/M³) | DN 10''</t>
  </si>
  <si>
    <t>PIG HLR | PIG HLR — MÉDIA (140-160 KG/M³) | DN 12''</t>
  </si>
  <si>
    <t>PIG HLR | PIG HLR — MÉDIA (140-160 KG/M³) | DN 14''</t>
  </si>
  <si>
    <t>PIG HLR | PIG HLR — MÉDIA (140-160 KG/M³) | DN 16''</t>
  </si>
  <si>
    <t>PIG HLR | PIG HLR — MÉDIA (140-160 KG/M³) | DN 18''</t>
  </si>
  <si>
    <t>PIG HLR | PIG HLR — MÉDIA (140-160 KG/M³) | DN 20''</t>
  </si>
  <si>
    <t>PIG HLR | PIG HLR — MÉDIA (140-160 KG/M³) | DN 22''</t>
  </si>
  <si>
    <t>PIG HLR | PIG HLR — MÉDIA (140-160 KG/M³) | DN 24''</t>
  </si>
  <si>
    <t>PIG HLR | PIG HLR — MÉDIA (140-160 KG/M³) | DN 26''</t>
  </si>
  <si>
    <t>PIG HLR | PIG HLR — MÉDIA (140-160 KG/M³) | DN 28''</t>
  </si>
  <si>
    <t>PIG HLR | PIG HLR — MÉDIA (140-160 KG/M³) | DN 30''</t>
  </si>
  <si>
    <t>PIG HLR | PIG HLR — MÉDIA (140-160 KG/M³) | DN 32''</t>
  </si>
  <si>
    <t>PIG HLR | PIG HLR — MÉDIA (140-160 KG/M³) | DN 34''</t>
  </si>
  <si>
    <t>PIG HLR | PIG HLR — MÉDIA (140-160 KG/M³) | DN 36''</t>
  </si>
  <si>
    <t>PIG HLR | PIG HLR — MÉDIA (140-160 KG/M³) | DN 38''</t>
  </si>
  <si>
    <t>PIG HLR | PIG HLR — MÉDIA (140-160 KG/M³) | DN 40''</t>
  </si>
  <si>
    <t>PIG HLR | PIG HLR — MÉDIA (140-160 KG/M³) | DN 42''</t>
  </si>
  <si>
    <t>PIG HLR | PIG HLR — MÉDIA (140-160 KG/M³) | DN 44''</t>
  </si>
  <si>
    <t>PIG HLR | PIG HLR — ALTA (170-190 KG/M³) | DN 2''</t>
  </si>
  <si>
    <t>PIG HLR — ALTA (170-190 KG/M³)</t>
  </si>
  <si>
    <t>PIG HLR | PIG HLR — ALTA (170-190 KG/M³) | DN 3''</t>
  </si>
  <si>
    <t>PIG HLR | PIG HLR — ALTA (170-190 KG/M³) | DN 4''</t>
  </si>
  <si>
    <t>PIG HLR | PIG HLR — ALTA (170-190 KG/M³) | DN 6''</t>
  </si>
  <si>
    <t>PIG HLR | PIG HLR — ALTA (170-190 KG/M³) | DN 7''</t>
  </si>
  <si>
    <t>PIG HLR | PIG HLR — ALTA (170-190 KG/M³) | DN 8''</t>
  </si>
  <si>
    <t>PIG HLR | PIG HLR — ALTA (170-190 KG/M³) | DN 10''</t>
  </si>
  <si>
    <t>PIG HLR | PIG HLR — ALTA (170-190 KG/M³) | DN 12''</t>
  </si>
  <si>
    <t>PIG HLR | PIG HLR — ALTA (170-190 KG/M³) | DN 14''</t>
  </si>
  <si>
    <t>PIG HLR | PIG HLR — ALTA (170-190 KG/M³) | DN 16''</t>
  </si>
  <si>
    <t>PIG HLR | PIG HLR — ALTA (170-190 KG/M³) | DN 18''</t>
  </si>
  <si>
    <t>PIG HLR | PIG HLR — ALTA (170-190 KG/M³) | DN 20''</t>
  </si>
  <si>
    <t>PIG HLR | PIG HLR — ALTA (170-190 KG/M³) | DN 22''</t>
  </si>
  <si>
    <t>PIG HLR | PIG HLR — ALTA (170-190 KG/M³) | DN 24''</t>
  </si>
  <si>
    <t>PIG HLR | PIG HLR — ALTA (170-190 KG/M³) | DN 26''</t>
  </si>
  <si>
    <t>PIG HLR | PIG HLR — ALTA (170-190 KG/M³) | DN 28''</t>
  </si>
  <si>
    <t>PIG HLR | PIG HLR — ALTA (170-190 KG/M³) | DN 30''</t>
  </si>
  <si>
    <t>PIG HLR | PIG HLR — ALTA (170-190 KG/M³) | DN 32''</t>
  </si>
  <si>
    <t>PIG HLR | PIG HLR — ALTA (170-190 KG/M³) | DN 34''</t>
  </si>
  <si>
    <t>PIG HLR | PIG HLR — ALTA (170-190 KG/M³) | DN 36''</t>
  </si>
  <si>
    <t>PIG HLR | PIG HLR — ALTA (170-190 KG/M³) | DN 38''</t>
  </si>
  <si>
    <t>PIG HLR | PIG HLR — ALTA (170-190 KG/M³) | DN 40''</t>
  </si>
  <si>
    <t>PIG HLR | PIG HLR — ALTA (170-190 KG/M³) | DN 42''</t>
  </si>
  <si>
    <t>PIG HLR | PIG HLR — ALTA (170-190 KG/M³) | DN 44''</t>
  </si>
  <si>
    <t>PIG HLR X | PIG HLR X — MÉDIA (140-160 KG/M³) | DN 2''</t>
  </si>
  <si>
    <t>PIG HLR X</t>
  </si>
  <si>
    <t>PIG HLR X — MÉDIA (140-160 KG/M³)</t>
  </si>
  <si>
    <t>PIG HLR X | PIG HLR X — MÉDIA (140-160 KG/M³) | DN 3''</t>
  </si>
  <si>
    <t>PIG HLR X | PIG HLR X — MÉDIA (140-160 KG/M³) | DN 4''</t>
  </si>
  <si>
    <t>PIG HLR X | PIG HLR X — MÉDIA (140-160 KG/M³) | DN 6''</t>
  </si>
  <si>
    <t>PIG HLR X | PIG HLR X — MÉDIA (140-160 KG/M³) | DN 7''</t>
  </si>
  <si>
    <t>PIG HLR X | PIG HLR X — MÉDIA (140-160 KG/M³) | DN 8''</t>
  </si>
  <si>
    <t>PIG HLR X | PIG HLR X — MÉDIA (140-160 KG/M³) | DN 10''</t>
  </si>
  <si>
    <t>PIG HLR X | PIG HLR X — MÉDIA (140-160 KG/M³) | DN 12''</t>
  </si>
  <si>
    <t>PIG HLR X | PIG HLR X — MÉDIA (140-160 KG/M³) | DN 14''</t>
  </si>
  <si>
    <t>PIG HLR X | PIG HLR X — MÉDIA (140-160 KG/M³) | DN 16''</t>
  </si>
  <si>
    <t>PIG HLR X | PIG HLR X — MÉDIA (140-160 KG/M³) | DN 18''</t>
  </si>
  <si>
    <t>PIG HLR X | PIG HLR X — MÉDIA (140-160 KG/M³) | DN 20''</t>
  </si>
  <si>
    <t>PIG HLR X | PIG HLR X — MÉDIA (140-160 KG/M³) | DN 22''</t>
  </si>
  <si>
    <t>PIG HLR X | PIG HLR X — MÉDIA (140-160 KG/M³) | DN 24''</t>
  </si>
  <si>
    <t>PIG HLR X | PIG HLR X — MÉDIA (140-160 KG/M³) | DN 26''</t>
  </si>
  <si>
    <t>PIG HLR X | PIG HLR X — MÉDIA (140-160 KG/M³) | DN 28''</t>
  </si>
  <si>
    <t>PIG HLR X | PIG HLR X — MÉDIA (140-160 KG/M³) | DN 30''</t>
  </si>
  <si>
    <t>PIG HLR X | PIG HLR X — MÉDIA (140-160 KG/M³) | DN 32''</t>
  </si>
  <si>
    <t>PIG HLR X | PIG HLR X — MÉDIA (140-160 KG/M³) | DN 34''</t>
  </si>
  <si>
    <t>PIG HLR X | PIG HLR X — MÉDIA (140-160 KG/M³) | DN 36''</t>
  </si>
  <si>
    <t>PIG HLR X | PIG HLR X — MÉDIA (140-160 KG/M³) | DN 38''</t>
  </si>
  <si>
    <t>PIG HLR X | PIG HLR X — MÉDIA (140-160 KG/M³) | DN 40''</t>
  </si>
  <si>
    <t>PIG HLR X | PIG HLR X — MÉDIA (140-160 KG/M³) | DN 42''</t>
  </si>
  <si>
    <t>PIG HLR X | PIG HLR X — MÉDIA (140-160 KG/M³) | DN 44''</t>
  </si>
  <si>
    <t>PIG HLR X | PIG HLR X — ALTA (170-190 KG/M³) | DN 2''</t>
  </si>
  <si>
    <t>PIG HLR X — ALTA (170-190 KG/M³)</t>
  </si>
  <si>
    <t>PIG HLR X | PIG HLR X — ALTA (170-190 KG/M³) | DN 3''</t>
  </si>
  <si>
    <t>PIG HLR X | PIG HLR X — ALTA (170-190 KG/M³) | DN 4''</t>
  </si>
  <si>
    <t>PIG HLR X | PIG HLR X — ALTA (170-190 KG/M³) | DN 6''</t>
  </si>
  <si>
    <t>PIG HLR X | PIG HLR X — ALTA (170-190 KG/M³) | DN 7''</t>
  </si>
  <si>
    <t>PIG HLR X | PIG HLR X — ALTA (170-190 KG/M³) | DN 8''</t>
  </si>
  <si>
    <t>PIG HLR X | PIG HLR X — ALTA (170-190 KG/M³) | DN 10''</t>
  </si>
  <si>
    <t>PIG HLR X | PIG HLR X — ALTA (170-190 KG/M³) | DN 12''</t>
  </si>
  <si>
    <t>PIG HLR X | PIG HLR X — ALTA (170-190 KG/M³) | DN 14''</t>
  </si>
  <si>
    <t>PIG HLR X | PIG HLR X — ALTA (170-190 KG/M³) | DN 16''</t>
  </si>
  <si>
    <t>PIG HLR X | PIG HLR X — ALTA (170-190 KG/M³) | DN 18''</t>
  </si>
  <si>
    <t>PIG HLR X | PIG HLR X — ALTA (170-190 KG/M³) | DN 20''</t>
  </si>
  <si>
    <t>PIG HLR X | PIG HLR X — ALTA (170-190 KG/M³) | DN 22''</t>
  </si>
  <si>
    <t>PIG HLR X | PIG HLR X — ALTA (170-190 KG/M³) | DN 24''</t>
  </si>
  <si>
    <t>PIG HLR X | PIG HLR X — ALTA (170-190 KG/M³) | DN 26''</t>
  </si>
  <si>
    <t>PIG HLR X | PIG HLR X — ALTA (170-190 KG/M³) | DN 28''</t>
  </si>
  <si>
    <t>PIG HLR X | PIG HLR X — ALTA (170-190 KG/M³) | DN 30''</t>
  </si>
  <si>
    <t>PIG HLR X | PIG HLR X — ALTA (170-190 KG/M³) | DN 32''</t>
  </si>
  <si>
    <t>PIG HLR X | PIG HLR X — ALTA (170-190 KG/M³) | DN 34''</t>
  </si>
  <si>
    <t>PIG HLR X | PIG HLR X — ALTA (170-190 KG/M³) | DN 36''</t>
  </si>
  <si>
    <t>PIG HLR X | PIG HLR X — ALTA (170-190 KG/M³) | DN 38''</t>
  </si>
  <si>
    <t>PIG HLR X | PIG HLR X — ALTA (170-190 KG/M³) | DN 40''</t>
  </si>
  <si>
    <t>PIG HLR X | PIG HLR X — ALTA (170-190 KG/M³) | DN 42''</t>
  </si>
  <si>
    <t>PIG HLR X | PIG HLR X — ALTA (170-190 KG/M³) | DN 44''</t>
  </si>
  <si>
    <t>PIG HLR R | PIG HLR R — MÉDIA (140-160 KG/M³) | DN 2''</t>
  </si>
  <si>
    <t>PIG HLR R</t>
  </si>
  <si>
    <t>PIG HLR R — MÉDIA (140-160 KG/M³)</t>
  </si>
  <si>
    <t>PIG HLR R | PIG HLR R — MÉDIA (140-160 KG/M³) | DN 3''</t>
  </si>
  <si>
    <t>PIG HLR R | PIG HLR R — MÉDIA (140-160 KG/M³) | DN 4''</t>
  </si>
  <si>
    <t>PIG HLR R | PIG HLR R — MÉDIA (140-160 KG/M³) | DN 6''</t>
  </si>
  <si>
    <t>PIG HLR R | PIG HLR R — MÉDIA (140-160 KG/M³) | DN 7''</t>
  </si>
  <si>
    <t>PIG HLR R | PIG HLR R — MÉDIA (140-160 KG/M³) | DN 8''</t>
  </si>
  <si>
    <t>PIG HLR R | PIG HLR R — MÉDIA (140-160 KG/M³) | DN 10''</t>
  </si>
  <si>
    <t>PIG HLR R | PIG HLR R — MÉDIA (140-160 KG/M³) | DN 12''</t>
  </si>
  <si>
    <t>PIG HLR R | PIG HLR R — MÉDIA (140-160 KG/M³) | DN 14''</t>
  </si>
  <si>
    <t>PIG HLR R | PIG HLR R — MÉDIA (140-160 KG/M³) | DN 16''</t>
  </si>
  <si>
    <t>PIG HLR R | PIG HLR R — MÉDIA (140-160 KG/M³) | DN 18''</t>
  </si>
  <si>
    <t>PIG HLR R | PIG HLR R — MÉDIA (140-160 KG/M³) | DN 20''</t>
  </si>
  <si>
    <t>PIG HLR R | PIG HLR R — MÉDIA (140-160 KG/M³) | DN 22''</t>
  </si>
  <si>
    <t>PIG HLR R | PIG HLR R — MÉDIA (140-160 KG/M³) | DN 24''</t>
  </si>
  <si>
    <t>PIG HLR R | PIG HLR R — MÉDIA (140-160 KG/M³) | DN 26''</t>
  </si>
  <si>
    <t>PIG HLR R | PIG HLR R — MÉDIA (140-160 KG/M³) | DN 28''</t>
  </si>
  <si>
    <t>PIG HLR R | PIG HLR R — MÉDIA (140-160 KG/M³) | DN 30''</t>
  </si>
  <si>
    <t>PIG HLR R | PIG HLR R — MÉDIA (140-160 KG/M³) | DN 32''</t>
  </si>
  <si>
    <t>PIG HLR R | PIG HLR R — MÉDIA (140-160 KG/M³) | DN 34''</t>
  </si>
  <si>
    <t>PIG HLR R | PIG HLR R — MÉDIA (140-160 KG/M³) | DN 36''</t>
  </si>
  <si>
    <t>PIG HLR R | PIG HLR R — MÉDIA (140-160 KG/M³) | DN 38''</t>
  </si>
  <si>
    <t>PIG HLR R | PIG HLR R — MÉDIA (140-160 KG/M³) | DN 40''</t>
  </si>
  <si>
    <t>PIG HLR R | PIG HLR R — MÉDIA (140-160 KG/M³) | DN 42''</t>
  </si>
  <si>
    <t>PIG HLR R | PIG HLR R — MÉDIA (140-160 KG/M³) | DN 44''</t>
  </si>
  <si>
    <t>PIG HLR R | PIG HLR R — ALTA (170-190 KG/M³) | DN 2''</t>
  </si>
  <si>
    <t>PIG HLR R — ALTA (170-190 KG/M³)</t>
  </si>
  <si>
    <t>PIG HLR R | PIG HLR R — ALTA (170-190 KG/M³) | DN 3''</t>
  </si>
  <si>
    <t>PIG HLR R | PIG HLR R — ALTA (170-190 KG/M³) | DN 4''</t>
  </si>
  <si>
    <t>PIG HLR R | PIG HLR R — ALTA (170-190 KG/M³) | DN 6''</t>
  </si>
  <si>
    <t>PIG HLR R | PIG HLR R — ALTA (170-190 KG/M³) | DN 7''</t>
  </si>
  <si>
    <t>PIG HLR R | PIG HLR R — ALTA (170-190 KG/M³) | DN 8''</t>
  </si>
  <si>
    <t>PIG HLR R | PIG HLR R — ALTA (170-190 KG/M³) | DN 10''</t>
  </si>
  <si>
    <t>PIG HLR R | PIG HLR R — ALTA (170-190 KG/M³) | DN 12''</t>
  </si>
  <si>
    <t>PIG HLR R | PIG HLR R — ALTA (170-190 KG/M³) | DN 14''</t>
  </si>
  <si>
    <t>PIG HLR R | PIG HLR R — ALTA (170-190 KG/M³) | DN 16''</t>
  </si>
  <si>
    <t>PIG HLR R | PIG HLR R — ALTA (170-190 KG/M³) | DN 18''</t>
  </si>
  <si>
    <t>PIG HLR R | PIG HLR R — ALTA (170-190 KG/M³) | DN 20''</t>
  </si>
  <si>
    <t>PIG HLR R | PIG HLR R — ALTA (170-190 KG/M³) | DN 22''</t>
  </si>
  <si>
    <t>PIG HLR R | PIG HLR R — ALTA (170-190 KG/M³) | DN 24''</t>
  </si>
  <si>
    <t>PIG HLR R | PIG HLR R — ALTA (170-190 KG/M³) | DN 26''</t>
  </si>
  <si>
    <t>PIG HLR R | PIG HLR R — ALTA (170-190 KG/M³) | DN 28''</t>
  </si>
  <si>
    <t>PIG HLR R | PIG HLR R — ALTA (170-190 KG/M³) | DN 30''</t>
  </si>
  <si>
    <t>PIG HLR R | PIG HLR R — ALTA (170-190 KG/M³) | DN 32''</t>
  </si>
  <si>
    <t>PIG HLR R | PIG HLR R — ALTA (170-190 KG/M³) | DN 34''</t>
  </si>
  <si>
    <t>PIG HLR R | PIG HLR R — ALTA (170-190 KG/M³) | DN 36''</t>
  </si>
  <si>
    <t>PIG HLR R | PIG HLR R — ALTA (170-190 KG/M³) | DN 38''</t>
  </si>
  <si>
    <t>PIG HLR R | PIG HLR R — ALTA (170-190 KG/M³) | DN 40''</t>
  </si>
  <si>
    <t>PIG HLR R | PIG HLR R — ALTA (170-190 KG/M³) | DN 42''</t>
  </si>
  <si>
    <t>PIG HLR R | PIG HLR R — ALTA (170-190 KG/M³) | DN 44''</t>
  </si>
  <si>
    <t>PIG HLR V | PIG HLR V — MÉDIA (140-160 KG/M³) | DN 2''</t>
  </si>
  <si>
    <t>PIG HLR V</t>
  </si>
  <si>
    <t>PIG HLR V — MÉDIA (140-160 KG/M³)</t>
  </si>
  <si>
    <t>PIG HLR V | PIG HLR V — MÉDIA (140-160 KG/M³) | DN 3''</t>
  </si>
  <si>
    <t>PIG HLR V | PIG HLR V — MÉDIA (140-160 KG/M³) | DN 4''</t>
  </si>
  <si>
    <t>PIG HLR V | PIG HLR V — MÉDIA (140-160 KG/M³) | DN 6''</t>
  </si>
  <si>
    <t>PIG HLR V | PIG HLR V — MÉDIA (140-160 KG/M³) | DN 7''</t>
  </si>
  <si>
    <t>PIG HLR V | PIG HLR V — MÉDIA (140-160 KG/M³) | DN 8''</t>
  </si>
  <si>
    <t>PIG HLR V | PIG HLR V — MÉDIA (140-160 KG/M³) | DN 10''</t>
  </si>
  <si>
    <t>PIG HLR V | PIG HLR V — MÉDIA (140-160 KG/M³) | DN 12''</t>
  </si>
  <si>
    <t>PIG HLR V | PIG HLR V — MÉDIA (140-160 KG/M³) | DN 14''</t>
  </si>
  <si>
    <t>PIG HLR V | PIG HLR V — MÉDIA (140-160 KG/M³) | DN 16''</t>
  </si>
  <si>
    <t>PIG HLR V | PIG HLR V — MÉDIA (140-160 KG/M³) | DN 18''</t>
  </si>
  <si>
    <t>PIG HLR V | PIG HLR V — MÉDIA (140-160 KG/M³) | DN 20''</t>
  </si>
  <si>
    <t>PIG HLR V | PIG HLR V — MÉDIA (140-160 KG/M³) | DN 22''</t>
  </si>
  <si>
    <t>PIG HLR V | PIG HLR V — MÉDIA (140-160 KG/M³) | DN 24''</t>
  </si>
  <si>
    <t>PIG HLR V | PIG HLR V — MÉDIA (140-160 KG/M³) | DN 26''</t>
  </si>
  <si>
    <t>PIG HLR V | PIG HLR V — MÉDIA (140-160 KG/M³) | DN 28''</t>
  </si>
  <si>
    <t>PIG HLR V | PIG HLR V — MÉDIA (140-160 KG/M³) | DN 30''</t>
  </si>
  <si>
    <t>PIG HLR V | PIG HLR V — MÉDIA (140-160 KG/M³) | DN 32''</t>
  </si>
  <si>
    <t>PIG HLR V | PIG HLR V — MÉDIA (140-160 KG/M³) | DN 34''</t>
  </si>
  <si>
    <t>PIG HLR V | PIG HLR V — MÉDIA (140-160 KG/M³) | DN 36''</t>
  </si>
  <si>
    <t>PIG HLR V | PIG HLR V — MÉDIA (140-160 KG/M³) | DN 38''</t>
  </si>
  <si>
    <t>PIG HLR V | PIG HLR V — MÉDIA (140-160 KG/M³) | DN 40''</t>
  </si>
  <si>
    <t>PIG HLR V | PIG HLR V — MÉDIA (140-160 KG/M³) | DN 42''</t>
  </si>
  <si>
    <t>PIG HLR V | PIG HLR V — MÉDIA (140-160 KG/M³) | DN 44''</t>
  </si>
  <si>
    <t>PIG HLR V | PIG HLR V — ALTA (170-190 KG/M³) | DN 2''</t>
  </si>
  <si>
    <t>PIG HLR V — ALTA (170-190 KG/M³)</t>
  </si>
  <si>
    <t>PIG HLR V | PIG HLR V — ALTA (170-190 KG/M³) | DN 3''</t>
  </si>
  <si>
    <t>PIG HLR V | PIG HLR V — ALTA (170-190 KG/M³) | DN 4''</t>
  </si>
  <si>
    <t>PIG HLR V | PIG HLR V — ALTA (170-190 KG/M³) | DN 6''</t>
  </si>
  <si>
    <t>PIG HLR V | PIG HLR V — ALTA (170-190 KG/M³) | DN 7''</t>
  </si>
  <si>
    <t>PIG HLR V | PIG HLR V — ALTA (170-190 KG/M³) | DN 8''</t>
  </si>
  <si>
    <t>PIG HLR V | PIG HLR V — ALTA (170-190 KG/M³) | DN 10''</t>
  </si>
  <si>
    <t>PIG HLR V | PIG HLR V — ALTA (170-190 KG/M³) | DN 12''</t>
  </si>
  <si>
    <t>PIG HLR V | PIG HLR V — ALTA (170-190 KG/M³) | DN 14''</t>
  </si>
  <si>
    <t>PIG HLR V | PIG HLR V — ALTA (170-190 KG/M³) | DN 16''</t>
  </si>
  <si>
    <t>PIG HLR V | PIG HLR V — ALTA (170-190 KG/M³) | DN 18''</t>
  </si>
  <si>
    <t>PIG HLR V | PIG HLR V — ALTA (170-190 KG/M³) | DN 20''</t>
  </si>
  <si>
    <t>PIG HLR V | PIG HLR V — ALTA (170-190 KG/M³) | DN 22''</t>
  </si>
  <si>
    <t>PIG HLR V | PIG HLR V — ALTA (170-190 KG/M³) | DN 24''</t>
  </si>
  <si>
    <t>PIG HLR V | PIG HLR V — ALTA (170-190 KG/M³) | DN 26''</t>
  </si>
  <si>
    <t>PIG HLR V | PIG HLR V — ALTA (170-190 KG/M³) | DN 28''</t>
  </si>
  <si>
    <t>PIG HLR V | PIG HLR V — ALTA (170-190 KG/M³) | DN 30''</t>
  </si>
  <si>
    <t>PIG HLR V | PIG HLR V — ALTA (170-190 KG/M³) | DN 32''</t>
  </si>
  <si>
    <t>PIG HLR V | PIG HLR V — ALTA (170-190 KG/M³) | DN 34''</t>
  </si>
  <si>
    <t>PIG HLR V | PIG HLR V — ALTA (170-190 KG/M³) | DN 36''</t>
  </si>
  <si>
    <t>PIG HLR V | PIG HLR V — ALTA (170-190 KG/M³) | DN 38''</t>
  </si>
  <si>
    <t>PIG HLR V | PIG HLR V — ALTA (170-190 KG/M³) | DN 40''</t>
  </si>
  <si>
    <t>PIG HLR V | PIG HLR V — ALTA (170-190 KG/M³) | DN 42''</t>
  </si>
  <si>
    <t>PIG HLR V | PIG HLR V — ALTA (170-190 KG/M³) | DN 44''</t>
  </si>
  <si>
    <t>PIG HDISC | PIG HDISC — MÉDIA (140-160 KG/M³) | DN 2''</t>
  </si>
  <si>
    <t>PIG HDISC</t>
  </si>
  <si>
    <t>PIG HDISC — MÉDIA (140-160 KG/M³)</t>
  </si>
  <si>
    <t>PIG HDISC | PIG HDISC — MÉDIA (140-160 KG/M³) | DN 3''</t>
  </si>
  <si>
    <t>PIG HDISC | PIG HDISC — MÉDIA (140-160 KG/M³) | DN 4''</t>
  </si>
  <si>
    <t>PIG HDISC | PIG HDISC — MÉDIA (140-160 KG/M³) | DN 6''</t>
  </si>
  <si>
    <t>PIG HDISC | PIG HDISC — MÉDIA (140-160 KG/M³) | DN 7''</t>
  </si>
  <si>
    <t>PIG HDISC | PIG HDISC — MÉDIA (140-160 KG/M³) | DN 8''</t>
  </si>
  <si>
    <t>PIG HDISC | PIG HDISC — MÉDIA (140-160 KG/M³) | DN 10''</t>
  </si>
  <si>
    <t>PIG HDISC | PIG HDISC — MÉDIA (140-160 KG/M³) | DN 12''</t>
  </si>
  <si>
    <t>PIG HDISC | PIG HDISC — MÉDIA (140-160 KG/M³) | DN 14''</t>
  </si>
  <si>
    <t>PIG HDISC | PIG HDISC — MÉDIA (140-160 KG/M³) | DN 16''</t>
  </si>
  <si>
    <t>PIG HDISC | PIG HDISC — MÉDIA (140-160 KG/M³) | DN 18''</t>
  </si>
  <si>
    <t>PIG HDISC | PIG HDISC — MÉDIA (140-160 KG/M³) | DN 20''</t>
  </si>
  <si>
    <t>PIG HDISC | PIG HDISC — MÉDIA (140-160 KG/M³) | DN 22''</t>
  </si>
  <si>
    <t>PIG HDISC | PIG HDISC — MÉDIA (140-160 KG/M³) | DN 24''</t>
  </si>
  <si>
    <t>PIG HDISC | PIG HDISC — MÉDIA (140-160 KG/M³) | DN 26''</t>
  </si>
  <si>
    <t>PIG HDISC | PIG HDISC — MÉDIA (140-160 KG/M³) | DN 28''</t>
  </si>
  <si>
    <t>PIG HDISC | PIG HDISC — MÉDIA (140-160 KG/M³) | DN 30''</t>
  </si>
  <si>
    <t>PIG HDISC | PIG HDISC — MÉDIA (140-160 KG/M³) | DN 32''</t>
  </si>
  <si>
    <t>PIG HDISC | PIG HDISC — MÉDIA (140-160 KG/M³) | DN 34''</t>
  </si>
  <si>
    <t>PIG HDISC | PIG HDISC — MÉDIA (140-160 KG/M³) | DN 36''</t>
  </si>
  <si>
    <t>PIG HDISC | PIG HDISC — MÉDIA (140-160 KG/M³) | DN 38''</t>
  </si>
  <si>
    <t>PIG HDISC | PIG HDISC — MÉDIA (140-160 KG/M³) | DN 40''</t>
  </si>
  <si>
    <t>PIG HDISC | PIG HDISC — MÉDIA (140-160 KG/M³) | DN 42''</t>
  </si>
  <si>
    <t>PIG HDISC | PIG HDISC — MÉDIA (140-160 KG/M³) | DN 44''</t>
  </si>
  <si>
    <t>PIG HDISC | PIG HDISC — ALTA (170-190 KG/M³) | DN 2''</t>
  </si>
  <si>
    <t>PIG HDISC — ALTA (170-190 KG/M³)</t>
  </si>
  <si>
    <t>PIG HDISC | PIG HDISC — ALTA (170-190 KG/M³) | DN 3''</t>
  </si>
  <si>
    <t>PIG HDISC | PIG HDISC — ALTA (170-190 KG/M³) | DN 4''</t>
  </si>
  <si>
    <t>PIG HDISC | PIG HDISC — ALTA (170-190 KG/M³) | DN 6''</t>
  </si>
  <si>
    <t>PIG HDISC | PIG HDISC — ALTA (170-190 KG/M³) | DN 7''</t>
  </si>
  <si>
    <t>PIG HDISC | PIG HDISC — ALTA (170-190 KG/M³) | DN 8''</t>
  </si>
  <si>
    <t>PIG HDISC | PIG HDISC — ALTA (170-190 KG/M³) | DN 10''</t>
  </si>
  <si>
    <t>PIG HDISC | PIG HDISC — ALTA (170-190 KG/M³) | DN 12''</t>
  </si>
  <si>
    <t>PIG HDISC | PIG HDISC — ALTA (170-190 KG/M³) | DN 14''</t>
  </si>
  <si>
    <t>PIG HDISC | PIG HDISC — ALTA (170-190 KG/M³) | DN 16''</t>
  </si>
  <si>
    <t>PIG HDISC | PIG HDISC — ALTA (170-190 KG/M³) | DN 18''</t>
  </si>
  <si>
    <t>PIG HDISC | PIG HDISC — ALTA (170-190 KG/M³) | DN 20''</t>
  </si>
  <si>
    <t>PIG HDISC | PIG HDISC — ALTA (170-190 KG/M³) | DN 22''</t>
  </si>
  <si>
    <t>PIG HDISC | PIG HDISC — ALTA (170-190 KG/M³) | DN 24''</t>
  </si>
  <si>
    <t>PIG HDISC | PIG HDISC — ALTA (170-190 KG/M³) | DN 26''</t>
  </si>
  <si>
    <t>PIG HDISC | PIG HDISC — ALTA (170-190 KG/M³) | DN 28''</t>
  </si>
  <si>
    <t>PIG HDISC | PIG HDISC — ALTA (170-190 KG/M³) | DN 30''</t>
  </si>
  <si>
    <t>PIG HDISC | PIG HDISC — ALTA (170-190 KG/M³) | DN 32''</t>
  </si>
  <si>
    <t>PIG HDISC | PIG HDISC — ALTA (170-190 KG/M³) | DN 34''</t>
  </si>
  <si>
    <t>PIG HDISC | PIG HDISC — ALTA (170-190 KG/M³) | DN 36''</t>
  </si>
  <si>
    <t>PIG HDISC | PIG HDISC — ALTA (170-190 KG/M³) | DN 38''</t>
  </si>
  <si>
    <t>PIG HDISC | PIG HDISC — ALTA (170-190 KG/M³) | DN 40''</t>
  </si>
  <si>
    <t>PIG HDISC | PIG HDISC — ALTA (170-190 KG/M³) | DN 42''</t>
  </si>
  <si>
    <t>PIG HDISC | PIG HDISC — ALTA (170-190 KG/M³) | DN 44''</t>
  </si>
  <si>
    <t>PIG HLCC | PIG HLCC — MÉDIA (140-160 KG/M³) | DN 2''</t>
  </si>
  <si>
    <t>PIG HLCC</t>
  </si>
  <si>
    <t>PIG HLCC — MÉDIA (140-160 KG/M³)</t>
  </si>
  <si>
    <t>PIG HLCC | PIG HLCC — MÉDIA (140-160 KG/M³) | DN 3''</t>
  </si>
  <si>
    <t>PIG HLCC | PIG HLCC — MÉDIA (140-160 KG/M³) | DN 4''</t>
  </si>
  <si>
    <t>PIG HLCC | PIG HLCC — MÉDIA (140-160 KG/M³) | DN 6''</t>
  </si>
  <si>
    <t>PIG HLCC | PIG HLCC — MÉDIA (140-160 KG/M³) | DN 7''</t>
  </si>
  <si>
    <t>PIG HLCC | PIG HLCC — MÉDIA (140-160 KG/M³) | DN 8''</t>
  </si>
  <si>
    <t>PIG HLCC | PIG HLCC — MÉDIA (140-160 KG/M³) | DN 9,5''</t>
  </si>
  <si>
    <t>9,5''</t>
  </si>
  <si>
    <t>PIG HLCC PC | PIG HLCC PC — MÉDIA (140-160 KG/M³) | DN 2''</t>
  </si>
  <si>
    <t>PIG HLCC PC</t>
  </si>
  <si>
    <t>PIG HLCC PC — MÉDIA (140-160 KG/M³)</t>
  </si>
  <si>
    <t>PIG HLCC PC | PIG HLCC PC — MÉDIA (140-160 KG/M³) | DN 3''</t>
  </si>
  <si>
    <t>PIG HLCC PC | PIG HLCC PC — MÉDIA (140-160 KG/M³) | DN 4''</t>
  </si>
  <si>
    <t>PIG HLCC PC | PIG HLCC PC — MÉDIA (140-160 KG/M³) | DN 6''</t>
  </si>
  <si>
    <t>PIG HLCC PC | PIG HLCC PC — MÉDIA (140-160 KG/M³) | DN 7''</t>
  </si>
  <si>
    <t>PIG HLCC PC | PIG HLCC PC — MÉDIA (140-160 KG/M³) | DN 8''</t>
  </si>
  <si>
    <t>PIG HLCC PC | PIG HLCC PC — MÉDIA (140-160 KG/M³) | DN 9,5''</t>
  </si>
  <si>
    <t>📈 EVOLUÇÃO DE CUSTOS — HISTÓRICO DE PREÇOS (MATÉRIA-PRIMA E PRODUTO)</t>
  </si>
  <si>
    <t>Toda vez que o preço de uma matéria-prima ou produto mudar, adicione uma nova linha na tabela "REGISTRO DE ATUALIZAÇÕES" (à direita). A matriz mensal e o painel de consulta abaixo são atualizados automaticamente — nada precisa ser recalculado à mão.</t>
  </si>
  <si>
    <t>🔵 Texto azul = você pode digitar/editar aqui   |   ⚫ Texto preto = calculado automaticamente (não editar)</t>
  </si>
  <si>
    <t>🔎 CONSULTAR EVOLUÇÃO DE UM ITEM</t>
  </si>
  <si>
    <t>Item (matéria-prima ou produto):</t>
  </si>
  <si>
    <t>ATS 85 PRÉ-POLÍMERO (AMINO) TDI</t>
  </si>
  <si>
    <t>Preço mais recente (R$):</t>
  </si>
  <si>
    <t>Data do preço mais recente:</t>
  </si>
  <si>
    <t>Preço anterior (R$):</t>
  </si>
  <si>
    <t>Data do preço anterior:</t>
  </si>
  <si>
    <t>Variação (último vs. anterior):</t>
  </si>
  <si>
    <t>Preço no 1º registro (R$):</t>
  </si>
  <si>
    <t>Data do 1º registro:</t>
  </si>
  <si>
    <t>Variação total (desde o 1º registro):</t>
  </si>
  <si>
    <t>Nº de atualizações registradas:</t>
  </si>
  <si>
    <t>🗓  MATRIZ DE EVOLUÇÃO MENSAL — PREÇO NO FIM DE CADA MÊS (R$)</t>
  </si>
  <si>
    <t>📝  REGISTRO DE ATUALIZAÇÕES DE PREÇO (LOG) — adicione uma linha nova a cada atualização</t>
  </si>
  <si>
    <t>ITEM (MATÉRIA-PRIMA / PRODUTO)</t>
  </si>
  <si>
    <t>TIPO</t>
  </si>
  <si>
    <t>DATA</t>
  </si>
  <si>
    <t>ITEM (use o mesmo nome da matriz à esquerda)</t>
  </si>
  <si>
    <t>FORNECEDOR / FONTE</t>
  </si>
  <si>
    <t>PREÇO (R$)</t>
  </si>
  <si>
    <t>PREÇO ANTERIOR (R$)</t>
  </si>
  <si>
    <t>VARIAÇÃO (%)</t>
  </si>
  <si>
    <t>CHAVE (auto)</t>
  </si>
  <si>
    <t>12-70 A PRÉ-POLÍMERO TDI</t>
  </si>
  <si>
    <t>Matéria-Prima</t>
  </si>
  <si>
    <t>12-83 PRÉ-POLÍMERO TDI</t>
  </si>
  <si>
    <t>COIM</t>
  </si>
  <si>
    <t>Carga inicial (migrado da aba 'PARÂMETROS')</t>
  </si>
  <si>
    <t>MOCA CURATIVO TDI</t>
  </si>
  <si>
    <t>COIM/AMINO</t>
  </si>
  <si>
    <t>8086 PRÉ-POLÍMERO TDI</t>
  </si>
  <si>
    <t>18Q PRÉ-POLÍMERO MDI</t>
  </si>
  <si>
    <t>LANXESS</t>
  </si>
  <si>
    <t>IMUCURE GS234-960 MDI</t>
  </si>
  <si>
    <t>IMUCURE GR 45 1,4 BUTANODIOL</t>
  </si>
  <si>
    <t>8086 BUMPER PRÉ-POLÍMERO TDI</t>
  </si>
  <si>
    <t>ATP 85 PRÉ-POLÍMERO (AMINO) TDI</t>
  </si>
  <si>
    <t>AMINO</t>
  </si>
  <si>
    <t>BLOCO ESPUMA D26 (DINATEC)</t>
  </si>
  <si>
    <t>BLOCO ESPUMA D45 (DINATEC)</t>
  </si>
  <si>
    <t>DINATEC</t>
  </si>
  <si>
    <t>BLOCO ESPUMA D60 (DINATEC)</t>
  </si>
  <si>
    <t>BLOCO ESPUMA D80 (DINATEC)</t>
  </si>
  <si>
    <t>ELASTOMERO 385 TECPUR (kg)</t>
  </si>
  <si>
    <t>MOCA / CURATIVO (kg)</t>
  </si>
  <si>
    <t>TECPUR</t>
  </si>
  <si>
    <t>SISTEMA AMINO 2471 A ALTA (kg)</t>
  </si>
  <si>
    <t>SISTEMA AMINO 2475 A MÉDIA (kg)</t>
  </si>
  <si>
    <t>SISTEMA AMINO 122 B ISO (kg)</t>
  </si>
  <si>
    <t>PIGMENTO (kg) - ASTA QUIMICA</t>
  </si>
  <si>
    <t>CORDA OLHAL (metro)</t>
  </si>
  <si>
    <t>ASTA</t>
  </si>
  <si>
    <t>ESCOVA FINA HLR (metro)</t>
  </si>
  <si>
    <t>COMERCIAL</t>
  </si>
  <si>
    <t>ESCOVA GROSSA HLR (metro)</t>
  </si>
  <si>
    <t>CARDAS BRASIL</t>
  </si>
  <si>
    <t>VELCRO HLR V (metro)</t>
  </si>
  <si>
    <t>COLA SAPATEIRO (kg)</t>
  </si>
  <si>
    <t>CABO DE AÇO (metro)</t>
  </si>
  <si>
    <t>PRENSA CABO 3/16" (unidade)</t>
  </si>
  <si>
    <t>KIT FIXAÇÃO HLCC-PC (conjunto)</t>
  </si>
  <si>
    <t>BARRA ROSCADA 3/4" (metro)</t>
  </si>
  <si>
    <t>BUMPER PU - COIM (kg)</t>
  </si>
  <si>
    <t>⚙  PARÂMETROS — CUSTOS DE PRODUÇÃO 4PIPE</t>
  </si>
  <si>
    <t>⚠  ATENÇÃO: Altere os valores AZUIS nesta aba. Todos os custos de todas as abas serão atualizados automaticamente.</t>
  </si>
  <si>
    <t>💲 CUSTO HH (R$/h):</t>
  </si>
  <si>
    <t>MATÉRIAS-PRIMAS — PU CAST / LBD (POLIURETANO FUNDIDO)</t>
  </si>
  <si>
    <t>#</t>
  </si>
  <si>
    <t>DESCRIÇÃO MATÉRIA-PRIMA</t>
  </si>
  <si>
    <t>FORNECEDOR / REF.</t>
  </si>
  <si>
    <t>DATA ATUALIZAÇÃO</t>
  </si>
  <si>
    <t>MATÉRIAS-PRIMAS — ESPUMA (BLOCOS / ENVASE A+B)</t>
  </si>
  <si>
    <t>PREÇO (R$/kg)</t>
  </si>
  <si>
    <t>ELASTOMERO TECPUR (kg)</t>
  </si>
  <si>
    <t>SISTEMA AMINO A ALTA (kg)</t>
  </si>
  <si>
    <t>SISTEMA AMINO A MÉDIA (kg)</t>
  </si>
  <si>
    <t>SISTEMA AMINO B ISO (kg)</t>
  </si>
  <si>
    <t>HL</t>
  </si>
  <si>
    <t>HLR</t>
  </si>
  <si>
    <t>HLR X</t>
  </si>
  <si>
    <t>HLR V</t>
  </si>
  <si>
    <t>HDISC</t>
  </si>
  <si>
    <t>HLCC</t>
  </si>
  <si>
    <t>HLCC PC</t>
  </si>
  <si>
    <t>🔵 AZUL = Input editável | ⚫ PRETO = Fórmula automática | 🟡 Fundo amarelo = Atenção</t>
  </si>
  <si>
    <t>COMPONENTES CORPO DO PIG — TUBO, FLANGE, PARAFUSO, PORCA, ARRUELA (POR DN) — Fonte: DETALHAMENTO_MANDRIL.xlsx (consolidado)</t>
  </si>
  <si>
    <t>DESCRIÇÃO TUBO</t>
  </si>
  <si>
    <t>CUSTO TUBO (R$)</t>
  </si>
  <si>
    <t>CUSTO FLANGE UN. (R$)</t>
  </si>
  <si>
    <t>CUSTO FLANGE SOLDA (R$)</t>
  </si>
  <si>
    <t>CUSTO PARAFUSO UN. (R$)</t>
  </si>
  <si>
    <t>CUSTO PORCA UN. (R$)</t>
  </si>
  <si>
    <t>CUSTO ARRUELA UN. (R$)</t>
  </si>
  <si>
    <t>Tubo DN 1.1/2'' sch 40</t>
  </si>
  <si>
    <t>Tubo DN 3'' sch 40</t>
  </si>
  <si>
    <t>Tubo DN 4'' sch 40</t>
  </si>
  <si>
    <t>Tubo DN 6'' sch 40</t>
  </si>
  <si>
    <t>Tubo DN 8'' sch 40</t>
  </si>
  <si>
    <t>Tubo DN 10'' sch 40</t>
  </si>
  <si>
    <t>Tubo DN 14'' sch 40</t>
  </si>
  <si>
    <t>🔵 Valores acima são inputs editáveis — alterar aqui atualiza automaticamente a aba LBD (INDEX/MATCH por DN). Detalhamento completo (material, dimensão, fornecedor) nas abas MANDRIL - CORPO DE PIG / POLIURETANO / FIXAÇÃO.</t>
  </si>
  <si>
    <t>PIGS EM BORRACHA — CUSTO COPO DE BORRACHA (R$/un) POR MATERIAL E DN — Fonte: CUSTOS_CATTALINI_JULHO_2026.xlsx</t>
  </si>
  <si>
    <t>EPDM (R$/un)</t>
  </si>
  <si>
    <t>BUNA N (R$/un)</t>
  </si>
  <si>
    <t>VITON (R$/un)</t>
  </si>
  <si>
    <t>PIGS EM BORRACHA — COMPONENTES COMUNS POR DN (EIXO, CABEÇOTE, NYLON, PORCA, FLANGE, HH) — Fonte: CUSTOS_CATTALINI_JULHO_2026.xlsx</t>
  </si>
  <si>
    <t>EIXO (BARRA ROSCADA)</t>
  </si>
  <si>
    <t>CABEÇOTE PU</t>
  </si>
  <si>
    <t>DE NYLON PRETO (2X)</t>
  </si>
  <si>
    <t>PORCA</t>
  </si>
  <si>
    <t>FLANGE (2X)</t>
  </si>
  <si>
    <t>HH MONTAGEM+QUALIDADE+PCP</t>
  </si>
  <si>
    <t>🔵 Valores acima são inputs editáveis — alterar aqui atualiza automaticamente a aba PIGS EM BORRACHA (INDEX/MATCH por DN/material). Fonte original: CUSTOS_CATTALINI_JULHO_2026.xlsx.</t>
  </si>
  <si>
    <t>LBD_REV A — CUSTO DE TUBO, FLANGES, PARAFUSO, ARRUELA E PORCA (POR DN) — Fonte: LBD_REV A (consolidado)</t>
  </si>
  <si>
    <t>VALOR UNIT. FLANGE BUMPER (R$)</t>
  </si>
  <si>
    <t>VALOR UNIT. FLANGE SOLDA (R$)</t>
  </si>
  <si>
    <t>VALOR UNIT. PARAFUSO (R$)</t>
  </si>
  <si>
    <t>VALOR UNIT. ARRUELA (R$)</t>
  </si>
  <si>
    <t>VALOR UNIT. PORCA (R$)</t>
  </si>
  <si>
    <t>🔵 Valores acima são inputs editáveis — alterar aqui atualiza automaticamente a aba LBD_REV A (INDEX/MATCH por DN).</t>
  </si>
  <si>
    <t>CUSTOS CORPO DE PIG: LBD-DG2-DS4 OU LUN</t>
  </si>
  <si>
    <t>ITEM</t>
  </si>
  <si>
    <t>CUSTO TOTAL CORPO
(TUBO+FLANGES+BUMPER)</t>
  </si>
  <si>
    <t>CUSTO TOTAL FIXAÇÃO
(FIXAÇÃO+PORCA+ARRUELA)</t>
  </si>
  <si>
    <t>HH</t>
  </si>
  <si>
    <t>CICLO TOTAL</t>
  </si>
  <si>
    <t>CUSTO HH
CICLO</t>
  </si>
  <si>
    <t>CUSTO
TOTAL</t>
  </si>
  <si>
    <t>CORPO + FIXAÇÃO</t>
  </si>
  <si>
    <t>CUSTOS CORPO DE PIG: LBD-DG2-DS4-ELC OU LUN-ELC</t>
  </si>
  <si>
    <t>CUSTO
CALANDRA</t>
  </si>
  <si>
    <t>🔧 PIG SUPERFLEX — CUSTOS DE PRODUÇÃO (CS3 / CS4)</t>
  </si>
  <si>
    <t>12-70 A PRE POLIMERO TDI</t>
  </si>
  <si>
    <t>HH (R$/h):</t>
  </si>
  <si>
    <t>⚠ Preços de matéria-prima (12-70 A TDI e ATS 85) vêm da aba PARÂMETROS — itens #1 e #10 da tabela de matérias-primas. Altere lá para atualizar aqui automaticamente.</t>
  </si>
  <si>
    <t>ATS 85 PRE POLIMERO TDI</t>
  </si>
  <si>
    <t>HORAS MONTAGEM + QUALIDADE + PCP:</t>
  </si>
  <si>
    <t>PIG SUPERFLEX-CS3</t>
  </si>
  <si>
    <t>COPO PISTAO: 70-80 SHORE A</t>
  </si>
  <si>
    <t>EIXO PU: 80-90 SHORE A</t>
  </si>
  <si>
    <t>COMPONENTE</t>
  </si>
  <si>
    <t>PESO COPO (KG)</t>
  </si>
  <si>
    <t>CUSTO UNIDADE</t>
  </si>
  <si>
    <t>TEMPO TOTAL</t>
  </si>
  <si>
    <t>CUSTO TOTAL</t>
  </si>
  <si>
    <t>PESO CONJUNTO (KG)</t>
  </si>
  <si>
    <t>COPO PISTÃO EM PU</t>
  </si>
  <si>
    <t>DISCO ESPAÇADORES EM PU</t>
  </si>
  <si>
    <t>EIXO EM PU</t>
  </si>
  <si>
    <t>ANEL DE TRAVAMENTO + CABO DE AÇO</t>
  </si>
  <si>
    <t>12'</t>
  </si>
  <si>
    <t>HH MONTAGEM + QUALIDADE + PCP</t>
  </si>
  <si>
    <t>TOTAL</t>
  </si>
  <si>
    <t>DISCO ESPAÇADOR: 80-90 SHORE A</t>
  </si>
  <si>
    <t>PIG SUPERFLEX-CS4</t>
  </si>
  <si>
    <t>🔧 MANDRIL — DETALHAMENTO DE CUSTOS (POLIURETANO + CORPO DE PIG + FIXAÇÃO) — LBD-DG2-DS4</t>
  </si>
  <si>
    <t>⚠ Preços de matéria-prima vêm de PARÂMETROS!$F$6. HH (mão de obra) vem de PARÂMETROS!$I$3 — mudando esse valor, o Custo Total + Alojamento de todas as linhas atualiza sozinho.</t>
  </si>
  <si>
    <t>INSERIR A QNT DE COMPONENTES</t>
  </si>
  <si>
    <t>MODELO</t>
  </si>
  <si>
    <t>COPO CONICO</t>
  </si>
  <si>
    <t>DISCO SELO</t>
  </si>
  <si>
    <t>DISCO GUIA</t>
  </si>
  <si>
    <t>DISCO ESPAÇADOR</t>
  </si>
  <si>
    <t>TUBO</t>
  </si>
  <si>
    <t>FLANGE BUMPER</t>
  </si>
  <si>
    <t>FLANGE SOLDA</t>
  </si>
  <si>
    <t>FIXAÇÃO (PARAFUSO)</t>
  </si>
  <si>
    <t>FIXAÇÃO (ARRUELA)</t>
  </si>
  <si>
    <t>FIXAÇÃO (PORCA)</t>
  </si>
  <si>
    <t>TOTAIS</t>
  </si>
  <si>
    <t>MÃO DE OBRA (HH) / CICLO / ESCALONADO / ALOJAMENTO</t>
  </si>
  <si>
    <t>QTD COPO CÔNICO</t>
  </si>
  <si>
    <t>CUSTO UNIT.
COPO CÔNICO (MP+HH)</t>
  </si>
  <si>
    <t>CUSTO TOTAL
COPO CÔNICO</t>
  </si>
  <si>
    <t>QTD DISCO SELO</t>
  </si>
  <si>
    <t>CUSTO UNIT.
DS (MP+HH)</t>
  </si>
  <si>
    <t>CUSTO TOTAL
DS</t>
  </si>
  <si>
    <t>QTD DISCO GUIA</t>
  </si>
  <si>
    <t>CUSTO UNIT.
DG (MP+HH)</t>
  </si>
  <si>
    <t>CUSTO TOTAL
DG</t>
  </si>
  <si>
    <t>QTD ESPAÇADOR</t>
  </si>
  <si>
    <t>CUSTO UNIT.
DE (MP+HH)</t>
  </si>
  <si>
    <t>CUSTO TOTAL
DE</t>
  </si>
  <si>
    <t>MATERIAL/DESCRIÇÃO</t>
  </si>
  <si>
    <t>DIMENSÃO/ESPEC.</t>
  </si>
  <si>
    <t>QTD</t>
  </si>
  <si>
    <t>FORNECEDOR</t>
  </si>
  <si>
    <t>VALOR (CUSTO TOTAL TUBO)</t>
  </si>
  <si>
    <t>VALOR UNIT.</t>
  </si>
  <si>
    <t>CUSTO TOTAL (2X)</t>
  </si>
  <si>
    <t>PESO UNID.</t>
  </si>
  <si>
    <t>PESO TOTAL (2X)</t>
  </si>
  <si>
    <t>CUSTO UNID.</t>
  </si>
  <si>
    <t>VALOR TOTAL (CONJ.)</t>
  </si>
  <si>
    <t>CUSTO TOTAL PU
(COMPONENTES)</t>
  </si>
  <si>
    <t>CUSTO TOTAL FIXAÇÃLO
(PARAFUSO+PORCA+ARRUELA)</t>
  </si>
  <si>
    <t>CUSTO TOTAL GERAL</t>
  </si>
  <si>
    <t>HH (R$/h)</t>
  </si>
  <si>
    <t>QNT
PCS</t>
  </si>
  <si>
    <t>CUSTO HH
ESC/LOTE</t>
  </si>
  <si>
    <t>CUSTO TOTAL LBD
(MP + HH)</t>
  </si>
  <si>
    <t>ALOJAMENTO</t>
  </si>
  <si>
    <t>CUSTO TOTAL
+ ALOJAMENTO</t>
  </si>
  <si>
    <t>Ø 48,3 mm x Comp. 282,4 mm</t>
  </si>
  <si>
    <t xml:space="preserve">Sucata MC </t>
  </si>
  <si>
    <t>Flange DN6" BUMPER</t>
  </si>
  <si>
    <t>Ø95 x 60 x 1/4</t>
  </si>
  <si>
    <t>OXIMETAL</t>
  </si>
  <si>
    <t>Parafuso Sextavado Aço Carbono</t>
  </si>
  <si>
    <t>1/2" × 5,5"</t>
  </si>
  <si>
    <t>Arruela lisa 1/2"</t>
  </si>
  <si>
    <t>1/2''</t>
  </si>
  <si>
    <t>Porcas Travantes Parlock 1/2"</t>
  </si>
  <si>
    <t>Ø 48,3 mm x Comp. 333,2 mm</t>
  </si>
  <si>
    <t>Flange DN8" BUMPER</t>
  </si>
  <si>
    <t>Ø120 x 60 x 1/4</t>
  </si>
  <si>
    <t>1/2" × 6,5"</t>
  </si>
  <si>
    <t>Ø 88,9 mm x Comp. 384,0 mm</t>
  </si>
  <si>
    <t>Flange DN10" BUMPER</t>
  </si>
  <si>
    <t>Ø140 x 100 x 1/4</t>
  </si>
  <si>
    <t>1/2" × 7"</t>
  </si>
  <si>
    <t>Ø 114,3 mm x Comp. 434,8 mm</t>
  </si>
  <si>
    <t>Flange DN12" BUMPER</t>
  </si>
  <si>
    <t>Ø185 x 125 x 1/4</t>
  </si>
  <si>
    <t>1/2" × 7,5"</t>
  </si>
  <si>
    <t>Ø 114,3 mm x Comp. 485,6 mm</t>
  </si>
  <si>
    <t>Flange DN14" BUMPER</t>
  </si>
  <si>
    <t>Ø205 x 125 x 1/4</t>
  </si>
  <si>
    <t>Ø 114,3 mm x Comp. 536,4 mm</t>
  </si>
  <si>
    <t>Flange DN16" BUMPER</t>
  </si>
  <si>
    <t>Ø215 x 125 x 1/4</t>
  </si>
  <si>
    <t>1/2" × 8,5"</t>
  </si>
  <si>
    <t>Ø 168,3 mm x Comp. 587,2 mm</t>
  </si>
  <si>
    <t>Flange DN18" BUMPER</t>
  </si>
  <si>
    <t>Ø270 x 195 x 1/4</t>
  </si>
  <si>
    <t>1/2" × 9"</t>
  </si>
  <si>
    <t>Ø 219,1 mm x Comp. 638,0 mm</t>
  </si>
  <si>
    <t>Flange DN20" BUMPER</t>
  </si>
  <si>
    <t>Ø320 x 250 x 1/4</t>
  </si>
  <si>
    <t>Ø 219,1 mm x Comp. 688,8 mm</t>
  </si>
  <si>
    <t>Flange DN22" BUMPER</t>
  </si>
  <si>
    <t>Ø380 x 250 x 1/4</t>
  </si>
  <si>
    <t>Ø 219,1 mm x Comp. 739,6 mm</t>
  </si>
  <si>
    <t>Flange DN24" BUMPER</t>
  </si>
  <si>
    <t>1/2" × 10"</t>
  </si>
  <si>
    <t>Ø 219,1 mm x Comp. 790,4 mm</t>
  </si>
  <si>
    <t>Flange DN26" BUMPER</t>
  </si>
  <si>
    <t>Ø400 x 285 x 1/4</t>
  </si>
  <si>
    <t>Ø 273,0 mm x Comp. 841,2 mm</t>
  </si>
  <si>
    <t>Flange DN28" BUMPER</t>
  </si>
  <si>
    <t>Ø410 x 320 x 1/4</t>
  </si>
  <si>
    <t>1/2" × 11"</t>
  </si>
  <si>
    <t>Ø 273,0 mm x Comp. 892,0 mm</t>
  </si>
  <si>
    <t>Flange DN30" BUMPER</t>
  </si>
  <si>
    <t>Ø 273,0 mm x Comp. 942,8 mm</t>
  </si>
  <si>
    <t>Flange DN32" BUMPER</t>
  </si>
  <si>
    <t>Ø530 x 430 x 1/4</t>
  </si>
  <si>
    <t>1/2" × 11,5"</t>
  </si>
  <si>
    <t>Ø 273,0 mm x Comp. 993,6 mm</t>
  </si>
  <si>
    <t>Flange DN34" BUMPER</t>
  </si>
  <si>
    <t>Ø 355,6 mm x Comp. 1044,4 mm</t>
  </si>
  <si>
    <t>Soluaço</t>
  </si>
  <si>
    <t>Flange DN36" BUMPER</t>
  </si>
  <si>
    <t>Ø710 x 530 x 1/4</t>
  </si>
  <si>
    <t>1/2" × 13"</t>
  </si>
  <si>
    <t>Ø 355,6 mm x Comp. 1095,2 mm</t>
  </si>
  <si>
    <t>Flange DN38" BUMPER</t>
  </si>
  <si>
    <t>Ø 355,6 mm x Comp. 1146,0 mm</t>
  </si>
  <si>
    <t>Flange DN40" BUMPER</t>
  </si>
  <si>
    <t>Ø750 x 580 x 1/4</t>
  </si>
  <si>
    <t>1/2" × 14"</t>
  </si>
  <si>
    <t>Ø 355,6 mm x Comp. 1196,8 mm</t>
  </si>
  <si>
    <t>Flange DN42" BUMPER</t>
  </si>
  <si>
    <t>1/2" × 15"</t>
  </si>
  <si>
    <t>PARA O CUSTO FINAL COM OS ACESSORIOS, CONSIDERAR A COLUNA "S"</t>
  </si>
  <si>
    <t>➕ CONFIGURADOR DE CUSTOS ADICIONAIS — ITENS DA ABA ELC_MG_PC (marque SIM para incluir no custo total)</t>
  </si>
  <si>
    <t>ELC (AÇO)?</t>
  </si>
  <si>
    <t>CUSTO ELC (AÇO)
+ CALANDRA</t>
  </si>
  <si>
    <t>ELP (PP)?</t>
  </si>
  <si>
    <t>CUSTO ELP (PP)
+ CALANDRA</t>
  </si>
  <si>
    <t>CINTA MAGNÉTICA?</t>
  </si>
  <si>
    <t>CUSTO CINTA MAGNÉTICA</t>
  </si>
  <si>
    <t>PLACA CALIBRADORA?</t>
  </si>
  <si>
    <t>CUSTO PLACA CALIBRADORA</t>
  </si>
  <si>
    <t>ALOJAMENTO?</t>
  </si>
  <si>
    <t>CUSTO ALOJAMENTO</t>
  </si>
  <si>
    <t>CUSTO ADICIONAL TOTAL</t>
  </si>
  <si>
    <t>CUSTO TOTAL CONFIGURADO
(LBD + ADICIONAIS)</t>
  </si>
  <si>
    <t>QTD ACESSÓRIOS
SELECIONADOS</t>
  </si>
  <si>
    <t>CUSTO UNIT.
ESPAÇADOR (DE)</t>
  </si>
  <si>
    <t>CUSTO TOTAL
ESPAÇADORES</t>
  </si>
  <si>
    <t>CUSTO CHEIO LBD PADRÃO
(HH+MP)</t>
  </si>
  <si>
    <t>CUSTO ADICIONAL FINAL
(COM ESPAÇADORES)</t>
  </si>
  <si>
    <t>NÃO</t>
  </si>
  <si>
    <t>SIM</t>
  </si>
  <si>
    <t>⚠ Para cada acessório (ELC/ELP/CINTA/PLACA) marcado SIM, um Disco Espaçador (DE) da aba PU CAST (mesma polegada/DN) é somado automaticamente ao custo adicional. 2 acessórios selecionados = 2 espaçadores, e assim por diante. "CUSTO ADICIONAL TOTAL" já inclui os espaçadores; "CUSTO TOTAL CONFIGURADO" = Custo Total LBD (MP+HH) + acessórios + espaçadores.</t>
  </si>
  <si>
    <t>CUSTOS CALANDRA</t>
  </si>
  <si>
    <t>NOMINAL</t>
  </si>
  <si>
    <t>DN2</t>
  </si>
  <si>
    <t>DN3</t>
  </si>
  <si>
    <t>DN4</t>
  </si>
  <si>
    <t>DN5</t>
  </si>
  <si>
    <t>DN6</t>
  </si>
  <si>
    <t>DN8</t>
  </si>
  <si>
    <t>DN10</t>
  </si>
  <si>
    <t>DN12</t>
  </si>
  <si>
    <t>DN14</t>
  </si>
  <si>
    <t>DN16</t>
  </si>
  <si>
    <t>DN18</t>
  </si>
  <si>
    <t>DN20</t>
  </si>
  <si>
    <t>DN22</t>
  </si>
  <si>
    <t>DN24</t>
  </si>
  <si>
    <t>DN26</t>
  </si>
  <si>
    <t>DN28</t>
  </si>
  <si>
    <t>DN30</t>
  </si>
  <si>
    <t>DN32</t>
  </si>
  <si>
    <t>DN34</t>
  </si>
  <si>
    <t>DN36</t>
  </si>
  <si>
    <t>DN38</t>
  </si>
  <si>
    <t>DN40</t>
  </si>
  <si>
    <t>DN42</t>
  </si>
  <si>
    <t>⚠ Preços de matéria-prima vêm de PARÂMETROS!$F$6. HH (mão de obra) vem de PARÂMETROS!$I$3 — mudando esse valor, o Custo Total de todas as linhas atualiza sozinho.</t>
  </si>
  <si>
    <t>DISCO SELO (12-70)</t>
  </si>
  <si>
    <t>DISCO GUIA (ATS 85)</t>
  </si>
  <si>
    <t>PESO UNID. (DS)</t>
  </si>
  <si>
    <t>PESO TOTAL (4X DS)</t>
  </si>
  <si>
    <t>CUSTO UNID. DS</t>
  </si>
  <si>
    <t>CUSTO TOTAL DS (4X)</t>
  </si>
  <si>
    <t>PESO UNID. (DG)</t>
  </si>
  <si>
    <t>PESO TOTAL (2X DG)</t>
  </si>
  <si>
    <t>CUSTO UNID. DG</t>
  </si>
  <si>
    <t>CUSTO TOTAL DG (2X)</t>
  </si>
  <si>
    <t>PESO UNID. (DE)</t>
  </si>
  <si>
    <t>PESO TOTAL (6X DE)</t>
  </si>
  <si>
    <t>CUSTO UNID. DE</t>
  </si>
  <si>
    <t>CUSTO TOTAL DE (6X)</t>
  </si>
  <si>
    <t>CUSTO TOTAL PU
(DS+DG+DE)</t>
  </si>
  <si>
    <t>CUSTO MP</t>
  </si>
  <si>
    <t>EC</t>
  </si>
  <si>
    <t>ROPAN</t>
  </si>
  <si>
    <t>NYLON</t>
  </si>
  <si>
    <t>VOLUME IDEAL = DISCO ESCALONADO</t>
  </si>
  <si>
    <t>- 2'' A 4'' = 4 pcs</t>
  </si>
  <si>
    <t>18Q PRE POLIMERO MDI</t>
  </si>
  <si>
    <t>- 6'' A 10'' = 3 pcs</t>
  </si>
  <si>
    <t>- 12'' A 28'' = 2 pcs</t>
  </si>
  <si>
    <t>- A partir 30'' = 1 pcs</t>
  </si>
  <si>
    <t>DESCRIÇÃO ITEM</t>
  </si>
  <si>
    <t>(TDI)</t>
  </si>
  <si>
    <t>MDI</t>
  </si>
  <si>
    <t>TDI</t>
  </si>
  <si>
    <t>ESCALONADO PADRÃO</t>
  </si>
  <si>
    <t>MEDIDAS 
*DISCOS MEDIDAS PADRÃO SCH 40 HP*</t>
  </si>
  <si>
    <t>DUREZA
SHORE A</t>
  </si>
  <si>
    <t>PESO PRE (kg)</t>
  </si>
  <si>
    <t>CUSTO PRE</t>
  </si>
  <si>
    <t>PESO MOCA (kg)</t>
  </si>
  <si>
    <t>CUSTO MOCA</t>
  </si>
  <si>
    <t>PESO PRE "A" (kg) 18Q</t>
  </si>
  <si>
    <t>CUSTO PRE
"A" 18Q</t>
  </si>
  <si>
    <t>PESO PRE "B" (kg) GS234</t>
  </si>
  <si>
    <t>CUSTO PRE
"B" GS234</t>
  </si>
  <si>
    <t>PESO BUTAN. (kg)</t>
  </si>
  <si>
    <t>CUSTO BUTAN.</t>
  </si>
  <si>
    <t>R$</t>
  </si>
  <si>
    <t>DN NUM (AUX)</t>
  </si>
  <si>
    <t>DS</t>
  </si>
  <si>
    <t>70-80</t>
  </si>
  <si>
    <t>163 X 50 X 8</t>
  </si>
  <si>
    <t>214 X 50 X 10</t>
  </si>
  <si>
    <t>267 X 92 X 13</t>
  </si>
  <si>
    <t>316 X 116 X 15</t>
  </si>
  <si>
    <t>356 X 116 X 15</t>
  </si>
  <si>
    <t>406 X 116 X 18</t>
  </si>
  <si>
    <t>457 X 170 X 20</t>
  </si>
  <si>
    <t>508 X 220 X 20</t>
  </si>
  <si>
    <t>558 X 220 X 20</t>
  </si>
  <si>
    <t>610 X 275 X 25</t>
  </si>
  <si>
    <t>660 X 275 X 25</t>
  </si>
  <si>
    <t>711 X 305 X 25</t>
  </si>
  <si>
    <t>762 X 305 X 25</t>
  </si>
  <si>
    <t>812 X 410 X 25</t>
  </si>
  <si>
    <t>863 X 410 X 25</t>
  </si>
  <si>
    <t>914 X 510 X 35</t>
  </si>
  <si>
    <t>965 X 510 X 35</t>
  </si>
  <si>
    <t>1016 X 560 X 35</t>
  </si>
  <si>
    <t>1060 X 560 X 35</t>
  </si>
  <si>
    <t>DG</t>
  </si>
  <si>
    <t>80-90</t>
  </si>
  <si>
    <t>153 X 50 X 15</t>
  </si>
  <si>
    <t>201 X 50 X 15</t>
  </si>
  <si>
    <t>252 X 92 X 18</t>
  </si>
  <si>
    <t>300 X 116 X 20</t>
  </si>
  <si>
    <t>330 X 116 X 20</t>
  </si>
  <si>
    <t>377 X 116 X 25</t>
  </si>
  <si>
    <t>427 X 170 X 25</t>
  </si>
  <si>
    <t>473 X 220 X 25</t>
  </si>
  <si>
    <t>534 X 220 X 25</t>
  </si>
  <si>
    <t>568 X 275 X 30</t>
  </si>
  <si>
    <t>635 X 275 X 30</t>
  </si>
  <si>
    <t>685 X 305 X 35</t>
  </si>
  <si>
    <t>735 X 305 X 35</t>
  </si>
  <si>
    <t>770 X 410 X 35</t>
  </si>
  <si>
    <t>820 X 410 X 35</t>
  </si>
  <si>
    <t>867 X 510 X 40</t>
  </si>
  <si>
    <t>938 X 510 X 40</t>
  </si>
  <si>
    <t>987 X 560 X 45</t>
  </si>
  <si>
    <t>1045 X 560 X 50</t>
  </si>
  <si>
    <t>DE</t>
  </si>
  <si>
    <t>100 X 50 X 15</t>
  </si>
  <si>
    <t>130 X 50 X 15</t>
  </si>
  <si>
    <t>155 X 92 X 18</t>
  </si>
  <si>
    <t>190 X 116 X 20</t>
  </si>
  <si>
    <t>220 X 116 X 20</t>
  </si>
  <si>
    <t>240 X 116 X 25</t>
  </si>
  <si>
    <t>290 X 170 X 25</t>
  </si>
  <si>
    <t>340 X 220 X 25</t>
  </si>
  <si>
    <t>400 X 220 X 25</t>
  </si>
  <si>
    <t>420 X 275 X 30</t>
  </si>
  <si>
    <t>440 X 305 X 35</t>
  </si>
  <si>
    <t>560 X 410 X 35</t>
  </si>
  <si>
    <t>730 X 510 X 40</t>
  </si>
  <si>
    <t>780 X 560 X 45</t>
  </si>
  <si>
    <t>780 X 560 X 50</t>
  </si>
  <si>
    <t>HFLEX</t>
  </si>
  <si>
    <t>MOLDE PADRÃO HIDROPIG</t>
  </si>
  <si>
    <t>DISCFLEX SD</t>
  </si>
  <si>
    <t>4.25</t>
  </si>
  <si>
    <t>DISCFLEX SDI</t>
  </si>
  <si>
    <t>3.5</t>
  </si>
  <si>
    <t>2”</t>
  </si>
  <si>
    <t>3”</t>
  </si>
  <si>
    <t>4”</t>
  </si>
  <si>
    <t>6”</t>
  </si>
  <si>
    <t>8”</t>
  </si>
  <si>
    <t>10”</t>
  </si>
  <si>
    <t>12"</t>
  </si>
  <si>
    <t>14”</t>
  </si>
  <si>
    <t>16”</t>
  </si>
  <si>
    <t>18”</t>
  </si>
  <si>
    <t>20”</t>
  </si>
  <si>
    <t>22”</t>
  </si>
  <si>
    <t>24”</t>
  </si>
  <si>
    <t>26”</t>
  </si>
  <si>
    <t>28”</t>
  </si>
  <si>
    <t>40”</t>
  </si>
  <si>
    <t>42”</t>
  </si>
  <si>
    <t>46''</t>
  </si>
  <si>
    <t>COPO PISTAO</t>
  </si>
  <si>
    <t>CUSTO MANTA SILICONE KG</t>
  </si>
  <si>
    <t>CUSTOS DISCFLEX SILICONE: JUNHO/2026</t>
  </si>
  <si>
    <t>MANTA SILICONE</t>
  </si>
  <si>
    <t>IMA</t>
  </si>
  <si>
    <t>PESO</t>
  </si>
  <si>
    <t>TOTAL IMAS
UTILIZADO</t>
  </si>
  <si>
    <t>CUSTO TOTAL
IMAS</t>
  </si>
  <si>
    <t>CUSTO MP
(MANTA+IMA)</t>
  </si>
  <si>
    <t>TEMPO TOTAL CICLO</t>
  </si>
  <si>
    <t>ROCHE</t>
  </si>
  <si>
    <t>MARS</t>
  </si>
  <si>
    <t>HH PIG H PADRÃO = QUALQUER DENSIDADE</t>
  </si>
  <si>
    <t>VOLUME IDEAL ESCALONADO</t>
  </si>
  <si>
    <t>- 1'' A 2'' = 50 pcs
- 3'' A 7'' = 30 pcs
- 8'' A 12'' = 20 pcs
- 14'' A 16'' = 15 pcs
- 18'' A 20'' = 7 pcs</t>
  </si>
  <si>
    <t>- 22'' A 26'' = 3 pcs
- 28'' A 32'' = 2 pcs
- A partir 34'' = 1 pc</t>
  </si>
  <si>
    <t>- 1'' A 2'' = 35 pcs
- 3'' A 7'' = 25 pcs
- 8'' A 12'' = 15 pcs
- 14'' A 16'' = 10 pcs
- 18'' A 20'' = 5 pcs</t>
  </si>
  <si>
    <t>- 1'' A 2'' = 20 pcs
- 3'' A 7'' = 15 pcs
- 8'' A 12'' = 10 pcs
- 14'' A 16'' = 7 pcs
- 18'' A 20'' = 4 pcs</t>
  </si>
  <si>
    <t>D26</t>
  </si>
  <si>
    <t>D60</t>
  </si>
  <si>
    <t>MP TOTAL = H</t>
  </si>
  <si>
    <t>MP TOTAL = H
COM SELO</t>
  </si>
  <si>
    <t>MP TOTAL = H
COM CORDA + SELO</t>
  </si>
  <si>
    <t>H</t>
  </si>
  <si>
    <t>H COM SELO</t>
  </si>
  <si>
    <t>H COM SELO E CORDA</t>
  </si>
  <si>
    <t>CUSTO COMPLETO
H</t>
  </si>
  <si>
    <t>CUSTO COMPLETO
H COM SELO</t>
  </si>
  <si>
    <t>CUSTO COMPLETO
H COM SELO / CORDA</t>
  </si>
  <si>
    <t>D45</t>
  </si>
  <si>
    <t>D80</t>
  </si>
  <si>
    <t>DENSIDADE</t>
  </si>
  <si>
    <t>CONSUMO M³</t>
  </si>
  <si>
    <t>CUSTO
M³</t>
  </si>
  <si>
    <t>PESO 
ELASTOMERO (kg)
 SELO</t>
  </si>
  <si>
    <t>CUSTO
ELASTOMERO</t>
  </si>
  <si>
    <t>PESO 
ELASTOMERO (kg)
ETIQUETA</t>
  </si>
  <si>
    <t>CUSTOS moca
(kg)</t>
  </si>
  <si>
    <t>COMPRIMENTO CORDA (m)</t>
  </si>
  <si>
    <t>CUSTOS CORDA
(m)</t>
  </si>
  <si>
    <t>CORTE DO BLOCO</t>
  </si>
  <si>
    <t>ROLETAGEM</t>
  </si>
  <si>
    <t>RETIRAR "CAZULO" E
DESCARTE</t>
  </si>
  <si>
    <t>CHANFRO</t>
  </si>
  <si>
    <t>SELAGEM</t>
  </si>
  <si>
    <t>CORDA</t>
  </si>
  <si>
    <t xml:space="preserve"> ETIQUETA</t>
  </si>
  <si>
    <t>QUALIDADE</t>
  </si>
  <si>
    <t xml:space="preserve">TEMPO </t>
  </si>
  <si>
    <t>CUSTO TOTAL HH</t>
  </si>
  <si>
    <t>BAIXA D26</t>
  </si>
  <si>
    <t>1'' D26</t>
  </si>
  <si>
    <t>2'' D26</t>
  </si>
  <si>
    <t>3'' D26</t>
  </si>
  <si>
    <t>4'' D26</t>
  </si>
  <si>
    <t>6'' D26</t>
  </si>
  <si>
    <t>8'' D26</t>
  </si>
  <si>
    <t>10'' D26</t>
  </si>
  <si>
    <t>12'' D26</t>
  </si>
  <si>
    <t>14'' D26</t>
  </si>
  <si>
    <t>16'' D26</t>
  </si>
  <si>
    <t>18'' D26</t>
  </si>
  <si>
    <t>20'' D26</t>
  </si>
  <si>
    <t>22'' D26</t>
  </si>
  <si>
    <t>24'' D26</t>
  </si>
  <si>
    <t>26'' D26</t>
  </si>
  <si>
    <t>28'' D26</t>
  </si>
  <si>
    <t>30'' D26</t>
  </si>
  <si>
    <t>32'' D26</t>
  </si>
  <si>
    <t>34'' D26</t>
  </si>
  <si>
    <t>36'' D26</t>
  </si>
  <si>
    <t>38'' D26</t>
  </si>
  <si>
    <t>40'' D26</t>
  </si>
  <si>
    <t>42'' D26</t>
  </si>
  <si>
    <t>44'' D26</t>
  </si>
  <si>
    <t>BAIXA D45</t>
  </si>
  <si>
    <t>1'' D45</t>
  </si>
  <si>
    <t>2'' D45</t>
  </si>
  <si>
    <t>3'' D45</t>
  </si>
  <si>
    <t>4'' D45</t>
  </si>
  <si>
    <t>6'' D45</t>
  </si>
  <si>
    <t>7'' D45</t>
  </si>
  <si>
    <t>8'' D45</t>
  </si>
  <si>
    <t>10'' D45</t>
  </si>
  <si>
    <t>12'' D45</t>
  </si>
  <si>
    <t>14'' D45</t>
  </si>
  <si>
    <t>16'' D45</t>
  </si>
  <si>
    <t>18'' D45</t>
  </si>
  <si>
    <t>20'' D45</t>
  </si>
  <si>
    <t>22'' D45</t>
  </si>
  <si>
    <t>24'' D45</t>
  </si>
  <si>
    <t>26'' D45</t>
  </si>
  <si>
    <t>28'' D45</t>
  </si>
  <si>
    <t>30'' D45</t>
  </si>
  <si>
    <t>32'' D45</t>
  </si>
  <si>
    <t>34'' D45</t>
  </si>
  <si>
    <t>36'' D45</t>
  </si>
  <si>
    <t>38'' D45</t>
  </si>
  <si>
    <t>40'' D45</t>
  </si>
  <si>
    <t>42'' D45</t>
  </si>
  <si>
    <t>44'' D45</t>
  </si>
  <si>
    <t>BAIXA D60</t>
  </si>
  <si>
    <t>1'' D60</t>
  </si>
  <si>
    <t>2'' D60</t>
  </si>
  <si>
    <t>3'' D60</t>
  </si>
  <si>
    <t>4'' D60</t>
  </si>
  <si>
    <t>6'' D60</t>
  </si>
  <si>
    <t>7'' D60</t>
  </si>
  <si>
    <t>8'' D60</t>
  </si>
  <si>
    <t>10'' D60</t>
  </si>
  <si>
    <t>12'' D60</t>
  </si>
  <si>
    <t>14'' D60</t>
  </si>
  <si>
    <t>16'' D60</t>
  </si>
  <si>
    <t>18'' D60</t>
  </si>
  <si>
    <t>20'' D60</t>
  </si>
  <si>
    <t>22'' D60</t>
  </si>
  <si>
    <t>24'' D60</t>
  </si>
  <si>
    <t>26'' D60</t>
  </si>
  <si>
    <t>28'' D60</t>
  </si>
  <si>
    <t>30'' D60</t>
  </si>
  <si>
    <t>32'' D60</t>
  </si>
  <si>
    <t>34'' D60</t>
  </si>
  <si>
    <t>36'' D60</t>
  </si>
  <si>
    <t>38'' D60</t>
  </si>
  <si>
    <t>40'' D60</t>
  </si>
  <si>
    <t>42'' D60</t>
  </si>
  <si>
    <t>44'' D60</t>
  </si>
  <si>
    <t>BAIXA D80</t>
  </si>
  <si>
    <t>1'' D80</t>
  </si>
  <si>
    <t>2'' D80</t>
  </si>
  <si>
    <t>3'' D80</t>
  </si>
  <si>
    <t>4'' D80</t>
  </si>
  <si>
    <t>6'' D80</t>
  </si>
  <si>
    <t>7'' D80</t>
  </si>
  <si>
    <t>8'' D80</t>
  </si>
  <si>
    <t>10'' D80</t>
  </si>
  <si>
    <t>12'' D80</t>
  </si>
  <si>
    <t>14'' D80</t>
  </si>
  <si>
    <t>16'' D80</t>
  </si>
  <si>
    <t>18'' D80</t>
  </si>
  <si>
    <t>20'' D80</t>
  </si>
  <si>
    <t>22'' D80</t>
  </si>
  <si>
    <t>24'' D80</t>
  </si>
  <si>
    <t>26'' D80</t>
  </si>
  <si>
    <t>28'' D80</t>
  </si>
  <si>
    <t>30'' D80</t>
  </si>
  <si>
    <t>32'' D80</t>
  </si>
  <si>
    <t>34'' D80</t>
  </si>
  <si>
    <t>36'' D80</t>
  </si>
  <si>
    <t>38'' D80</t>
  </si>
  <si>
    <t>40'' D80</t>
  </si>
  <si>
    <t>42'' D80</t>
  </si>
  <si>
    <t>44'' D80</t>
  </si>
  <si>
    <t>CUSTOS DE PRODUÇÃO:
PIG HS</t>
  </si>
  <si>
    <t>Aloj para transmissor espuma: R$ 80,00 
Aloj para transmissor pig mandril 6" e 8" R$ 100,00 / Aloj para transmissor pig mandril 10" R$ 120,00</t>
  </si>
  <si>
    <t>SISTEMA "A+B" = ENVASE DE ESPUMA</t>
  </si>
  <si>
    <t>ELASTOMERO 
"SELAGEM TRASEIRA E ETIQUETA"</t>
  </si>
  <si>
    <t>MOCA (CURATIVO)
"REVESTIMENTO, SELAGEM TRASEIRA E ETIQUETA"</t>
  </si>
  <si>
    <t>CORDA OLHAL</t>
  </si>
  <si>
    <t>A (ALTA)</t>
  </si>
  <si>
    <t>A (MÉDIA)</t>
  </si>
  <si>
    <t>B (ISO)</t>
  </si>
  <si>
    <t>MP TOTAL = HS
MATÉRIA PRIMA</t>
  </si>
  <si>
    <t>DETALHAMENTO HH: HS</t>
  </si>
  <si>
    <t>Lote: 2" a 3": 08 peças
Lote: 4" a 6": 05 peças
Lote: 8" a 14": 02 peças</t>
  </si>
  <si>
    <t>PESO A  (g)
POLIOL</t>
  </si>
  <si>
    <t>CUSTO
MP "A"</t>
  </si>
  <si>
    <t>PESO B  (g)
ISOCIANATO</t>
  </si>
  <si>
    <t>CUSTO 
MP "B"</t>
  </si>
  <si>
    <t>CUSTO
TOTAL A+B</t>
  </si>
  <si>
    <t>PESO MOCA (kg)
SELO</t>
  </si>
  <si>
    <t>PESO MOCA (kg)
ETIQUE</t>
  </si>
  <si>
    <t>ENVASE</t>
  </si>
  <si>
    <t>OLHAL</t>
  </si>
  <si>
    <t>ETIQUETA</t>
  </si>
  <si>
    <t>QUALIDADE/PCP</t>
  </si>
  <si>
    <t>QNT PEÇAS
LOTE ESCALONADO</t>
  </si>
  <si>
    <t>CUSTO 
TOTAL HH</t>
  </si>
  <si>
    <t>CUSTO 
TOTAL HH/LOTE</t>
  </si>
  <si>
    <t>CUSTO TOTAL + ALOJAMENTO</t>
  </si>
  <si>
    <t>MÉDIA (140-160 KG/M³)</t>
  </si>
  <si>
    <t>2'' MÉDIA</t>
  </si>
  <si>
    <t>3'' MÉDIA</t>
  </si>
  <si>
    <t>4'' MÉDIA</t>
  </si>
  <si>
    <t>6'' MÉDIA</t>
  </si>
  <si>
    <t>7'' MÉDIA</t>
  </si>
  <si>
    <t>8'' MÉDIA</t>
  </si>
  <si>
    <t>10'' MÉDIA</t>
  </si>
  <si>
    <t>12'' MÉDIA</t>
  </si>
  <si>
    <t>14'' MÉDIA</t>
  </si>
  <si>
    <t>16'' MÉDIA</t>
  </si>
  <si>
    <t>18'' MÉDIA</t>
  </si>
  <si>
    <t>20'' MÉDIA</t>
  </si>
  <si>
    <t>22'' MÉDIA</t>
  </si>
  <si>
    <t>24'' MÉDIA</t>
  </si>
  <si>
    <t>26'' MÉDIA</t>
  </si>
  <si>
    <t>28'' MÉDIA</t>
  </si>
  <si>
    <t>30'' MÉDIA</t>
  </si>
  <si>
    <t>32'' MÉDIA</t>
  </si>
  <si>
    <t>34'' MÉDIA</t>
  </si>
  <si>
    <t>36'' MÉDIA</t>
  </si>
  <si>
    <t>38'' MÉDIA</t>
  </si>
  <si>
    <t>40'' MÉDIA</t>
  </si>
  <si>
    <t>42'' MÉDIA</t>
  </si>
  <si>
    <t>44'' MÉDIA</t>
  </si>
  <si>
    <t>ALTA (170-190 KG/M³)</t>
  </si>
  <si>
    <t>2'' ALTA</t>
  </si>
  <si>
    <t>3'' ALTA</t>
  </si>
  <si>
    <t>4'' ALTA</t>
  </si>
  <si>
    <t>6'' ALTA</t>
  </si>
  <si>
    <t>7'' ALTA</t>
  </si>
  <si>
    <t>8'' ALTA</t>
  </si>
  <si>
    <t>10'' ALTA</t>
  </si>
  <si>
    <t>12'' ALTA</t>
  </si>
  <si>
    <t>14'' ALTA</t>
  </si>
  <si>
    <t>16'' ALTA</t>
  </si>
  <si>
    <t>18'' ALTA</t>
  </si>
  <si>
    <t>20'' ALTA</t>
  </si>
  <si>
    <t>22'' ALTA</t>
  </si>
  <si>
    <t>24'' ALTA</t>
  </si>
  <si>
    <t>26'' ALTA</t>
  </si>
  <si>
    <t>28'' ALTA</t>
  </si>
  <si>
    <t>30'' ALTA</t>
  </si>
  <si>
    <t>32'' ALTA</t>
  </si>
  <si>
    <t>34'' ALTA</t>
  </si>
  <si>
    <t>36'' ALTA</t>
  </si>
  <si>
    <t>38'' ALTA</t>
  </si>
  <si>
    <t>40'' ALTA</t>
  </si>
  <si>
    <t>42'' ALTA</t>
  </si>
  <si>
    <t>44'' ALTA</t>
  </si>
  <si>
    <t>CUSTOS DE PRODUÇÃO: ESPUMAGEM
PIG HL</t>
  </si>
  <si>
    <t>ELASTOMERO 
"REVESTIMENTO, SELAGEM TRASEIRA E ETIQUETA"</t>
  </si>
  <si>
    <t>PIGMENTO
"REVESTIMENTO E SELAGEM TRASEIRA"</t>
  </si>
  <si>
    <t>CUSTO MÉDIO KG PIGMENTO 
= ASTA QUIMICA DEZ 2024</t>
  </si>
  <si>
    <t>MP TOTAL = HL</t>
  </si>
  <si>
    <t>Lote: 2" a 3": 05 peças
Lote: 4" a 6": 3 peças
Lote: 8" a 14": 02 peças</t>
  </si>
  <si>
    <t>PESO 
ELASTOMERO (kg)
 REVESTIMENTO</t>
  </si>
  <si>
    <t>CUSTO
REVESTIMENTO</t>
  </si>
  <si>
    <t>PESO 
ELASTOMERO (kg)
SELAGEM</t>
  </si>
  <si>
    <t>CUSTO
SELAGEM</t>
  </si>
  <si>
    <t>PESO MOCA (kg)
REVESTIMENTO</t>
  </si>
  <si>
    <t>CUSTOS moca
= REVESTIMENTO
(kg)</t>
  </si>
  <si>
    <t>CUSTOS moca 
= SELO
(kg)</t>
  </si>
  <si>
    <t>PESO MOCA (kg)
ETIQUETA</t>
  </si>
  <si>
    <t>CUSTOS moca = ETIQUETA
(kg)</t>
  </si>
  <si>
    <t>PESO PIGMENTO (kg)
REVESTIMENTO</t>
  </si>
  <si>
    <t>CUSTOS PIGM. REVSTIMENTO
(kg)</t>
  </si>
  <si>
    <t>PESO PIGMENTO (kg)
SELO</t>
  </si>
  <si>
    <t>CUSTOS PIGMENTO = SELO(kg)</t>
  </si>
  <si>
    <t>MONTAGEM</t>
  </si>
  <si>
    <t>REVESTIMENTO</t>
  </si>
  <si>
    <t>CUSTOS DE PRODUÇÃO: ESPUMAGEM
PIG HLR</t>
  </si>
  <si>
    <t>ESCOVA/CERDAS DE AÇO 
HLR</t>
  </si>
  <si>
    <t>COLA SAPATEIRO
"FIXAÇÃO ESCOVA"</t>
  </si>
  <si>
    <t>MP TOTAL</t>
  </si>
  <si>
    <t>Lote: 2" a 3": 4 peças
Lote: 4" a 7": 3 peças
Lote: 8" a 12'': 02 peças</t>
  </si>
  <si>
    <t xml:space="preserve">CUSTO
SELAGEM </t>
  </si>
  <si>
    <t>COMPRIMENTO ESCOVA (m)</t>
  </si>
  <si>
    <t>CUSTOS ESCOVA
(m)</t>
  </si>
  <si>
    <t>Peso cola p/ fixação de esova em 1 pig (kg)</t>
  </si>
  <si>
    <t>Custo cola</t>
  </si>
  <si>
    <t>Alojamento</t>
  </si>
  <si>
    <t xml:space="preserve">Custo total + alojamento </t>
  </si>
  <si>
    <t>CUSTOS DE PRODUÇÃO: ESPUMAGEM
PIG HLR X</t>
  </si>
  <si>
    <t>ESCOVA/CERDAS DE AÇO 
HLR X</t>
  </si>
  <si>
    <t>MP TOTAL = HLR X</t>
  </si>
  <si>
    <t>HLR-R</t>
  </si>
  <si>
    <t>CUSTOS DE PRODUÇÃO: ESPUMAGEM
PIG HLR V</t>
  </si>
  <si>
    <t>ESCOVA/CERDAS DE VELCRO 
HLR V</t>
  </si>
  <si>
    <t>COLA SAPATEIRO
"FIXAÇÃO VELCRO"</t>
  </si>
  <si>
    <t>MP TOTAL = HLR V</t>
  </si>
  <si>
    <t>HLB</t>
  </si>
  <si>
    <t>CUSTOS DE PRODUÇÃO: ESPUMAGEM
PIG HDISC</t>
  </si>
  <si>
    <t>MP TOTAL = HDISC</t>
  </si>
  <si>
    <t>CUSTOS DE PRODUÇÃO: ESPUMAGEM
PIG HLCC</t>
  </si>
  <si>
    <t>OLHAL
(CABO DE AÇO)</t>
  </si>
  <si>
    <t>PRENSA CABO 3/16''
(2x por pig)</t>
  </si>
  <si>
    <t>MP TOTAL = HLCC</t>
  </si>
  <si>
    <t>COMPRIMENTO OLHAL (m)</t>
  </si>
  <si>
    <t>CUSTOS OLHAL
(m)</t>
  </si>
  <si>
    <t>QNT PRENSA CABO POR PIG</t>
  </si>
  <si>
    <t>CUSTO TOTAL PRENSA CABO POR PIG</t>
  </si>
  <si>
    <t>9,5'' MÉDIA</t>
  </si>
  <si>
    <t>CUSTOS DE PRODUÇÃO: ESPUMAGEM
PIG HLCC-PC</t>
  </si>
  <si>
    <t>KIT FIXAÇÃO (DEZ 24): 
ARRUELA E PORCA</t>
  </si>
  <si>
    <t>BARRA ROSCADA
3/4''</t>
  </si>
  <si>
    <t>PLACA
CALIBRADORA</t>
  </si>
  <si>
    <t>BUMPER PU</t>
  </si>
  <si>
    <t>ARRUELA LISA 3/4'' (3X UN): R$ 9,10 PC
PORCA LISA 3/4'' (1X UN): R$ 2,65 PC
PORCA PARLOCK 3/4'' (1X UN): 5,20 PC</t>
  </si>
  <si>
    <t>PREÇO MP
(COIM)</t>
  </si>
  <si>
    <t>MP TOTAL = HLCC-PC</t>
  </si>
  <si>
    <t>CUSTO 1X KIT COMPLETO DE PORCA + ARRUELA
(MONTAGEM DE 1 PIG)</t>
  </si>
  <si>
    <t>COMPRIMENTO
(metro)</t>
  </si>
  <si>
    <t>CUSTO
(metro)</t>
  </si>
  <si>
    <t>CUSTO 
(KG)</t>
  </si>
  <si>
    <t>PESO 
(kg)</t>
  </si>
  <si>
    <t>MONTAGEM 
EIXO/PLACA</t>
  </si>
  <si>
    <t>🔧 PIGS EM BORRACHA — CUSTOS DE PRODUÇÃO — Fonte: CUSTOS_CATTALINI_JULHO_2026.xlsx</t>
  </si>
  <si>
    <t>⚠ Todos os custos abaixo vêm da aba PARÂMETROS (tabelas "PIGS EM BORRACHA"). Altere os valores lá para atualizar aqui automaticamente.</t>
  </si>
  <si>
    <t>COPO BORRACHA EPDM (3X)</t>
  </si>
  <si>
    <t>COPO BORRACHA BUNA N (3X)</t>
  </si>
  <si>
    <t>COPO BORRACHA BUNA N (4X)</t>
  </si>
  <si>
    <t>COPO BORRACHA VITON (3X)</t>
  </si>
  <si>
    <t>📦 EVOLUÇÃO DE CUSTOS — PRODUTOS (PIGS E SOBRESSALENTES)</t>
  </si>
  <si>
    <t>Toda vez que o custo de um produto mudar, adicione uma nova linha na tabela "REGISTRO DE ATUALIZAÇÕES" (à direita). A matriz mensal e o painel de consulta abaixo são atualizados automaticamente — nada precisa ser recalculado à mão.</t>
  </si>
  <si>
    <t>🔵 Texto azul = você pode digitar/editar aqui   |   ⚫ Texto preto = calculado automaticamente (não editar)   |   🟢 Texto verde = puxado de outra aba</t>
  </si>
  <si>
    <t>🔎 CONSULTAR EVOLUÇÃO DE UM PRODUTO</t>
  </si>
  <si>
    <t>Produto (pig / sobressalente):</t>
  </si>
  <si>
    <t>Custo atual calculado (aba BUSCA DE CUSTO):</t>
  </si>
  <si>
    <t>Custo registrado mais recente (R$):</t>
  </si>
  <si>
    <t>Data do registro mais recente:</t>
  </si>
  <si>
    <t>Custo anterior (R$):</t>
  </si>
  <si>
    <t>Data do custo anterior:</t>
  </si>
  <si>
    <t>Custo no 1º registro (R$):</t>
  </si>
  <si>
    <t>🗓  MATRIZ DE EVOLUÇÃO MENSAL — CUSTO DO PRODUTO NO FIM DE CADA MÊS (R$)</t>
  </si>
  <si>
    <t>PRODUTO (PIG / SOBRESSALENTE)</t>
  </si>
  <si>
    <t>Pig</t>
  </si>
  <si>
    <t>Sobressalente</t>
  </si>
  <si>
    <t>Cálculo interno (aba de origem)</t>
  </si>
  <si>
    <t>Carga inicial (snapshot do índice 'BUSCA DE CUSTO')</t>
  </si>
  <si>
    <t>📝  REGISTRO DE ATUALIZAÇÕES DE CUSTO (LOG) — adicione uma linha nova a cada atualização</t>
  </si>
  <si>
    <t>PRODUTO (use o mesmo nome da matriz à esquerda)</t>
  </si>
  <si>
    <t>ORIGEM / FONTE</t>
  </si>
  <si>
    <t>CUSTO (R$)</t>
  </si>
  <si>
    <t>CUSTO ANTERIOR (R$)</t>
  </si>
  <si>
    <t>REVISAO MAIO/2026 - EM ANALISE COMERCIAL - COM IMPOSTO</t>
  </si>
  <si>
    <t>PU CAST DISCFLEX SD</t>
  </si>
  <si>
    <t>PU CAST DISCFLEX SDI</t>
  </si>
  <si>
    <t>PU CAST COPO CONICO</t>
  </si>
  <si>
    <t>PU CAST COPO PISTAO</t>
  </si>
  <si>
    <t>Disco DISCFLEX SD em poliuretano fundido (MP + HH)</t>
  </si>
  <si>
    <t>Disco DISCFLEX SDI em poliuretano fundido (MP + HH)</t>
  </si>
  <si>
    <t>Copo cônico em poliuretano fundido (MP + HH)</t>
  </si>
  <si>
    <t>Copo pistão em poliuretano fundido (MP + HH)</t>
  </si>
  <si>
    <t>Custo total = matéria-prima + HH (aba PU CAST, linha 90)</t>
  </si>
  <si>
    <t>Custo total = matéria-prima + HH (aba PU CAST, linha 91)</t>
  </si>
  <si>
    <t>Custo total = matéria-prima + HH (aba PU CAST, linha 92)</t>
  </si>
  <si>
    <t>Custo total = matéria-prima + HH (aba PU CAST, linha 93)</t>
  </si>
  <si>
    <t>Custo total = matéria-prima + HH (aba PU CAST, linha 94)</t>
  </si>
  <si>
    <t>Custo total = matéria-prima + HH (aba PU CAST, linha 95)</t>
  </si>
  <si>
    <t>Custo total = matéria-prima + HH (aba PU CAST, linha 96)</t>
  </si>
  <si>
    <t>Custo total = matéria-prima + HH (aba PU CAST, linha 97)</t>
  </si>
  <si>
    <t>Custo total = matéria-prima + HH (aba PU CAST, linha 98)</t>
  </si>
  <si>
    <t>Custo total = matéria-prima + HH (aba PU CAST, linha 99)</t>
  </si>
  <si>
    <t>Custo total = matéria-prima + HH (aba PU CAST, linha 100)</t>
  </si>
  <si>
    <t>Custo total = matéria-prima + HH (aba PU CAST, linha 101)</t>
  </si>
  <si>
    <t>Custo total = matéria-prima + HH (aba PU CAST, linha 102)</t>
  </si>
  <si>
    <t>Custo total = matéria-prima + HH (aba PU CAST, linha 103)</t>
  </si>
  <si>
    <t>Custo total = matéria-prima + HH (aba PU CAST, linha 104)</t>
  </si>
  <si>
    <t>Custo total = matéria-prima + HH (aba PU CAST, linha 105)</t>
  </si>
  <si>
    <t>Custo total = matéria-prima + HH (aba PU CAST, linha 106)</t>
  </si>
  <si>
    <t>Custo total = matéria-prima + HH (aba PU CAST, linha 107)</t>
  </si>
  <si>
    <t>Custo total = matéria-prima + HH (aba PU CAST, linha 108)</t>
  </si>
  <si>
    <t>Custo total = matéria-prima + HH (aba PU CAST, linha 109)</t>
  </si>
  <si>
    <t>Custo total = matéria-prima + HH (aba PU CAST, linha 110)</t>
  </si>
  <si>
    <t>Custo total = matéria-prima + HH (aba PU CAST, linha 111)</t>
  </si>
  <si>
    <t>Custo total = matéria-prima + HH (aba PU CAST, linha 112)</t>
  </si>
  <si>
    <t>Custo total = matéria-prima + HH (aba PU CAST, linha 113)</t>
  </si>
  <si>
    <t>Custo total = matéria-prima + HH (aba PU CAST, linha 114)</t>
  </si>
  <si>
    <t>Custo total = matéria-prima + HH (aba PU CAST, linha 115)</t>
  </si>
  <si>
    <t>Custo total = matéria-prima + HH (aba PU CAST, linha 116)</t>
  </si>
  <si>
    <t>Custo total = matéria-prima + HH (aba PU CAST, linha 117)</t>
  </si>
  <si>
    <t>Custo total = matéria-prima + HH (aba PU CAST, linha 118)</t>
  </si>
  <si>
    <t>Custo total = matéria-prima + HH (aba PU CAST, linha 119)</t>
  </si>
  <si>
    <t>Custo total = matéria-prima + HH (aba PU CAST, linha 120)</t>
  </si>
  <si>
    <t>Custo total = matéria-prima + HH (aba PU CAST, linha 121)</t>
  </si>
  <si>
    <t>Custo total = matéria-prima + HH (aba PU CAST, linha 122)</t>
  </si>
  <si>
    <t>Custo total = matéria-prima + HH (aba PU CAST, linha 123)</t>
  </si>
  <si>
    <t>Custo total = matéria-prima + HH (aba PU CAST, linha 124)</t>
  </si>
  <si>
    <t>Custo total = matéria-prima + HH (aba PU CAST, linha 125)</t>
  </si>
  <si>
    <t>Custo total = matéria-prima + HH (aba PU CAST, linha 126)</t>
  </si>
  <si>
    <t>Custo total = matéria-prima + HH (aba PU CAST, linha 127)</t>
  </si>
  <si>
    <t>Custo total = matéria-prima + HH (aba PU CAST, linha 128)</t>
  </si>
  <si>
    <t>Custo total = matéria-prima + HH (aba PU CAST, linha 129)</t>
  </si>
  <si>
    <t>Custo total = matéria-prima + HH (aba PU CAST, linha 130)</t>
  </si>
  <si>
    <t>Custo total = matéria-prima + HH (aba PU CAST, linha 131)</t>
  </si>
  <si>
    <t>Custo total = matéria-prima + HH (aba PU CAST, linha 132)</t>
  </si>
  <si>
    <t>Custo total = matéria-prima + HH (aba PU CAST, linha 133)</t>
  </si>
  <si>
    <t>Custo total = matéria-prima + HH (aba PU CAST, linha 134)</t>
  </si>
  <si>
    <t>Custo total = matéria-prima + HH (aba PU CAST, linha 135)</t>
  </si>
  <si>
    <t>Custo total = matéria-prima + HH (aba PU CAST, linha 136)</t>
  </si>
  <si>
    <t>Custo total = matéria-prima + HH (aba PU CAST, linha 137)</t>
  </si>
  <si>
    <t>Custo total = matéria-prima + HH (aba PU CAST, linha 138)</t>
  </si>
  <si>
    <t>Custo total = matéria-prima + HH (aba PU CAST, linha 139)</t>
  </si>
  <si>
    <t>Custo total = matéria-prima + HH (aba PU CAST, linha 140)</t>
  </si>
  <si>
    <t>Custo total = matéria-prima + HH (aba PU CAST, linha 141)</t>
  </si>
  <si>
    <t>BUMPER (2X)</t>
  </si>
  <si>
    <t>CUSTO
ALOJAMENTO</t>
  </si>
  <si>
    <t>PU CAST DISCFLEX SD | Disco DISCFLEX SD em poliuretano fundido (MP + HH) | DN 2</t>
  </si>
  <si>
    <t>PU CAST DISCFLEX SD | Disco DISCFLEX SD em poliuretano fundido (MP + HH) | DN 3</t>
  </si>
  <si>
    <t>PU CAST DISCFLEX SD | Disco DISCFLEX SD em poliuretano fundido (MP + HH) | DN 4</t>
  </si>
  <si>
    <t>PU CAST DISCFLEX SD | Disco DISCFLEX SD em poliuretano fundido (MP + HH) | DN 4.25</t>
  </si>
  <si>
    <t>PU CAST DISCFLEX SD | Disco DISCFLEX SD em poliuretano fundido (MP + HH) | DN 5,74</t>
  </si>
  <si>
    <t>PU CAST DISCFLEX SD | Disco DISCFLEX SD em poliuretano fundido (MP + HH) | DN 8</t>
  </si>
  <si>
    <t>PU CAST DISCFLEX SD | Disco DISCFLEX SD em poliuretano fundido (MP + HH) | DN 11</t>
  </si>
  <si>
    <t>PU CAST DISCFLEX SDI | Disco DISCFLEX SDI em poliuretano fundido (MP + HH) | DN 3</t>
  </si>
  <si>
    <t>PU CAST DISCFLEX SDI | Disco DISCFLEX SDI em poliuretano fundido (MP + HH) | DN 3.5</t>
  </si>
  <si>
    <t>PU CAST DISCFLEX SDI | Disco DISCFLEX SDI em poliuretano fundido (MP + HH) | DN 4,17</t>
  </si>
  <si>
    <t>PU CAST DISCFLEX SDI | Disco DISCFLEX SDI em poliuretano fundido (MP + HH) | DN 4,25</t>
  </si>
  <si>
    <t>PU CAST DISCFLEX SDI | Disco DISCFLEX SDI em poliuretano fundido (MP + HH) | DN 4,4</t>
  </si>
  <si>
    <t>PU CAST DISCFLEX SDI | Disco DISCFLEX SDI em poliuretano fundido (MP + HH) | DN 6,37</t>
  </si>
  <si>
    <t>PU CAST COPO CONICO | Copo cônico em poliuretano fundido (MP + HH) | DN 2”</t>
  </si>
  <si>
    <t>PU CAST COPO CONICO | Copo cônico em poliuretano fundido (MP + HH) | DN 3”</t>
  </si>
  <si>
    <t>PU CAST COPO CONICO | Copo cônico em poliuretano fundido (MP + HH) | DN 4”</t>
  </si>
  <si>
    <t>PU CAST COPO CONICO | Copo cônico em poliuretano fundido (MP + HH) | DN 6”</t>
  </si>
  <si>
    <t>PU CAST COPO CONICO | Copo cônico em poliuretano fundido (MP + HH) | DN 8”</t>
  </si>
  <si>
    <t>PU CAST COPO CONICO | Copo cônico em poliuretano fundido (MP + HH) | DN 10”</t>
  </si>
  <si>
    <t>PU CAST COPO CONICO | Copo cônico em poliuretano fundido (MP + HH) | DN 12"</t>
  </si>
  <si>
    <t>PU CAST COPO CONICO | Copo cônico em poliuretano fundido (MP + HH) | DN 14”</t>
  </si>
  <si>
    <t>PU CAST COPO CONICO | Copo cônico em poliuretano fundido (MP + HH) | DN 16”</t>
  </si>
  <si>
    <t>PU CAST COPO CONICO | Copo cônico em poliuretano fundido (MP + HH) | DN 18”</t>
  </si>
  <si>
    <t>PU CAST COPO CONICO | Copo cônico em poliuretano fundido (MP + HH) | DN 20”</t>
  </si>
  <si>
    <t>PU CAST COPO CONICO | Copo cônico em poliuretano fundido (MP + HH) | DN 22”</t>
  </si>
  <si>
    <t>PU CAST COPO CONICO | Copo cônico em poliuretano fundido (MP + HH) | DN 24”</t>
  </si>
  <si>
    <t>PU CAST COPO CONICO | Copo cônico em poliuretano fundido (MP + HH) | DN 26”</t>
  </si>
  <si>
    <t>PU CAST COPO CONICO | Copo cônico em poliuretano fundido (MP + HH) | DN 28”</t>
  </si>
  <si>
    <t>PU CAST COPO CONICO | Copo cônico em poliuretano fundido (MP + HH) | DN 30''</t>
  </si>
  <si>
    <t>PU CAST COPO CONICO | Copo cônico em poliuretano fundido (MP + HH) | DN 32''</t>
  </si>
  <si>
    <t>PU CAST COPO CONICO | Copo cônico em poliuretano fundido (MP + HH) | DN 34''</t>
  </si>
  <si>
    <t>PU CAST COPO CONICO | Copo cônico em poliuretano fundido (MP + HH) | DN 36''</t>
  </si>
  <si>
    <t>PU CAST COPO CONICO | Copo cônico em poliuretano fundido (MP + HH) | DN 38''</t>
  </si>
  <si>
    <t>PU CAST COPO CONICO | Copo cônico em poliuretano fundido (MP + HH) | DN 40”</t>
  </si>
  <si>
    <t>PU CAST COPO CONICO | Copo cônico em poliuretano fundido (MP + HH) | DN 42”</t>
  </si>
  <si>
    <t>PU CAST COPO CONICO | Copo cônico em poliuretano fundido (MP + HH) | DN 46''</t>
  </si>
  <si>
    <t>PU CAST COPO PISTAO | Copo pistão em poliuretano fundido (MP + HH) | DN 2,5</t>
  </si>
  <si>
    <t>PU CAST COPO PISTAO | Copo pistão em poliuretano fundido (MP + HH) | DN 4</t>
  </si>
  <si>
    <t>PU CAST COPO PISTAO | Copo pistão em poliuretano fundido (MP + HH) | DN 6</t>
  </si>
  <si>
    <t>PU CAST COPO PISTAO | Copo pistão em poliuretano fundido (MP + HH) | DN 7</t>
  </si>
  <si>
    <t>PU CAST COPO PISTAO | Copo pistão em poliuretano fundido (MP + HH) | DN 8</t>
  </si>
  <si>
    <t>PU CAST COPO PISTAO | Copo pistão em poliuretano fundido (MP + HH) | DN 9</t>
  </si>
  <si>
    <t>PU CAST COPO PISTAO | Copo pistão em poliuretano fundido (MP + HH) | DN 10</t>
  </si>
  <si>
    <t>PU CAST COPO PISTAO | Copo pistão em poliuretano fundido (MP + HH) | DN 12</t>
  </si>
  <si>
    <t>PU CAST COPO PISTAO | Copo pistão em poliuretano fundido (MP + HH) | DN 14</t>
  </si>
  <si>
    <t>PU CAST COPO PISTAO | Copo pistão em poliuretano fundido (MP + HH) | DN 16</t>
  </si>
  <si>
    <t>PU CAST COPO PISTAO | Copo pistão em poliuretano fundido (MP + HH) | DN 18</t>
  </si>
  <si>
    <t>PU CAST COPO PISTAO | Copo pistão em poliuretano fundido (MP + HH) | DN 20</t>
  </si>
  <si>
    <t>PU CAST COPO PISTAO | Copo pistão em poliuretano fundido (MP + HH) | DN 22</t>
  </si>
  <si>
    <t>PU CAST COPO PISTAO | Copo pistão em poliuretano fundido (MP + HH) | DN 30</t>
  </si>
  <si>
    <t>PU CAST COPO PISTAO | Copo pistão em poliuretano fundido (MP + HH) | DN 42</t>
  </si>
  <si>
    <t>PU CAST COPO PISTAO | Copo pistão em poliuretano fundido (MP + HH) | DN 46</t>
  </si>
  <si>
    <t>—</t>
  </si>
  <si>
    <t>CUSTO TOTAL + ALOJAMENTO (R$)</t>
  </si>
  <si>
    <t>CUSTO TOTAL + ALOJAMENTO (R$):</t>
  </si>
  <si>
    <t>ATS 75 PRÉ-POLÍMERO (AMINO) TDI</t>
  </si>
  <si>
    <t>PREÇO (R$/kg) SEM IMPOSTO</t>
  </si>
  <si>
    <t>Inclusão de nova matéria-prima (PARÂMETROS)</t>
  </si>
  <si>
    <t>Disco de poliuretano fundido (MP + HH)</t>
  </si>
  <si>
    <t>PU CAST DS | Disco de poliuretano fundido (MP + HH) | DN 2</t>
  </si>
  <si>
    <t>PU CAST DS | Disco de poliuretano fundido (MP + HH) | DN 3</t>
  </si>
  <si>
    <t>PU CAST DS | Disco de poliuretano fundido (MP + HH) | DN 4</t>
  </si>
  <si>
    <t>PU CAST DS | Disco de poliuretano fundido (MP + HH) | DN 6</t>
  </si>
  <si>
    <t>PU CAST DS | Disco de poliuretano fundido (MP + HH) | DN 8</t>
  </si>
  <si>
    <t>PU CAST DS | Disco de poliuretano fundido (MP + HH) | DN 10</t>
  </si>
  <si>
    <t>PU CAST DS | Disco de poliuretano fundido (MP + HH) | DN 12</t>
  </si>
  <si>
    <t>PU CAST DS | Disco de poliuretano fundido (MP + HH) | DN 14</t>
  </si>
  <si>
    <t>PU CAST DS | Disco de poliuretano fundido (MP + HH) | DN 16</t>
  </si>
  <si>
    <t>PU CAST DS | Disco de poliuretano fundido (MP + HH) | DN 18</t>
  </si>
  <si>
    <t>PU CAST DS | Disco de poliuretano fundido (MP + HH) | DN 20</t>
  </si>
  <si>
    <t>PU CAST DS | Disco de poliuretano fundido (MP + HH) | DN 22</t>
  </si>
  <si>
    <t>PU CAST DS | Disco de poliuretano fundido (MP + HH) | DN 24</t>
  </si>
  <si>
    <t>PU CAST DS | Disco de poliuretano fundido (MP + HH) | DN 26</t>
  </si>
  <si>
    <t>PU CAST DS | Disco de poliuretano fundido (MP + HH) | DN 28</t>
  </si>
  <si>
    <t>PU CAST DS | Disco de poliuretano fundido (MP + HH) | DN 30</t>
  </si>
  <si>
    <t>PU CAST DS | Disco de poliuretano fundido (MP + HH) | DN 32</t>
  </si>
  <si>
    <t>PU CAST DS | Disco de poliuretano fundido (MP + HH) | DN 34</t>
  </si>
  <si>
    <t>PU CAST DS | Disco de poliuretano fundido (MP + HH) | DN 36</t>
  </si>
  <si>
    <t>PU CAST DS | Disco de poliuretano fundido (MP + HH) | DN 38</t>
  </si>
  <si>
    <t>PU CAST DS | Disco de poliuretano fundido (MP + HH) | DN 40</t>
  </si>
  <si>
    <t>PU CAST DS | Disco de poliuretano fundido (MP + HH) | DN 42</t>
  </si>
  <si>
    <t>PU CAST DG | Disco de poliuretano fundido (MP + HH) | DN 2</t>
  </si>
  <si>
    <t>PU CAST DG | Disco de poliuretano fundido (MP + HH) | DN 3</t>
  </si>
  <si>
    <t>PU CAST DG | Disco de poliuretano fundido (MP + HH) | DN 4</t>
  </si>
  <si>
    <t>PU CAST DG | Disco de poliuretano fundido (MP + HH) | DN 6</t>
  </si>
  <si>
    <t>PU CAST DG | Disco de poliuretano fundido (MP + HH) | DN 8</t>
  </si>
  <si>
    <t>PU CAST DG | Disco de poliuretano fundido (MP + HH) | DN 10</t>
  </si>
  <si>
    <t>PU CAST DG | Disco de poliuretano fundido (MP + HH) | DN 12</t>
  </si>
  <si>
    <t>PU CAST DG | Disco de poliuretano fundido (MP + HH) | DN 14</t>
  </si>
  <si>
    <t>PU CAST DG | Disco de poliuretano fundido (MP + HH) | DN 16</t>
  </si>
  <si>
    <t>PU CAST DG | Disco de poliuretano fundido (MP + HH) | DN 18</t>
  </si>
  <si>
    <t>PU CAST DG | Disco de poliuretano fundido (MP + HH) | DN 20</t>
  </si>
  <si>
    <t>PU CAST DG | Disco de poliuretano fundido (MP + HH) | DN 22</t>
  </si>
  <si>
    <t>PU CAST DG | Disco de poliuretano fundido (MP + HH) | DN 24</t>
  </si>
  <si>
    <t>PU CAST DG | Disco de poliuretano fundido (MP + HH) | DN 26</t>
  </si>
  <si>
    <t>PU CAST DG | Disco de poliuretano fundido (MP + HH) | DN 28</t>
  </si>
  <si>
    <t>PU CAST DG | Disco de poliuretano fundido (MP + HH) | DN 30</t>
  </si>
  <si>
    <t>PU CAST DG | Disco de poliuretano fundido (MP + HH) | DN 32</t>
  </si>
  <si>
    <t>PU CAST DG | Disco de poliuretano fundido (MP + HH) | DN 34</t>
  </si>
  <si>
    <t>PU CAST DG | Disco de poliuretano fundido (MP + HH) | DN 36</t>
  </si>
  <si>
    <t>PU CAST DG | Disco de poliuretano fundido (MP + HH) | DN 38</t>
  </si>
  <si>
    <t>PU CAST DG | Disco de poliuretano fundido (MP + HH) | DN 40</t>
  </si>
  <si>
    <t>PU CAST DG | Disco de poliuretano fundido (MP + HH) | DN 42</t>
  </si>
  <si>
    <t>PU CAST DE | Disco de poliuretano fundido (MP + HH) | DN 2</t>
  </si>
  <si>
    <t>PU CAST DE | Disco de poliuretano fundido (MP + HH) | DN 3</t>
  </si>
  <si>
    <t>PU CAST DE | Disco de poliuretano fundido (MP + HH) | DN 4</t>
  </si>
  <si>
    <t>PU CAST DE | Disco de poliuretano fundido (MP + HH) | DN 6</t>
  </si>
  <si>
    <t>PU CAST DE | Disco de poliuretano fundido (MP + HH) | DN 8</t>
  </si>
  <si>
    <t>PU CAST DE | Disco de poliuretano fundido (MP + HH) | DN 10</t>
  </si>
  <si>
    <t>PU CAST DE | Disco de poliuretano fundido (MP + HH) | DN 12</t>
  </si>
  <si>
    <t>PU CAST DE | Disco de poliuretano fundido (MP + HH) | DN 14</t>
  </si>
  <si>
    <t>PU CAST DE | Disco de poliuretano fundido (MP + HH) | DN 16</t>
  </si>
  <si>
    <t>PU CAST DE | Disco de poliuretano fundido (MP + HH) | DN 18</t>
  </si>
  <si>
    <t>PU CAST DE | Disco de poliuretano fundido (MP + HH) | DN 20</t>
  </si>
  <si>
    <t>PU CAST DE | Disco de poliuretano fundido (MP + HH) | DN 22</t>
  </si>
  <si>
    <t>PU CAST DE | Disco de poliuretano fundido (MP + HH) | DN 24</t>
  </si>
  <si>
    <t>PU CAST DE | Disco de poliuretano fundido (MP + HH) | DN 26</t>
  </si>
  <si>
    <t>PU CAST DE | Disco de poliuretano fundido (MP + HH) | DN 28</t>
  </si>
  <si>
    <t>PU CAST DE | Disco de poliuretano fundido (MP + HH) | DN 30</t>
  </si>
  <si>
    <t>PU CAST DE | Disco de poliuretano fundido (MP + HH) | DN 32</t>
  </si>
  <si>
    <t>PU CAST DE | Disco de poliuretano fundido (MP + HH) | DN 34</t>
  </si>
  <si>
    <t>PU CAST DE | Disco de poliuretano fundido (MP + HH) | DN 36</t>
  </si>
  <si>
    <t>PU CAST DE | Disco de poliuretano fundido (MP + HH) | DN 38</t>
  </si>
  <si>
    <t>PU CAST DE | Disco de poliuretano fundido (MP + HH) | DN 40</t>
  </si>
  <si>
    <t>PU CAST DE | Disco de poliuretano fundido (MP + HH) | DN 42</t>
  </si>
  <si>
    <t>PU CAST HFLEX | Disco de poliuretano fundido (MP + HH) | DN 2</t>
  </si>
  <si>
    <t>PU CAST HFLEX | Disco de poliuretano fundido (MP + HH) | DN 3</t>
  </si>
  <si>
    <t>PU CAST HFLEX | Disco de poliuretano fundido (MP + HH) | DN 4</t>
  </si>
  <si>
    <t>PU CAST HFLEX | Disco de poliuretano fundido (MP + HH) | DN 6</t>
  </si>
  <si>
    <t>PU CAST HFLEX | Disco de poliuretano fundido (MP + HH) | DN 8</t>
  </si>
  <si>
    <t>PU CAST HFLEX | Disco de poliuretano fundido (MP + HH) | DN 10</t>
  </si>
  <si>
    <t>PU CAST HFLEX | Disco de poliuretano fundido (MP + HH) | DN 12</t>
  </si>
  <si>
    <t>PU CAST HFLEX | Disco de poliuretano fundido (MP + HH) | DN 14</t>
  </si>
  <si>
    <t>PU CAST HFLEX | Disco de poliuretano fundido (MP + HH) | DN 16</t>
  </si>
  <si>
    <t>PU CAST HFLEX | Disco de poliuretano fundido (MP + HH) | DN 18</t>
  </si>
  <si>
    <t>PU CAST HFLEX | Disco de poliuretano fundido (MP + HH) | DN 20</t>
  </si>
  <si>
    <t>PU CAST HFLEX | Disco de poliuretano fundido (MP + HH) | DN 22</t>
  </si>
  <si>
    <t>PU CAST HFLEX | Disco de poliuretano fundido (MP + HH) | DN 24</t>
  </si>
  <si>
    <t>PU CAST HFLEX | Disco de poliuretano fundido (MP + HH) | DN 26</t>
  </si>
  <si>
    <t>CALANDRA ERAM: 450,00</t>
  </si>
  <si>
    <t>PAINEL DE NAVEGAÇÃO</t>
  </si>
  <si>
    <t>Clique em um botão para ir direto à aba</t>
  </si>
  <si>
    <t>🔎 GERAL</t>
  </si>
  <si>
    <t>▶  BUSCA DE CUSTO</t>
  </si>
  <si>
    <t>▶  EVOLUÇÃO DE CUSTOS - MP</t>
  </si>
  <si>
    <t>▶  EVOLUÇÃO DE CUSTOS - PRODUTOS</t>
  </si>
  <si>
    <t>▶  PARÂMETROS</t>
  </si>
  <si>
    <t>▶  LBD</t>
  </si>
  <si>
    <t>▶  CORPO MANDRIL</t>
  </si>
  <si>
    <t>▶  LUN</t>
  </si>
  <si>
    <t>▶  SUPERFLEX</t>
  </si>
  <si>
    <t>▶  PIGS EM BORRACHA</t>
  </si>
  <si>
    <t>▶  ELC_MG_PC</t>
  </si>
  <si>
    <t>▶  PU CAST</t>
  </si>
  <si>
    <t>▶  SILICONE</t>
  </si>
  <si>
    <t>▶  H</t>
  </si>
  <si>
    <t>▶  HS</t>
  </si>
  <si>
    <t>▶  HL</t>
  </si>
  <si>
    <t>▶  HLR</t>
  </si>
  <si>
    <t>▶  HLR X</t>
  </si>
  <si>
    <t>▶  HLR R</t>
  </si>
  <si>
    <t>▶  HLR V</t>
  </si>
  <si>
    <t>▶  HDISC</t>
  </si>
  <si>
    <t>▶  HLCC</t>
  </si>
  <si>
    <t>▶  HLCC PC</t>
  </si>
  <si>
    <t>⬅ PAINEL</t>
  </si>
  <si>
    <t>CUSTO SISTEMA AMINO = KG</t>
  </si>
  <si>
    <t>🔩 PIG MANDRIL</t>
  </si>
  <si>
    <t>🧽 PIG EM ESPUMA</t>
  </si>
  <si>
    <t>🧪 PIGS E ACESSÓRIOS PU</t>
  </si>
  <si>
    <t>📄 OUTROS PRODUTOS</t>
  </si>
  <si>
    <t>▶  HLB</t>
  </si>
  <si>
    <t>CUSTOS DE PRODUÇÃO: ESPUMAGEM
PIG HLB</t>
  </si>
  <si>
    <t>PIG HLB | PIG HLB — MÉDIA (140-160 KG/M³) | DN 2''</t>
  </si>
  <si>
    <t>PIG HLB | PIG HLB — MÉDIA (140-160 KG/M³) | DN 3''</t>
  </si>
  <si>
    <t>PIG HLB | PIG HLB — MÉDIA (140-160 KG/M³) | DN 4''</t>
  </si>
  <si>
    <t>PIG HLB | PIG HLB — MÉDIA (140-160 KG/M³) | DN 6''</t>
  </si>
  <si>
    <t>PIG HLB | PIG HLB — MÉDIA (140-160 KG/M³) | DN 7''</t>
  </si>
  <si>
    <t>PIG HLB | PIG HLB — MÉDIA (140-160 KG/M³) | DN 8''</t>
  </si>
  <si>
    <t>PIG HLB | PIG HLB — MÉDIA (140-160 KG/M³) | DN 10''</t>
  </si>
  <si>
    <t>PIG HLB | PIG HLB — MÉDIA (140-160 KG/M³) | DN 12''</t>
  </si>
  <si>
    <t>PIG HLB | PIG HLB — MÉDIA (140-160 KG/M³) | DN 14''</t>
  </si>
  <si>
    <t>PIG HLB | PIG HLB — MÉDIA (140-160 KG/M³) | DN 16''</t>
  </si>
  <si>
    <t>PIG HLB | PIG HLB — MÉDIA (140-160 KG/M³) | DN 18''</t>
  </si>
  <si>
    <t>PIG HLB | PIG HLB — MÉDIA (140-160 KG/M³) | DN 20''</t>
  </si>
  <si>
    <t>PIG HLB | PIG HLB — MÉDIA (140-160 KG/M³) | DN 22''</t>
  </si>
  <si>
    <t>PIG HLB | PIG HLB — MÉDIA (140-160 KG/M³) | DN 24''</t>
  </si>
  <si>
    <t>PIG HLB | PIG HLB — MÉDIA (140-160 KG/M³) | DN 26''</t>
  </si>
  <si>
    <t>PIG HLB | PIG HLB — MÉDIA (140-160 KG/M³) | DN 28''</t>
  </si>
  <si>
    <t>PIG HLB | PIG HLB — MÉDIA (140-160 KG/M³) | DN 30''</t>
  </si>
  <si>
    <t>PIG HLB | PIG HLB — MÉDIA (140-160 KG/M³) | DN 32''</t>
  </si>
  <si>
    <t>PIG HLB | PIG HLB — MÉDIA (140-160 KG/M³) | DN 34''</t>
  </si>
  <si>
    <t>PIG HLB | PIG HLB — MÉDIA (140-160 KG/M³) | DN 36''</t>
  </si>
  <si>
    <t>PIG HLB | PIG HLB — MÉDIA (140-160 KG/M³) | DN 38''</t>
  </si>
  <si>
    <t>PIG HLB | PIG HLB — MÉDIA (140-160 KG/M³) | DN 40''</t>
  </si>
  <si>
    <t>PIG HLB | PIG HLB — MÉDIA (140-160 KG/M³) | DN 42''</t>
  </si>
  <si>
    <t>PIG HLB | PIG HLB — MÉDIA (140-160 KG/M³) | DN 44''</t>
  </si>
  <si>
    <t>PIG HLB | PIG HLB — ALTA (170-190 KG/M³) | DN 2''</t>
  </si>
  <si>
    <t>PIG HLB | PIG HLB — ALTA (170-190 KG/M³) | DN 3''</t>
  </si>
  <si>
    <t>PIG HLB | PIG HLB — ALTA (170-190 KG/M³) | DN 4''</t>
  </si>
  <si>
    <t>PIG HLB | PIG HLB — ALTA (170-190 KG/M³) | DN 6''</t>
  </si>
  <si>
    <t>PIG HLB | PIG HLB — ALTA (170-190 KG/M³) | DN 7''</t>
  </si>
  <si>
    <t>PIG HLB | PIG HLB — ALTA (170-190 KG/M³) | DN 8''</t>
  </si>
  <si>
    <t>PIG HLB | PIG HLB — ALTA (170-190 KG/M³) | DN 10''</t>
  </si>
  <si>
    <t>PIG HLB | PIG HLB — ALTA (170-190 KG/M³) | DN 12''</t>
  </si>
  <si>
    <t>PIG HLB | PIG HLB — ALTA (170-190 KG/M³) | DN 14''</t>
  </si>
  <si>
    <t>PIG HLB | PIG HLB — ALTA (170-190 KG/M³) | DN 16''</t>
  </si>
  <si>
    <t>PIG HLB | PIG HLB — ALTA (170-190 KG/M³) | DN 18''</t>
  </si>
  <si>
    <t>PIG HLB | PIG HLB — ALTA (170-190 KG/M³) | DN 20''</t>
  </si>
  <si>
    <t>PIG HLB | PIG HLB — ALTA (170-190 KG/M³) | DN 22''</t>
  </si>
  <si>
    <t>PIG HLB | PIG HLB — ALTA (170-190 KG/M³) | DN 24''</t>
  </si>
  <si>
    <t>PIG HLB | PIG HLB — ALTA (170-190 KG/M³) | DN 26''</t>
  </si>
  <si>
    <t>PIG HLB | PIG HLB — ALTA (170-190 KG/M³) | DN 28''</t>
  </si>
  <si>
    <t>PIG HLB | PIG HLB — ALTA (170-190 KG/M³) | DN 30''</t>
  </si>
  <si>
    <t>PIG HLB | PIG HLB — ALTA (170-190 KG/M³) | DN 32''</t>
  </si>
  <si>
    <t>PIG HLB | PIG HLB — ALTA (170-190 KG/M³) | DN 34''</t>
  </si>
  <si>
    <t>PIG HLB | PIG HLB — ALTA (170-190 KG/M³) | DN 36''</t>
  </si>
  <si>
    <t>PIG HLB | PIG HLB — ALTA (170-190 KG/M³) | DN 38''</t>
  </si>
  <si>
    <t>PIG HLB | PIG HLB — ALTA (170-190 KG/M³) | DN 40''</t>
  </si>
  <si>
    <t>PIG HLB | PIG HLB — ALTA (170-190 KG/M³) | DN 42''</t>
  </si>
  <si>
    <t>PIG HLB | PIG HLB — ALTA (170-190 KG/M³) | DN 44''</t>
  </si>
  <si>
    <t>PIG HLB</t>
  </si>
  <si>
    <t>PIG HLB — MÉDIA (140-160 KG/M³)</t>
  </si>
  <si>
    <t>PIG HLB — ALTA (170-190 KG/M³)</t>
  </si>
  <si>
    <t>escalonado padrão</t>
  </si>
  <si>
    <t>PIG HLCC-PC</t>
  </si>
  <si>
    <t>ESCALONADO PADRÃO (pçs)</t>
  </si>
  <si>
    <t>ESCALONADO PERSONALIZADO (pçs)</t>
  </si>
  <si>
    <t>CUSTO C/ ESC. PERSONALIZADO (R$)</t>
  </si>
  <si>
    <t>CUSTO MP (R$)</t>
  </si>
  <si>
    <t>CUSTO HH / CICLO (R$)</t>
  </si>
  <si>
    <t>ESCALONADO PADRÃO (pçs):</t>
  </si>
  <si>
    <t>ESCALONADO PERSONALIZADO (pçs):</t>
  </si>
  <si>
    <t>CUSTO C/ ESC. PERSONALIZADO (R$):</t>
  </si>
  <si>
    <t>COPOS DE BORRACHA — CUSTO SOBRESSALENTE (R$)</t>
  </si>
  <si>
    <t>BLOCO DE ESPUMA
DINATEC = MAIO 2026        (M³)</t>
  </si>
  <si>
    <t>ELASTOMERO 
TECPUR 385</t>
  </si>
  <si>
    <t>MOCA</t>
  </si>
  <si>
    <t>CUSTO ELASTOMERO = KG</t>
  </si>
  <si>
    <t>CUSTO KG MOCA
SELO</t>
  </si>
  <si>
    <t>CUSTO KG MOCA
ETIQUETA</t>
  </si>
  <si>
    <t xml:space="preserve">CUSTO CORDA OLHAL= METRO
"COMERCIAL" </t>
  </si>
  <si>
    <t xml:space="preserve">CUSTO ELASTOMERO = KG
TECPUR </t>
  </si>
  <si>
    <t>CUSTO KG 
MOCA
 (COIM)</t>
  </si>
  <si>
    <t xml:space="preserve">CUSTO CORDA OLHAL= METRO
"COMERCIAL" - </t>
  </si>
  <si>
    <t>CUSTO MOCA = KG
COIM</t>
  </si>
  <si>
    <t>CUSTO MÉDIO KG PIGMENTO 
= ASTA QUIMIC</t>
  </si>
  <si>
    <t xml:space="preserve">PREÇO COMERCIAL
</t>
  </si>
  <si>
    <t>METRO ESCOVA 
GROSSA -  ACIMA DN 6''</t>
  </si>
  <si>
    <t>METRO ESCOVA 
FINA * ATÉ DN 4''</t>
  </si>
  <si>
    <t>METRO ESCOVA 
FINA - ATÉ DN 4''</t>
  </si>
  <si>
    <t>CUSTO ELASTOMERO = KG
TECPUR</t>
  </si>
  <si>
    <t xml:space="preserve">PREÇO COMERCIAL
= CENTER TINTAS </t>
  </si>
  <si>
    <t>METRO ESCOVA 
GROSSA * ACIMA DN 6''</t>
  </si>
  <si>
    <t>CUSTO MOCA = KG
COIM -</t>
  </si>
  <si>
    <t>CUSTO MÉDIO KG PIGMENTO 
= ASTA QUIMICA</t>
  </si>
  <si>
    <t xml:space="preserve">METRO VELCRO
"COMERCIAL"
</t>
  </si>
  <si>
    <t>PREÇO COMERCIAL
= CENTER TINTAS</t>
  </si>
  <si>
    <t xml:space="preserve">CUSTO MOCA = KG
COIM </t>
  </si>
  <si>
    <t>METRO VELCRO
"COMERCIAL"</t>
  </si>
  <si>
    <t>MP TOTAL = HLB</t>
  </si>
  <si>
    <t>CUSTO CORDA OLHAL= METRO
"COMERCIAL"</t>
  </si>
  <si>
    <t>CUSTO METRO
CABO DE AÇO</t>
  </si>
  <si>
    <t>PREÇO METRO</t>
  </si>
  <si>
    <t>PREÇO USINAGEM + ALUMINIO 06/2026</t>
  </si>
  <si>
    <t>MANTA SILICONE (kg)</t>
  </si>
  <si>
    <t>DISCO ESPAÇADOR (ATP 85)</t>
  </si>
  <si>
    <t>BUMPER (ATP 85 — ELASTÔMERO)</t>
  </si>
  <si>
    <t>CUSTO IMA 8 X 5MM SAMARIO</t>
  </si>
  <si>
    <t>CUSTO IMA 22 X 10MM SAMARIO</t>
  </si>
  <si>
    <t>IMÃ 22 X 10MM SAMÁRIO (un)</t>
  </si>
  <si>
    <t>IMÃ 8 X 5MM SAMÁRIO (un)</t>
  </si>
  <si>
    <t>PERFITECNICA</t>
  </si>
  <si>
    <t>OXIMAG/MAGTEK</t>
  </si>
  <si>
    <t>ARSAN</t>
  </si>
  <si>
    <t>COMPARATIVO BLOCO DE ESPUMA D26</t>
  </si>
  <si>
    <t>PREÇO (R$/kg) 05/2026 SEM IMPOSTO</t>
  </si>
  <si>
    <t>CUSTOS: AGOSTO/2026</t>
  </si>
  <si>
    <t>MÃO DE OBRA (HH) / CICLO / ESCALONADO</t>
  </si>
  <si>
    <t>CBP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</si>
</sst>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&quot;R$ &quot;#,##0.00"/>
    <numFmt numFmtId="165" formatCode="\+0.0%;\-0.0%;0.0%"/>
    <numFmt numFmtId="166" formatCode="mmm\-yy"/>
    <numFmt numFmtId="167" formatCode="#,##0.00;;\-"/>
    <numFmt numFmtId="168" formatCode="&quot;R$ &quot;#,##0.00;;;&quot;1º registro&quot;"/>
    <numFmt numFmtId="169" formatCode="\+0.0%;\-0.0%;&quot;&quot;"/>
    <numFmt numFmtId="170" formatCode="[$-F400]h:mm:ss\ AM/PM"/>
    <numFmt numFmtId="171" formatCode="0.0&quot; H&quot;"/>
    <numFmt numFmtId="172" formatCode="0.000"/>
    <numFmt numFmtId="173" formatCode="h:mm"/>
    <numFmt numFmtId="174" formatCode="0.0000000"/>
    <numFmt numFmtId="175" formatCode="0.0000"/>
    <numFmt numFmtId="176" formatCode="d\-mmm\-yy"/>
    <numFmt numFmtId="177" formatCode="d\-mmm\-yy;;&quot;—&quot;"/>
    <numFmt numFmtId="178" formatCode="#,##0;;&quot;—&quot;"/>
    <numFmt numFmtId="179" formatCode="#,##0;;&quot;&quot;"/>
    <numFmt numFmtId="180" formatCode="&quot;R$ &quot;#,##0.00;;&quot;—&quot;"/>
    <numFmt numFmtId="181" formatCode="mmm/yyyy"/>
    <numFmt numFmtId="182" formatCode="&quot;R$&quot;\ #,##0.00"/>
  </numFmts>
  <fonts count="133" x14ac:knownFonts="1">
    <font>
      <sz val="11"/>
      <color theme="1"/>
      <name val="Aptos Narrow"/>
      <family val="2"/>
      <charset val="1"/>
    </font>
    <font>
      <b/>
      <sz val="14"/>
      <color rgb="FFFFFFFF"/>
      <name val="Arial"/>
      <family val="2"/>
    </font>
    <font>
      <i/>
      <sz val="10"/>
      <color rgb="FF7F0000"/>
      <name val="Arial"/>
      <family val="2"/>
    </font>
    <font>
      <b/>
      <sz val="11"/>
      <name val="Arial"/>
      <family val="2"/>
    </font>
    <font>
      <b/>
      <sz val="11"/>
      <color rgb="FF0000CD"/>
      <name val="Arial"/>
      <family val="2"/>
    </font>
    <font>
      <b/>
      <sz val="16"/>
      <color rgb="FF1F3864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7F0000"/>
      <name val="Arial"/>
      <family val="2"/>
    </font>
    <font>
      <i/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1"/>
      <color rgb="FF1F3864"/>
      <name val="Arial"/>
      <family val="2"/>
    </font>
    <font>
      <sz val="10"/>
      <color rgb="FF0000CD"/>
      <name val="Arial"/>
      <family val="2"/>
    </font>
    <font>
      <sz val="9"/>
      <color rgb="FF000000"/>
      <name val="Arial"/>
      <family val="2"/>
    </font>
    <font>
      <sz val="9"/>
      <color rgb="FF0000CD"/>
      <name val="Arial"/>
      <family val="2"/>
    </font>
    <font>
      <i/>
      <sz val="8"/>
      <color rgb="FF7F7F7F"/>
      <name val="Arial"/>
      <family val="2"/>
    </font>
    <font>
      <b/>
      <sz val="14"/>
      <color rgb="FFFFFFFF"/>
      <name val="Arial"/>
      <family val="2"/>
      <charset val="1"/>
    </font>
    <font>
      <b/>
      <sz val="14"/>
      <color rgb="FF7F0000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4"/>
      <color rgb="FF0000CD"/>
      <name val="Arial"/>
      <family val="2"/>
      <charset val="1"/>
    </font>
    <font>
      <b/>
      <sz val="11"/>
      <color rgb="FFFFFFFF"/>
      <name val="Arial"/>
      <family val="2"/>
      <charset val="1"/>
    </font>
    <font>
      <sz val="12"/>
      <color theme="1"/>
      <name val="Aptos Narrow"/>
      <family val="2"/>
      <charset val="1"/>
    </font>
    <font>
      <b/>
      <sz val="9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7F7F7F"/>
      <name val="Arial"/>
      <family val="2"/>
      <charset val="1"/>
    </font>
    <font>
      <b/>
      <sz val="10"/>
      <color rgb="FF0000CD"/>
      <name val="Arial"/>
      <family val="2"/>
      <charset val="1"/>
    </font>
    <font>
      <sz val="1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color rgb="FF0000CD"/>
      <name val="Arial"/>
      <family val="2"/>
    </font>
    <font>
      <sz val="24"/>
      <color theme="1"/>
      <name val="Aptos Narrow"/>
      <family val="2"/>
      <charset val="1"/>
    </font>
    <font>
      <b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8000"/>
      <name val="Arial"/>
      <family val="2"/>
      <charset val="1"/>
    </font>
    <font>
      <sz val="10"/>
      <name val="Aptos Narrow"/>
      <family val="2"/>
      <charset val="1"/>
    </font>
    <font>
      <b/>
      <sz val="16"/>
      <color rgb="FFFFFFFF"/>
      <name val="Arial"/>
      <family val="2"/>
      <charset val="1"/>
    </font>
    <font>
      <b/>
      <sz val="10"/>
      <color rgb="FF008000"/>
      <name val="Arial"/>
      <family val="2"/>
      <charset val="1"/>
    </font>
    <font>
      <sz val="6"/>
      <color theme="1"/>
      <name val="Aptos Narrow"/>
      <family val="2"/>
      <charset val="1"/>
    </font>
    <font>
      <b/>
      <sz val="12"/>
      <color rgb="FFFFFFFF"/>
      <name val="Arial"/>
      <family val="2"/>
    </font>
    <font>
      <sz val="11"/>
      <color rgb="FF008000"/>
      <name val="Aptos Narrow"/>
      <family val="2"/>
      <charset val="1"/>
    </font>
    <font>
      <b/>
      <sz val="10"/>
      <color rgb="FF1F3864"/>
      <name val="Arial"/>
      <family val="2"/>
      <charset val="1"/>
    </font>
    <font>
      <b/>
      <sz val="11"/>
      <color rgb="FF008000"/>
      <name val="Aptos Narrow"/>
      <family val="2"/>
      <charset val="1"/>
    </font>
    <font>
      <b/>
      <i/>
      <sz val="10"/>
      <color rgb="FF7F0000"/>
      <name val="Arial"/>
      <family val="2"/>
      <charset val="1"/>
    </font>
    <font>
      <b/>
      <sz val="11"/>
      <color rgb="FF0000CD"/>
      <name val="Aptos Narrow"/>
      <family val="2"/>
      <charset val="1"/>
    </font>
    <font>
      <sz val="14"/>
      <color theme="1"/>
      <name val="Aptos Narrow"/>
      <family val="2"/>
      <charset val="1"/>
    </font>
    <font>
      <sz val="10"/>
      <color rgb="FF008000"/>
      <name val="Arial"/>
      <family val="2"/>
    </font>
    <font>
      <sz val="11"/>
      <color rgb="FF0000CD"/>
      <name val="Aptos Narrow"/>
      <family val="2"/>
      <charset val="1"/>
    </font>
    <font>
      <b/>
      <sz val="11"/>
      <color rgb="FF000000"/>
      <name val="Arial"/>
      <family val="2"/>
    </font>
    <font>
      <sz val="18"/>
      <color theme="1"/>
      <name val="Aptos Narrow"/>
      <family val="2"/>
      <charset val="1"/>
    </font>
    <font>
      <b/>
      <i/>
      <sz val="10"/>
      <color rgb="FF7F0000"/>
      <name val="Arial"/>
      <family val="2"/>
    </font>
    <font>
      <i/>
      <sz val="14"/>
      <color theme="1"/>
      <name val="Aptos Narrow"/>
      <family val="2"/>
      <charset val="1"/>
    </font>
    <font>
      <b/>
      <sz val="18"/>
      <color rgb="FFFFFFFF"/>
      <name val="Arial"/>
      <family val="2"/>
      <charset val="1"/>
    </font>
    <font>
      <sz val="12"/>
      <color rgb="FF000000"/>
      <name val="Arial"/>
      <family val="2"/>
      <charset val="1"/>
    </font>
    <font>
      <b/>
      <sz val="26"/>
      <name val="Arial"/>
      <family val="2"/>
      <charset val="1"/>
    </font>
    <font>
      <b/>
      <sz val="1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charset val="1"/>
    </font>
    <font>
      <b/>
      <sz val="10"/>
      <color rgb="FFFFFFFF"/>
      <name val="Arial"/>
      <family val="2"/>
    </font>
    <font>
      <b/>
      <sz val="24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i/>
      <sz val="14"/>
      <color theme="3" tint="0.49989318521683401"/>
      <name val="Aptos Narrow"/>
      <family val="2"/>
      <charset val="1"/>
    </font>
    <font>
      <sz val="20"/>
      <color theme="1"/>
      <name val="Aptos Narrow"/>
      <family val="2"/>
      <charset val="1"/>
    </font>
    <font>
      <sz val="22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/>
      <sz val="18"/>
      <color theme="1"/>
      <name val="Aptos Narrow"/>
      <family val="2"/>
      <charset val="1"/>
    </font>
    <font>
      <sz val="12"/>
      <name val="Arial"/>
      <family val="2"/>
      <charset val="1"/>
    </font>
    <font>
      <sz val="12"/>
      <name val="Aptos Narrow"/>
      <family val="2"/>
      <charset val="1"/>
    </font>
    <font>
      <sz val="12"/>
      <color rgb="FF4B0082"/>
      <name val="Arial"/>
      <family val="2"/>
      <charset val="1"/>
    </font>
    <font>
      <b/>
      <sz val="12"/>
      <color rgb="FF0000CD"/>
      <name val="Arial"/>
      <family val="2"/>
      <charset val="1"/>
    </font>
    <font>
      <sz val="12"/>
      <color rgb="FF7F3000"/>
      <name val="Arial"/>
      <family val="2"/>
      <charset val="1"/>
    </font>
    <font>
      <sz val="9"/>
      <color theme="1"/>
      <name val="Aptos Narrow"/>
      <family val="2"/>
      <charset val="1"/>
    </font>
    <font>
      <sz val="16"/>
      <color theme="1"/>
      <name val="Aptos Narrow"/>
      <family val="2"/>
      <charset val="1"/>
    </font>
    <font>
      <sz val="28"/>
      <color theme="1"/>
      <name val="Aptos Narrow"/>
      <family val="2"/>
      <charset val="1"/>
    </font>
    <font>
      <i/>
      <sz val="16"/>
      <color theme="1"/>
      <name val="Aptos Narrow"/>
      <family val="2"/>
      <charset val="1"/>
    </font>
    <font>
      <sz val="26"/>
      <color theme="1"/>
      <name val="Aptos Narrow"/>
      <family val="2"/>
      <charset val="1"/>
    </font>
    <font>
      <b/>
      <i/>
      <sz val="16"/>
      <color theme="1"/>
      <name val="Aptos Narrow"/>
      <family val="2"/>
      <charset val="1"/>
    </font>
    <font>
      <sz val="24"/>
      <color rgb="FF92D050"/>
      <name val="Aptos Narrow"/>
      <family val="2"/>
      <charset val="1"/>
    </font>
    <font>
      <sz val="16"/>
      <color rgb="FF92D050"/>
      <name val="Aptos Narrow"/>
      <family val="2"/>
      <charset val="1"/>
    </font>
    <font>
      <b/>
      <i/>
      <sz val="22"/>
      <color theme="1"/>
      <name val="Aptos Narrow"/>
      <family val="2"/>
      <charset val="1"/>
    </font>
    <font>
      <sz val="48"/>
      <color theme="1"/>
      <name val="Aptos Narrow"/>
      <family val="2"/>
      <charset val="1"/>
    </font>
    <font>
      <b/>
      <sz val="28"/>
      <color theme="1"/>
      <name val="Aptos Narrow"/>
      <family val="2"/>
      <charset val="1"/>
    </font>
    <font>
      <b/>
      <sz val="16"/>
      <color theme="1"/>
      <name val="Aptos Narrow"/>
      <family val="2"/>
      <charset val="1"/>
    </font>
    <font>
      <b/>
      <sz val="20"/>
      <color theme="1"/>
      <name val="Aptos Narrow"/>
      <family val="2"/>
      <charset val="1"/>
    </font>
    <font>
      <b/>
      <sz val="9"/>
      <color rgb="FF0000CD"/>
      <name val="Arial"/>
      <family val="2"/>
      <charset val="1"/>
    </font>
    <font>
      <b/>
      <sz val="14"/>
      <color theme="1"/>
      <name val="Aptos Narrow"/>
      <family val="2"/>
      <charset val="1"/>
    </font>
    <font>
      <sz val="9"/>
      <color rgb="FF4B0082"/>
      <name val="Arial"/>
      <family val="2"/>
      <charset val="1"/>
    </font>
    <font>
      <sz val="9"/>
      <color rgb="FF7F3000"/>
      <name val="Arial"/>
      <family val="2"/>
      <charset val="1"/>
    </font>
    <font>
      <b/>
      <i/>
      <sz val="20"/>
      <color theme="1"/>
      <name val="Aptos Narrow"/>
      <family val="2"/>
      <charset val="1"/>
    </font>
    <font>
      <sz val="18"/>
      <color rgb="FF92D050"/>
      <name val="Aptos Narrow"/>
      <family val="2"/>
      <charset val="1"/>
    </font>
    <font>
      <b/>
      <i/>
      <sz val="18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b/>
      <sz val="14"/>
      <color rgb="FFFFFFFF"/>
      <name val="Arial"/>
      <family val="2"/>
    </font>
    <font>
      <i/>
      <sz val="10"/>
      <color theme="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b/>
      <sz val="11"/>
      <color rgb="FF0000CD"/>
      <name val="Arial"/>
      <family val="2"/>
    </font>
    <font>
      <b/>
      <sz val="11"/>
      <color rgb="FF008000"/>
      <name val="Arial"/>
      <family val="2"/>
    </font>
    <font>
      <b/>
      <sz val="11"/>
      <color rgb="FF1F3864"/>
      <name val="Arial"/>
      <family val="2"/>
    </font>
    <font>
      <b/>
      <sz val="9"/>
      <color rgb="FFFFFFFF"/>
      <name val="Arial"/>
      <family val="2"/>
    </font>
    <font>
      <sz val="11"/>
      <color theme="1"/>
      <name val="Arial"/>
      <family val="2"/>
    </font>
    <font>
      <sz val="10"/>
      <color rgb="FF0000CD"/>
      <name val="Arial"/>
      <family val="2"/>
    </font>
    <font>
      <sz val="9"/>
      <color rgb="FF000000"/>
      <name val="Arial"/>
      <family val="2"/>
    </font>
    <font>
      <sz val="9"/>
      <color rgb="FF0000CD"/>
      <name val="Arial"/>
      <family val="2"/>
    </font>
    <font>
      <i/>
      <sz val="8"/>
      <color rgb="FF7F7F7F"/>
      <name val="Arial"/>
      <family val="2"/>
    </font>
    <font>
      <sz val="16"/>
      <color rgb="FF0000CD"/>
      <name val="Aptos Narrow"/>
      <family val="2"/>
      <charset val="1"/>
    </font>
    <font>
      <b/>
      <sz val="18"/>
      <color rgb="FF0000CD"/>
      <name val="Aptos Narrow"/>
      <family val="2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0"/>
      <color rgb="FF0000FF"/>
      <name val="Arial"/>
      <family val="2"/>
    </font>
    <font>
      <b/>
      <sz val="16"/>
      <color rgb="FFFFFFFF"/>
      <name val="Arial"/>
      <family val="2"/>
    </font>
    <font>
      <b/>
      <sz val="16"/>
      <color rgb="FF1F3864"/>
      <name val="Arial"/>
      <family val="2"/>
    </font>
    <font>
      <b/>
      <sz val="11"/>
      <color rgb="FF000000"/>
      <name val="Arial"/>
      <family val="2"/>
    </font>
    <font>
      <b/>
      <sz val="22"/>
      <color rgb="FFFFFFFF"/>
      <name val="Aptos Narrow"/>
      <family val="2"/>
      <charset val="1"/>
    </font>
    <font>
      <i/>
      <sz val="11"/>
      <color rgb="FF555555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3"/>
      <color rgb="FFFFFFFF"/>
      <name val="Aptos Narrow"/>
      <family val="2"/>
      <charset val="1"/>
    </font>
    <font>
      <b/>
      <sz val="11"/>
      <color theme="1"/>
      <name val="Calibri"/>
      <family val="2"/>
    </font>
    <font>
      <b/>
      <u/>
      <sz val="11"/>
      <color rgb="FF1F3864"/>
      <name val="Calibri"/>
      <family val="2"/>
    </font>
    <font>
      <b/>
      <u/>
      <sz val="11"/>
      <color rgb="FF1F3864"/>
      <name val="Aptos Narrow"/>
      <family val="2"/>
      <charset val="1"/>
    </font>
    <font>
      <b/>
      <u/>
      <sz val="10"/>
      <color rgb="FFFFFFFF"/>
      <name val="Aptos Narrow"/>
      <family val="2"/>
      <charset val="1"/>
    </font>
    <font>
      <b/>
      <sz val="12"/>
      <color rgb="FFFFFFFF"/>
      <name val="Aptos Narrow"/>
      <family val="2"/>
      <charset val="1"/>
    </font>
    <font>
      <b/>
      <sz val="10"/>
      <color theme="1"/>
      <name val="Aptos Narrow"/>
      <family val="2"/>
      <charset val="1"/>
    </font>
    <font>
      <b/>
      <sz val="11"/>
      <color rgb="FF0000FF"/>
      <name val="Aptos Narrow"/>
      <family val="2"/>
      <charset val="1"/>
    </font>
    <font>
      <b/>
      <sz val="10"/>
      <color rgb="FF1F3864"/>
      <name val="Aptos Narrow"/>
      <family val="2"/>
      <charset val="1"/>
    </font>
    <font>
      <b/>
      <sz val="14"/>
      <color rgb="FF1F3864"/>
      <name val="Aptos Narrow"/>
      <family val="2"/>
      <charset val="1"/>
    </font>
    <font>
      <b/>
      <sz val="14"/>
      <color rgb="FF0000FF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sz val="9"/>
      <color theme="0"/>
      <name val="Aptos Narrow"/>
      <family val="2"/>
      <charset val="1"/>
    </font>
  </fonts>
  <fills count="4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EB9C"/>
        <bgColor rgb="FFFFF2CC"/>
      </patternFill>
    </fill>
    <fill>
      <patternFill patternType="solid">
        <fgColor rgb="FFDEEAF1"/>
        <bgColor rgb="FFDCEAF7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F2F2F2"/>
        <bgColor rgb="FFEDE7F6"/>
      </patternFill>
    </fill>
    <fill>
      <patternFill patternType="solid">
        <fgColor theme="7" tint="0.39988402966399123"/>
        <bgColor rgb="FF83CBEB"/>
      </patternFill>
    </fill>
    <fill>
      <patternFill patternType="solid">
        <fgColor rgb="FFA6C9EC"/>
        <bgColor rgb="FFA6CAEC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AF2D0"/>
      </patternFill>
    </fill>
    <fill>
      <patternFill patternType="solid">
        <fgColor theme="3" tint="0.74959562974944305"/>
        <bgColor rgb="FFA6C9EC"/>
      </patternFill>
    </fill>
    <fill>
      <patternFill patternType="solid">
        <fgColor theme="4" tint="0.59987182226020086"/>
        <bgColor rgb="FF61CBF4"/>
      </patternFill>
    </fill>
    <fill>
      <patternFill patternType="solid">
        <fgColor theme="6" tint="0.79979857783745845"/>
        <bgColor rgb="FFC6EFCE"/>
      </patternFill>
    </fill>
    <fill>
      <patternFill patternType="solid">
        <fgColor rgb="FF92D050"/>
        <bgColor rgb="FF70AD47"/>
      </patternFill>
    </fill>
    <fill>
      <patternFill patternType="solid">
        <fgColor theme="9" tint="0.79979857783745845"/>
        <bgColor rgb="FFDAF2D0"/>
      </patternFill>
    </fill>
    <fill>
      <patternFill patternType="solid">
        <fgColor rgb="FFDAF2D0"/>
        <bgColor rgb="FFD9F2D0"/>
      </patternFill>
    </fill>
    <fill>
      <patternFill patternType="solid">
        <fgColor theme="4" tint="0.79989013336588644"/>
        <bgColor rgb="FFCAEEFB"/>
      </patternFill>
    </fill>
    <fill>
      <patternFill patternType="solid">
        <fgColor rgb="FF70AD47"/>
        <bgColor rgb="FF92D050"/>
      </patternFill>
    </fill>
    <fill>
      <patternFill patternType="solid">
        <fgColor theme="7" tint="0.79989013336588644"/>
        <bgColor rgb="FFC1E5F5"/>
      </patternFill>
    </fill>
    <fill>
      <patternFill patternType="solid">
        <fgColor rgb="FFBDD7EE"/>
        <bgColor rgb="FFC1E5F5"/>
      </patternFill>
    </fill>
    <fill>
      <patternFill patternType="solid">
        <fgColor rgb="FFE46C0A"/>
        <bgColor rgb="FF993366"/>
      </patternFill>
    </fill>
    <fill>
      <patternFill patternType="solid">
        <fgColor theme="5" tint="0.79979857783745845"/>
        <bgColor rgb="FFFCE4D6"/>
      </patternFill>
    </fill>
    <fill>
      <patternFill patternType="solid">
        <fgColor theme="3" tint="0.89989928891872917"/>
        <bgColor rgb="FFDEEAF1"/>
      </patternFill>
    </fill>
    <fill>
      <patternFill patternType="solid">
        <fgColor rgb="FF7030A0"/>
        <bgColor rgb="FF993366"/>
      </patternFill>
    </fill>
    <fill>
      <patternFill patternType="solid">
        <fgColor rgb="FFEDE7F6"/>
        <bgColor rgb="FFDEEAF1"/>
      </patternFill>
    </fill>
    <fill>
      <patternFill patternType="solid">
        <fgColor rgb="FF00B0F0"/>
        <bgColor rgb="FF4E95D9"/>
      </patternFill>
    </fill>
    <fill>
      <patternFill patternType="solid">
        <fgColor rgb="FFFF0000"/>
        <bgColor rgb="FF800000"/>
      </patternFill>
    </fill>
    <fill>
      <patternFill patternType="solid">
        <fgColor theme="0" tint="-0.249977111117893"/>
        <bgColor rgb="FFAAAAAA"/>
      </patternFill>
    </fill>
    <fill>
      <patternFill patternType="solid">
        <fgColor rgb="FFFCE4D6"/>
        <bgColor rgb="FFFBE3D6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9D6"/>
        <bgColor indexed="64"/>
      </patternFill>
    </fill>
    <fill>
      <patternFill patternType="solid">
        <fgColor theme="7" tint="0.59999389629810485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auto="1"/>
      </left>
      <right style="thin">
        <color rgb="FFAAAAAA"/>
      </right>
      <top style="thin">
        <color rgb="FFAAAAAA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auto="1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1F38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rgb="FF1F3864"/>
      </left>
      <right/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 style="medium">
        <color indexed="64"/>
      </left>
      <right style="thin">
        <color rgb="FFAAAAAA"/>
      </right>
      <top style="medium">
        <color indexed="64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indexed="64"/>
      </top>
      <bottom style="thin">
        <color rgb="FFAAAAAA"/>
      </bottom>
      <diagonal/>
    </border>
    <border>
      <left style="thin">
        <color rgb="FFAAAAAA"/>
      </left>
      <right style="medium">
        <color indexed="64"/>
      </right>
      <top style="medium">
        <color indexed="64"/>
      </top>
      <bottom style="thin">
        <color rgb="FFAAAAAA"/>
      </bottom>
      <diagonal/>
    </border>
    <border>
      <left style="thin">
        <color rgb="FFAAAAAA"/>
      </left>
      <right style="medium">
        <color indexed="64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indexed="64"/>
      </right>
      <top style="thin">
        <color rgb="FFAAAAAA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1F3864"/>
      </left>
      <right style="thin">
        <color rgb="FF1F3864"/>
      </right>
      <top/>
      <bottom style="thin">
        <color rgb="FF1F38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1F3864"/>
      </left>
      <right/>
      <top/>
      <bottom/>
      <diagonal/>
    </border>
    <border>
      <left style="thin">
        <color rgb="FF1F3864"/>
      </left>
      <right/>
      <top/>
      <bottom style="medium">
        <color indexed="64"/>
      </bottom>
      <diagonal/>
    </border>
    <border>
      <left style="thin">
        <color auto="1"/>
      </left>
      <right style="thin">
        <color rgb="FFAAAAAA"/>
      </right>
      <top style="thin">
        <color auto="1"/>
      </top>
      <bottom style="thin">
        <color rgb="FFAAAAAA"/>
      </bottom>
      <diagonal/>
    </border>
    <border>
      <left style="thin">
        <color auto="1"/>
      </left>
      <right style="thin">
        <color rgb="FFAAAAAA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AAAAA"/>
      </bottom>
      <diagonal/>
    </border>
  </borders>
  <cellStyleXfs count="3">
    <xf numFmtId="0" fontId="0" fillId="0" borderId="0"/>
    <xf numFmtId="0" fontId="92" fillId="0" borderId="0"/>
    <xf numFmtId="0" fontId="112" fillId="0" borderId="0" applyNumberFormat="0" applyFill="0" applyBorder="0" applyAlignment="0" applyProtection="0"/>
  </cellStyleXfs>
  <cellXfs count="514">
    <xf numFmtId="0" fontId="0" fillId="0" borderId="0" xfId="0"/>
    <xf numFmtId="0" fontId="3" fillId="0" borderId="0" xfId="0" applyFont="1"/>
    <xf numFmtId="0" fontId="6" fillId="0" borderId="0" xfId="0" applyFont="1"/>
    <xf numFmtId="0" fontId="8" fillId="6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164" fontId="13" fillId="5" borderId="0" xfId="0" applyNumberFormat="1" applyFont="1" applyFill="1" applyAlignment="1">
      <alignment vertical="center" indent="1"/>
    </xf>
    <xf numFmtId="15" fontId="13" fillId="5" borderId="0" xfId="0" applyNumberFormat="1" applyFont="1" applyFill="1" applyAlignment="1">
      <alignment vertical="center" indent="1"/>
    </xf>
    <xf numFmtId="165" fontId="13" fillId="5" borderId="0" xfId="0" applyNumberFormat="1" applyFont="1" applyFill="1" applyAlignment="1">
      <alignment vertical="center" indent="1"/>
    </xf>
    <xf numFmtId="1" fontId="13" fillId="5" borderId="0" xfId="0" applyNumberFormat="1" applyFont="1" applyFill="1" applyAlignment="1">
      <alignment vertical="center" indent="1"/>
    </xf>
    <xf numFmtId="0" fontId="8" fillId="6" borderId="4" xfId="0" applyFont="1" applyFill="1" applyBorder="1" applyAlignment="1">
      <alignment horizontal="center" vertical="center" wrapText="1"/>
    </xf>
    <xf numFmtId="166" fontId="8" fillId="6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167" fontId="15" fillId="0" borderId="4" xfId="0" applyNumberFormat="1" applyFont="1" applyBorder="1" applyAlignment="1">
      <alignment horizontal="center"/>
    </xf>
    <xf numFmtId="15" fontId="16" fillId="0" borderId="4" xfId="0" applyNumberFormat="1" applyFont="1" applyBorder="1"/>
    <xf numFmtId="0" fontId="16" fillId="0" borderId="4" xfId="0" applyFont="1" applyBorder="1"/>
    <xf numFmtId="164" fontId="16" fillId="0" borderId="4" xfId="0" applyNumberFormat="1" applyFont="1" applyBorder="1"/>
    <xf numFmtId="168" fontId="15" fillId="0" borderId="4" xfId="0" applyNumberFormat="1" applyFont="1" applyBorder="1"/>
    <xf numFmtId="169" fontId="15" fillId="0" borderId="4" xfId="0" applyNumberFormat="1" applyFont="1" applyBorder="1"/>
    <xf numFmtId="0" fontId="17" fillId="0" borderId="4" xfId="0" applyFont="1" applyBorder="1"/>
    <xf numFmtId="0" fontId="0" fillId="7" borderId="0" xfId="0" applyFill="1"/>
    <xf numFmtId="0" fontId="20" fillId="0" borderId="0" xfId="0" applyFont="1" applyAlignment="1">
      <alignment horizontal="right" vertical="center"/>
    </xf>
    <xf numFmtId="164" fontId="21" fillId="8" borderId="5" xfId="0" applyNumberFormat="1" applyFont="1" applyFill="1" applyBorder="1" applyAlignment="1">
      <alignment horizontal="center" vertical="center"/>
    </xf>
    <xf numFmtId="0" fontId="0" fillId="7" borderId="7" xfId="0" applyFill="1" applyBorder="1"/>
    <xf numFmtId="0" fontId="25" fillId="4" borderId="8" xfId="0" applyFont="1" applyFill="1" applyBorder="1" applyAlignment="1">
      <alignment horizontal="center" vertical="center"/>
    </xf>
    <xf numFmtId="0" fontId="25" fillId="4" borderId="9" xfId="0" applyFont="1" applyFill="1" applyBorder="1" applyAlignment="1">
      <alignment horizontal="left" vertical="center" wrapText="1"/>
    </xf>
    <xf numFmtId="0" fontId="25" fillId="9" borderId="9" xfId="0" applyFont="1" applyFill="1" applyBorder="1" applyAlignment="1">
      <alignment horizontal="left" vertical="center" wrapText="1"/>
    </xf>
    <xf numFmtId="0" fontId="25" fillId="4" borderId="8" xfId="0" applyFont="1" applyFill="1" applyBorder="1" applyAlignment="1">
      <alignment horizontal="center"/>
    </xf>
    <xf numFmtId="0" fontId="25" fillId="4" borderId="9" xfId="0" applyFont="1" applyFill="1" applyBorder="1" applyAlignment="1">
      <alignment horizontal="left"/>
    </xf>
    <xf numFmtId="0" fontId="25" fillId="9" borderId="9" xfId="0" applyFont="1" applyFill="1" applyBorder="1" applyAlignment="1">
      <alignment horizontal="left"/>
    </xf>
    <xf numFmtId="0" fontId="25" fillId="4" borderId="11" xfId="0" applyFont="1" applyFill="1" applyBorder="1" applyAlignment="1">
      <alignment horizontal="center"/>
    </xf>
    <xf numFmtId="0" fontId="25" fillId="4" borderId="12" xfId="0" applyFont="1" applyFill="1" applyBorder="1" applyAlignment="1">
      <alignment horizontal="left"/>
    </xf>
    <xf numFmtId="0" fontId="25" fillId="9" borderId="12" xfId="0" applyFont="1" applyFill="1" applyBorder="1" applyAlignment="1">
      <alignment horizontal="left"/>
    </xf>
    <xf numFmtId="0" fontId="24" fillId="12" borderId="9" xfId="0" applyFont="1" applyFill="1" applyBorder="1" applyAlignment="1">
      <alignment horizontal="center" vertical="center" wrapText="1"/>
    </xf>
    <xf numFmtId="0" fontId="2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left" vertical="center" wrapText="1"/>
    </xf>
    <xf numFmtId="0" fontId="28" fillId="9" borderId="9" xfId="0" applyFont="1" applyFill="1" applyBorder="1" applyAlignment="1">
      <alignment horizontal="left" vertical="center" wrapText="1"/>
    </xf>
    <xf numFmtId="164" fontId="27" fillId="14" borderId="9" xfId="0" applyNumberFormat="1" applyFont="1" applyFill="1" applyBorder="1" applyAlignment="1">
      <alignment horizontal="center" vertical="center"/>
    </xf>
    <xf numFmtId="164" fontId="27" fillId="13" borderId="9" xfId="0" applyNumberFormat="1" applyFont="1" applyFill="1" applyBorder="1" applyAlignment="1">
      <alignment horizontal="center" vertical="center"/>
    </xf>
    <xf numFmtId="164" fontId="30" fillId="4" borderId="3" xfId="0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" fontId="0" fillId="7" borderId="0" xfId="0" applyNumberFormat="1" applyFill="1"/>
    <xf numFmtId="0" fontId="24" fillId="6" borderId="0" xfId="0" applyFont="1" applyFill="1" applyAlignment="1">
      <alignment horizontal="center" vertical="center" wrapText="1"/>
    </xf>
    <xf numFmtId="1" fontId="24" fillId="6" borderId="0" xfId="0" applyNumberFormat="1" applyFont="1" applyFill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32" fillId="12" borderId="9" xfId="0" applyFont="1" applyFill="1" applyBorder="1" applyAlignment="1">
      <alignment horizontal="center" vertical="center" wrapText="1"/>
    </xf>
    <xf numFmtId="164" fontId="33" fillId="4" borderId="14" xfId="0" applyNumberFormat="1" applyFont="1" applyFill="1" applyBorder="1" applyAlignment="1">
      <alignment horizontal="center" vertical="center"/>
    </xf>
    <xf numFmtId="1" fontId="33" fillId="4" borderId="15" xfId="0" applyNumberFormat="1" applyFont="1" applyFill="1" applyBorder="1" applyAlignment="1">
      <alignment horizontal="center" vertical="center"/>
    </xf>
    <xf numFmtId="164" fontId="34" fillId="15" borderId="3" xfId="0" applyNumberFormat="1" applyFont="1" applyFill="1" applyBorder="1" applyAlignment="1">
      <alignment horizontal="center" vertical="center"/>
    </xf>
    <xf numFmtId="164" fontId="28" fillId="16" borderId="3" xfId="0" applyNumberFormat="1" applyFont="1" applyFill="1" applyBorder="1" applyAlignment="1">
      <alignment horizontal="center" vertical="center"/>
    </xf>
    <xf numFmtId="170" fontId="35" fillId="16" borderId="3" xfId="0" applyNumberFormat="1" applyFont="1" applyFill="1" applyBorder="1" applyAlignment="1">
      <alignment horizontal="center" vertical="center"/>
    </xf>
    <xf numFmtId="164" fontId="28" fillId="17" borderId="3" xfId="0" applyNumberFormat="1" applyFont="1" applyFill="1" applyBorder="1" applyAlignment="1">
      <alignment horizontal="center" vertical="center"/>
    </xf>
    <xf numFmtId="164" fontId="36" fillId="12" borderId="14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164" fontId="0" fillId="7" borderId="0" xfId="0" applyNumberFormat="1" applyFill="1" applyAlignment="1">
      <alignment horizontal="center" vertical="center" wrapText="1"/>
    </xf>
    <xf numFmtId="164" fontId="34" fillId="17" borderId="3" xfId="0" applyNumberFormat="1" applyFont="1" applyFill="1" applyBorder="1" applyAlignment="1">
      <alignment horizontal="center" vertical="center"/>
    </xf>
    <xf numFmtId="164" fontId="37" fillId="12" borderId="14" xfId="0" applyNumberFormat="1" applyFont="1" applyFill="1" applyBorder="1" applyAlignment="1">
      <alignment horizontal="center" vertical="center"/>
    </xf>
    <xf numFmtId="0" fontId="38" fillId="7" borderId="0" xfId="0" applyFont="1" applyFill="1" applyAlignment="1">
      <alignment horizontal="center" vertical="center" wrapText="1"/>
    </xf>
    <xf numFmtId="164" fontId="40" fillId="18" borderId="0" xfId="0" applyNumberFormat="1" applyFont="1" applyFill="1" applyAlignment="1">
      <alignment horizontal="center" vertical="center" wrapText="1"/>
    </xf>
    <xf numFmtId="0" fontId="41" fillId="7" borderId="0" xfId="0" applyFont="1" applyFill="1" applyAlignment="1">
      <alignment horizontal="right"/>
    </xf>
    <xf numFmtId="164" fontId="42" fillId="19" borderId="16" xfId="0" applyNumberFormat="1" applyFont="1" applyFill="1" applyBorder="1" applyAlignment="1">
      <alignment horizontal="center"/>
    </xf>
    <xf numFmtId="171" fontId="44" fillId="8" borderId="3" xfId="0" applyNumberFormat="1" applyFont="1" applyFill="1" applyBorder="1" applyAlignment="1">
      <alignment horizontal="center"/>
    </xf>
    <xf numFmtId="0" fontId="45" fillId="7" borderId="0" xfId="0" applyFont="1" applyFill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 wrapText="1"/>
    </xf>
    <xf numFmtId="164" fontId="46" fillId="0" borderId="3" xfId="0" applyNumberFormat="1" applyFont="1" applyBorder="1" applyAlignment="1">
      <alignment horizontal="center" vertical="center" wrapText="1"/>
    </xf>
    <xf numFmtId="0" fontId="47" fillId="7" borderId="3" xfId="0" applyFon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71" fontId="44" fillId="7" borderId="3" xfId="0" applyNumberFormat="1" applyFont="1" applyFill="1" applyBorder="1" applyAlignment="1">
      <alignment horizontal="center" vertical="center"/>
    </xf>
    <xf numFmtId="164" fontId="47" fillId="7" borderId="3" xfId="0" applyNumberFormat="1" applyFont="1" applyFill="1" applyBorder="1" applyAlignment="1">
      <alignment horizontal="center" vertical="center"/>
    </xf>
    <xf numFmtId="164" fontId="0" fillId="18" borderId="3" xfId="0" applyNumberForma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left" vertical="center" wrapText="1"/>
    </xf>
    <xf numFmtId="0" fontId="48" fillId="5" borderId="3" xfId="0" applyFont="1" applyFill="1" applyBorder="1" applyAlignment="1">
      <alignment horizontal="left" vertical="center" wrapText="1"/>
    </xf>
    <xf numFmtId="164" fontId="48" fillId="5" borderId="3" xfId="0" applyNumberFormat="1" applyFont="1" applyFill="1" applyBorder="1" applyAlignment="1">
      <alignment horizontal="center" vertical="center" wrapText="1"/>
    </xf>
    <xf numFmtId="0" fontId="49" fillId="0" borderId="0" xfId="0" applyFont="1"/>
    <xf numFmtId="0" fontId="24" fillId="6" borderId="3" xfId="0" applyFont="1" applyFill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1" fontId="54" fillId="8" borderId="3" xfId="0" applyNumberFormat="1" applyFont="1" applyFill="1" applyBorder="1" applyAlignment="1">
      <alignment horizontal="center" vertical="center" wrapText="1"/>
    </xf>
    <xf numFmtId="164" fontId="28" fillId="7" borderId="3" xfId="0" applyNumberFormat="1" applyFont="1" applyFill="1" applyBorder="1" applyAlignment="1">
      <alignment horizontal="center" vertical="center" wrapText="1"/>
    </xf>
    <xf numFmtId="164" fontId="55" fillId="17" borderId="3" xfId="0" applyNumberFormat="1" applyFont="1" applyFill="1" applyBorder="1" applyAlignment="1">
      <alignment horizontal="center" vertical="center" wrapText="1"/>
    </xf>
    <xf numFmtId="1" fontId="54" fillId="7" borderId="3" xfId="0" applyNumberFormat="1" applyFont="1" applyFill="1" applyBorder="1" applyAlignment="1">
      <alignment horizontal="center" vertical="center" wrapText="1"/>
    </xf>
    <xf numFmtId="164" fontId="56" fillId="17" borderId="3" xfId="0" applyNumberFormat="1" applyFont="1" applyFill="1" applyBorder="1" applyAlignment="1">
      <alignment horizontal="center" vertical="center" wrapText="1"/>
    </xf>
    <xf numFmtId="164" fontId="57" fillId="17" borderId="3" xfId="0" applyNumberFormat="1" applyFont="1" applyFill="1" applyBorder="1" applyAlignment="1">
      <alignment horizontal="center" vertical="center" wrapText="1"/>
    </xf>
    <xf numFmtId="172" fontId="9" fillId="0" borderId="3" xfId="0" applyNumberFormat="1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 wrapText="1"/>
    </xf>
    <xf numFmtId="164" fontId="9" fillId="7" borderId="3" xfId="0" applyNumberFormat="1" applyFont="1" applyFill="1" applyBorder="1" applyAlignment="1">
      <alignment horizontal="center" vertical="center" wrapText="1"/>
    </xf>
    <xf numFmtId="164" fontId="58" fillId="17" borderId="3" xfId="0" applyNumberFormat="1" applyFont="1" applyFill="1" applyBorder="1" applyAlignment="1">
      <alignment horizontal="center" vertical="center" wrapText="1"/>
    </xf>
    <xf numFmtId="164" fontId="59" fillId="21" borderId="3" xfId="0" applyNumberFormat="1" applyFont="1" applyFill="1" applyBorder="1" applyAlignment="1">
      <alignment horizontal="center" vertical="center" wrapText="1"/>
    </xf>
    <xf numFmtId="164" fontId="52" fillId="12" borderId="3" xfId="0" applyNumberFormat="1" applyFont="1" applyFill="1" applyBorder="1" applyAlignment="1">
      <alignment horizontal="center" vertical="center" wrapText="1"/>
    </xf>
    <xf numFmtId="173" fontId="9" fillId="0" borderId="3" xfId="0" applyNumberFormat="1" applyFont="1" applyBorder="1" applyAlignment="1">
      <alignment horizontal="center" vertical="center" wrapText="1"/>
    </xf>
    <xf numFmtId="164" fontId="60" fillId="12" borderId="3" xfId="0" applyNumberFormat="1" applyFont="1" applyFill="1" applyBorder="1" applyAlignment="1">
      <alignment horizontal="center" vertical="center" wrapText="1"/>
    </xf>
    <xf numFmtId="164" fontId="61" fillId="12" borderId="3" xfId="0" applyNumberFormat="1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left" vertical="center" wrapText="1"/>
    </xf>
    <xf numFmtId="164" fontId="46" fillId="7" borderId="3" xfId="0" applyNumberFormat="1" applyFont="1" applyFill="1" applyBorder="1" applyAlignment="1">
      <alignment horizontal="center" vertical="center" wrapText="1"/>
    </xf>
    <xf numFmtId="164" fontId="25" fillId="7" borderId="3" xfId="0" applyNumberFormat="1" applyFont="1" applyFill="1" applyBorder="1" applyAlignment="1">
      <alignment horizontal="center" vertical="center" wrapText="1"/>
    </xf>
    <xf numFmtId="164" fontId="28" fillId="22" borderId="3" xfId="0" applyNumberFormat="1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" fontId="54" fillId="7" borderId="0" xfId="0" applyNumberFormat="1" applyFont="1" applyFill="1" applyAlignment="1">
      <alignment horizontal="center" vertical="center" wrapText="1"/>
    </xf>
    <xf numFmtId="164" fontId="28" fillId="7" borderId="0" xfId="0" applyNumberFormat="1" applyFont="1" applyFill="1" applyAlignment="1">
      <alignment horizontal="center" vertical="center" wrapText="1"/>
    </xf>
    <xf numFmtId="164" fontId="55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left" vertical="center" wrapText="1"/>
    </xf>
    <xf numFmtId="164" fontId="56" fillId="7" borderId="0" xfId="0" applyNumberFormat="1" applyFont="1" applyFill="1" applyAlignment="1">
      <alignment horizontal="center" vertical="center" wrapText="1"/>
    </xf>
    <xf numFmtId="164" fontId="46" fillId="7" borderId="0" xfId="0" applyNumberFormat="1" applyFont="1" applyFill="1" applyAlignment="1">
      <alignment horizontal="center" vertical="center" wrapText="1"/>
    </xf>
    <xf numFmtId="164" fontId="57" fillId="7" borderId="0" xfId="0" applyNumberFormat="1" applyFont="1" applyFill="1" applyAlignment="1">
      <alignment horizontal="center" vertical="center" wrapText="1"/>
    </xf>
    <xf numFmtId="172" fontId="9" fillId="7" borderId="0" xfId="0" applyNumberFormat="1" applyFont="1" applyFill="1" applyAlignment="1">
      <alignment horizontal="center" vertical="center" wrapText="1"/>
    </xf>
    <xf numFmtId="164" fontId="9" fillId="7" borderId="0" xfId="0" applyNumberFormat="1" applyFont="1" applyFill="1" applyAlignment="1">
      <alignment horizontal="center" vertical="center" wrapText="1"/>
    </xf>
    <xf numFmtId="0" fontId="25" fillId="7" borderId="0" xfId="0" applyFont="1" applyFill="1" applyAlignment="1">
      <alignment horizontal="left" vertical="center" wrapText="1"/>
    </xf>
    <xf numFmtId="164" fontId="58" fillId="7" borderId="0" xfId="0" applyNumberFormat="1" applyFont="1" applyFill="1" applyAlignment="1">
      <alignment horizontal="center" vertical="center" wrapText="1"/>
    </xf>
    <xf numFmtId="164" fontId="25" fillId="7" borderId="0" xfId="0" applyNumberFormat="1" applyFont="1" applyFill="1" applyAlignment="1">
      <alignment horizontal="center" vertical="center" wrapText="1"/>
    </xf>
    <xf numFmtId="164" fontId="59" fillId="7" borderId="0" xfId="0" applyNumberFormat="1" applyFont="1" applyFill="1" applyAlignment="1">
      <alignment horizontal="center" vertical="center" wrapText="1"/>
    </xf>
    <xf numFmtId="164" fontId="52" fillId="7" borderId="0" xfId="0" applyNumberFormat="1" applyFont="1" applyFill="1" applyAlignment="1">
      <alignment horizontal="center" vertical="center" wrapText="1"/>
    </xf>
    <xf numFmtId="173" fontId="9" fillId="7" borderId="0" xfId="0" applyNumberFormat="1" applyFont="1" applyFill="1" applyAlignment="1">
      <alignment horizontal="center" vertical="center" wrapText="1"/>
    </xf>
    <xf numFmtId="164" fontId="60" fillId="7" borderId="0" xfId="0" applyNumberFormat="1" applyFont="1" applyFill="1" applyAlignment="1">
      <alignment horizontal="center" vertical="center" wrapText="1"/>
    </xf>
    <xf numFmtId="164" fontId="61" fillId="7" borderId="0" xfId="0" applyNumberFormat="1" applyFont="1" applyFill="1" applyAlignment="1">
      <alignment horizontal="center" vertical="center" wrapText="1"/>
    </xf>
    <xf numFmtId="0" fontId="49" fillId="7" borderId="0" xfId="0" applyFont="1" applyFill="1"/>
    <xf numFmtId="0" fontId="61" fillId="6" borderId="3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164" fontId="7" fillId="12" borderId="3" xfId="0" applyNumberFormat="1" applyFont="1" applyFill="1" applyBorder="1" applyAlignment="1">
      <alignment horizontal="center" vertical="center" wrapText="1"/>
    </xf>
    <xf numFmtId="164" fontId="57" fillId="23" borderId="3" xfId="0" applyNumberFormat="1" applyFont="1" applyFill="1" applyBorder="1" applyAlignment="1">
      <alignment horizontal="center" vertical="center" wrapText="1"/>
    </xf>
    <xf numFmtId="0" fontId="0" fillId="8" borderId="0" xfId="0" applyFill="1"/>
    <xf numFmtId="164" fontId="0" fillId="8" borderId="0" xfId="0" applyNumberFormat="1" applyFill="1"/>
    <xf numFmtId="0" fontId="9" fillId="0" borderId="0" xfId="0" applyFont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0" fontId="24" fillId="12" borderId="19" xfId="0" applyFont="1" applyFill="1" applyBorder="1" applyAlignment="1">
      <alignment horizontal="center" vertical="center" wrapText="1"/>
    </xf>
    <xf numFmtId="0" fontId="24" fillId="24" borderId="19" xfId="0" applyFont="1" applyFill="1" applyBorder="1" applyAlignment="1">
      <alignment horizontal="center" vertical="center" wrapText="1"/>
    </xf>
    <xf numFmtId="0" fontId="32" fillId="12" borderId="19" xfId="0" applyFont="1" applyFill="1" applyBorder="1" applyAlignment="1">
      <alignment horizontal="center" vertical="center" wrapText="1"/>
    </xf>
    <xf numFmtId="164" fontId="25" fillId="4" borderId="3" xfId="0" applyNumberFormat="1" applyFont="1" applyFill="1" applyBorder="1" applyAlignment="1">
      <alignment horizontal="center" vertical="center"/>
    </xf>
    <xf numFmtId="1" fontId="25" fillId="4" borderId="3" xfId="0" applyNumberFormat="1" applyFont="1" applyFill="1" applyBorder="1" applyAlignment="1">
      <alignment horizontal="center" vertical="center"/>
    </xf>
    <xf numFmtId="164" fontId="28" fillId="25" borderId="3" xfId="0" applyNumberFormat="1" applyFont="1" applyFill="1" applyBorder="1" applyAlignment="1">
      <alignment horizontal="center" vertical="center"/>
    </xf>
    <xf numFmtId="170" fontId="35" fillId="8" borderId="3" xfId="0" applyNumberFormat="1" applyFont="1" applyFill="1" applyBorder="1" applyAlignment="1">
      <alignment horizontal="center" vertical="center"/>
    </xf>
    <xf numFmtId="164" fontId="28" fillId="8" borderId="3" xfId="0" applyNumberFormat="1" applyFont="1" applyFill="1" applyBorder="1" applyAlignment="1">
      <alignment horizontal="center" vertical="center"/>
    </xf>
    <xf numFmtId="0" fontId="55" fillId="25" borderId="3" xfId="0" applyFont="1" applyFill="1" applyBorder="1" applyAlignment="1">
      <alignment horizontal="center" vertical="center"/>
    </xf>
    <xf numFmtId="164" fontId="32" fillId="12" borderId="3" xfId="0" applyNumberFormat="1" applyFont="1" applyFill="1" applyBorder="1" applyAlignment="1">
      <alignment horizontal="center" vertical="center"/>
    </xf>
    <xf numFmtId="170" fontId="35" fillId="25" borderId="3" xfId="0" applyNumberFormat="1" applyFont="1" applyFill="1" applyBorder="1" applyAlignment="1">
      <alignment horizontal="center" vertical="center"/>
    </xf>
    <xf numFmtId="170" fontId="0" fillId="7" borderId="0" xfId="0" applyNumberFormat="1" applyFill="1"/>
    <xf numFmtId="0" fontId="45" fillId="7" borderId="0" xfId="0" applyFont="1" applyFill="1"/>
    <xf numFmtId="164" fontId="0" fillId="18" borderId="0" xfId="0" applyNumberFormat="1" applyFill="1" applyAlignment="1">
      <alignment horizontal="center" vertical="center" wrapText="1"/>
    </xf>
    <xf numFmtId="0" fontId="64" fillId="7" borderId="0" xfId="0" applyFont="1" applyFill="1" applyAlignment="1">
      <alignment horizontal="center" vertical="center" wrapText="1"/>
    </xf>
    <xf numFmtId="49" fontId="49" fillId="7" borderId="0" xfId="0" applyNumberFormat="1" applyFont="1" applyFill="1" applyAlignment="1">
      <alignment horizontal="center" vertical="center"/>
    </xf>
    <xf numFmtId="164" fontId="0" fillId="26" borderId="0" xfId="0" applyNumberFormat="1" applyFill="1" applyAlignment="1">
      <alignment horizontal="center" vertical="center" wrapText="1"/>
    </xf>
    <xf numFmtId="0" fontId="0" fillId="7" borderId="18" xfId="0" applyFill="1" applyBorder="1" applyAlignment="1">
      <alignment vertical="center" wrapText="1"/>
    </xf>
    <xf numFmtId="0" fontId="0" fillId="18" borderId="16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49" fillId="18" borderId="16" xfId="0" applyFont="1" applyFill="1" applyBorder="1" applyAlignment="1">
      <alignment horizontal="center" vertical="center" wrapText="1"/>
    </xf>
    <xf numFmtId="0" fontId="49" fillId="26" borderId="16" xfId="0" applyFont="1" applyFill="1" applyBorder="1" applyAlignment="1">
      <alignment horizontal="center" vertical="center" wrapText="1"/>
    </xf>
    <xf numFmtId="0" fontId="65" fillId="18" borderId="16" xfId="0" applyFont="1" applyFill="1" applyBorder="1" applyAlignment="1">
      <alignment horizontal="center" vertical="center" wrapText="1"/>
    </xf>
    <xf numFmtId="0" fontId="24" fillId="27" borderId="19" xfId="0" applyFont="1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172" fontId="0" fillId="0" borderId="21" xfId="0" applyNumberFormat="1" applyBorder="1" applyAlignment="1">
      <alignment horizontal="center" vertical="center"/>
    </xf>
    <xf numFmtId="164" fontId="66" fillId="17" borderId="22" xfId="0" applyNumberFormat="1" applyFont="1" applyFill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164" fontId="66" fillId="17" borderId="23" xfId="0" applyNumberFormat="1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/>
    </xf>
    <xf numFmtId="164" fontId="67" fillId="17" borderId="3" xfId="0" applyNumberFormat="1" applyFont="1" applyFill="1" applyBorder="1" applyAlignment="1">
      <alignment horizontal="center" vertical="center"/>
    </xf>
    <xf numFmtId="164" fontId="67" fillId="26" borderId="3" xfId="0" applyNumberFormat="1" applyFont="1" applyFill="1" applyBorder="1" applyAlignment="1">
      <alignment horizontal="center" vertical="center"/>
    </xf>
    <xf numFmtId="170" fontId="68" fillId="26" borderId="3" xfId="0" applyNumberFormat="1" applyFont="1" applyFill="1" applyBorder="1" applyAlignment="1">
      <alignment horizontal="center" vertical="center"/>
    </xf>
    <xf numFmtId="0" fontId="70" fillId="13" borderId="3" xfId="0" applyFont="1" applyFill="1" applyBorder="1" applyAlignment="1">
      <alignment horizontal="center" vertical="center"/>
    </xf>
    <xf numFmtId="164" fontId="71" fillId="17" borderId="3" xfId="0" applyNumberFormat="1" applyFont="1" applyFill="1" applyBorder="1" applyAlignment="1">
      <alignment horizontal="center" vertical="center"/>
    </xf>
    <xf numFmtId="164" fontId="61" fillId="12" borderId="3" xfId="0" applyNumberFormat="1" applyFont="1" applyFill="1" applyBorder="1" applyAlignment="1">
      <alignment horizontal="center" vertical="center"/>
    </xf>
    <xf numFmtId="1" fontId="21" fillId="13" borderId="3" xfId="0" applyNumberFormat="1" applyFont="1" applyFill="1" applyBorder="1" applyAlignment="1">
      <alignment horizontal="center" vertical="center"/>
    </xf>
    <xf numFmtId="1" fontId="70" fillId="13" borderId="3" xfId="0" applyNumberFormat="1" applyFont="1" applyFill="1" applyBorder="1" applyAlignment="1">
      <alignment horizontal="center" vertical="center"/>
    </xf>
    <xf numFmtId="2" fontId="21" fillId="13" borderId="3" xfId="0" applyNumberFormat="1" applyFont="1" applyFill="1" applyBorder="1" applyAlignment="1">
      <alignment horizontal="center" vertical="center"/>
    </xf>
    <xf numFmtId="0" fontId="45" fillId="7" borderId="0" xfId="0" applyFont="1" applyFill="1" applyAlignment="1">
      <alignment horizontal="center" vertical="center" wrapText="1"/>
    </xf>
    <xf numFmtId="0" fontId="0" fillId="8" borderId="24" xfId="0" applyFill="1" applyBorder="1"/>
    <xf numFmtId="0" fontId="24" fillId="17" borderId="19" xfId="0" applyFont="1" applyFill="1" applyBorder="1" applyAlignment="1">
      <alignment horizontal="center" vertical="center" wrapText="1"/>
    </xf>
    <xf numFmtId="164" fontId="33" fillId="4" borderId="3" xfId="0" applyNumberFormat="1" applyFont="1" applyFill="1" applyBorder="1" applyAlignment="1">
      <alignment horizontal="center" vertical="center"/>
    </xf>
    <xf numFmtId="1" fontId="33" fillId="4" borderId="3" xfId="0" applyNumberFormat="1" applyFont="1" applyFill="1" applyBorder="1" applyAlignment="1">
      <alignment horizontal="center" vertical="center"/>
    </xf>
    <xf numFmtId="172" fontId="33" fillId="4" borderId="3" xfId="0" applyNumberFormat="1" applyFont="1" applyFill="1" applyBorder="1" applyAlignment="1">
      <alignment horizontal="center" vertical="center"/>
    </xf>
    <xf numFmtId="164" fontId="33" fillId="16" borderId="3" xfId="0" applyNumberFormat="1" applyFont="1" applyFill="1" applyBorder="1" applyAlignment="1">
      <alignment horizontal="center" vertical="center"/>
    </xf>
    <xf numFmtId="164" fontId="28" fillId="15" borderId="3" xfId="0" applyNumberFormat="1" applyFont="1" applyFill="1" applyBorder="1" applyAlignment="1">
      <alignment horizontal="center" vertical="center"/>
    </xf>
    <xf numFmtId="170" fontId="35" fillId="15" borderId="3" xfId="0" applyNumberFormat="1" applyFont="1" applyFill="1" applyBorder="1" applyAlignment="1">
      <alignment horizontal="center" vertical="center"/>
    </xf>
    <xf numFmtId="0" fontId="55" fillId="15" borderId="3" xfId="0" applyFont="1" applyFill="1" applyBorder="1" applyAlignment="1">
      <alignment horizontal="center" vertical="center"/>
    </xf>
    <xf numFmtId="164" fontId="32" fillId="12" borderId="14" xfId="0" applyNumberFormat="1" applyFont="1" applyFill="1" applyBorder="1" applyAlignment="1">
      <alignment horizontal="center" vertical="center"/>
    </xf>
    <xf numFmtId="0" fontId="72" fillId="7" borderId="0" xfId="0" applyFont="1" applyFill="1"/>
    <xf numFmtId="172" fontId="72" fillId="7" borderId="0" xfId="0" applyNumberFormat="1" applyFont="1" applyFill="1"/>
    <xf numFmtId="164" fontId="72" fillId="7" borderId="0" xfId="0" applyNumberFormat="1" applyFont="1" applyFill="1"/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17" borderId="0" xfId="0" applyNumberFormat="1" applyFill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74" fillId="0" borderId="3" xfId="0" applyFont="1" applyBorder="1" applyAlignment="1">
      <alignment horizontal="center" vertical="center" wrapText="1"/>
    </xf>
    <xf numFmtId="0" fontId="64" fillId="7" borderId="0" xfId="0" applyFont="1" applyFill="1" applyAlignment="1">
      <alignment horizontal="center" vertical="center"/>
    </xf>
    <xf numFmtId="2" fontId="73" fillId="7" borderId="0" xfId="0" applyNumberFormat="1" applyFont="1" applyFill="1" applyAlignment="1">
      <alignment horizontal="center" vertical="center"/>
    </xf>
    <xf numFmtId="0" fontId="73" fillId="7" borderId="0" xfId="0" applyFont="1" applyFill="1" applyAlignment="1">
      <alignment horizontal="center" vertical="center"/>
    </xf>
    <xf numFmtId="0" fontId="75" fillId="7" borderId="0" xfId="0" applyFont="1" applyFill="1" applyAlignment="1">
      <alignment vertical="center"/>
    </xf>
    <xf numFmtId="49" fontId="75" fillId="7" borderId="0" xfId="0" applyNumberFormat="1" applyFont="1" applyFill="1" applyAlignment="1">
      <alignment horizontal="center" vertical="center" wrapText="1"/>
    </xf>
    <xf numFmtId="0" fontId="75" fillId="7" borderId="6" xfId="0" applyFont="1" applyFill="1" applyBorder="1" applyAlignment="1">
      <alignment vertical="center"/>
    </xf>
    <xf numFmtId="49" fontId="51" fillId="7" borderId="0" xfId="0" applyNumberFormat="1" applyFont="1" applyFill="1" applyAlignment="1">
      <alignment horizontal="left" vertical="top" wrapText="1"/>
    </xf>
    <xf numFmtId="164" fontId="73" fillId="8" borderId="26" xfId="0" applyNumberFormat="1" applyFont="1" applyFill="1" applyBorder="1" applyAlignment="1">
      <alignment horizontal="center" vertical="center"/>
    </xf>
    <xf numFmtId="164" fontId="73" fillId="29" borderId="26" xfId="0" applyNumberFormat="1" applyFont="1" applyFill="1" applyBorder="1" applyAlignment="1">
      <alignment horizontal="center" vertical="center"/>
    </xf>
    <xf numFmtId="0" fontId="77" fillId="9" borderId="1" xfId="0" applyFont="1" applyFill="1" applyBorder="1" applyAlignment="1">
      <alignment horizontal="center" vertical="center" wrapText="1"/>
    </xf>
    <xf numFmtId="0" fontId="82" fillId="7" borderId="0" xfId="0" applyFont="1" applyFill="1" applyAlignment="1">
      <alignment horizontal="center" vertical="center" wrapText="1"/>
    </xf>
    <xf numFmtId="164" fontId="73" fillId="17" borderId="18" xfId="0" applyNumberFormat="1" applyFont="1" applyFill="1" applyBorder="1" applyAlignment="1">
      <alignment horizontal="center" vertical="center"/>
    </xf>
    <xf numFmtId="164" fontId="73" fillId="30" borderId="18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 wrapText="1"/>
    </xf>
    <xf numFmtId="164" fontId="45" fillId="17" borderId="32" xfId="0" applyNumberFormat="1" applyFont="1" applyFill="1" applyBorder="1" applyAlignment="1">
      <alignment horizontal="center" vertical="center" wrapText="1"/>
    </xf>
    <xf numFmtId="0" fontId="51" fillId="0" borderId="32" xfId="0" applyFont="1" applyBorder="1" applyAlignment="1">
      <alignment horizontal="center" vertical="center" wrapText="1"/>
    </xf>
    <xf numFmtId="0" fontId="45" fillId="17" borderId="28" xfId="0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0" fontId="31" fillId="17" borderId="3" xfId="0" applyFont="1" applyFill="1" applyBorder="1" applyAlignment="1">
      <alignment horizontal="center" vertical="center"/>
    </xf>
    <xf numFmtId="0" fontId="83" fillId="7" borderId="0" xfId="0" applyFont="1" applyFill="1" applyAlignment="1">
      <alignment horizontal="center" vertical="center" wrapText="1"/>
    </xf>
    <xf numFmtId="164" fontId="64" fillId="16" borderId="0" xfId="0" applyNumberFormat="1" applyFont="1" applyFill="1" applyAlignment="1">
      <alignment horizontal="center" vertical="center" wrapText="1"/>
    </xf>
    <xf numFmtId="170" fontId="45" fillId="8" borderId="33" xfId="0" applyNumberFormat="1" applyFont="1" applyFill="1" applyBorder="1" applyAlignment="1">
      <alignment horizontal="center" vertical="center" wrapText="1"/>
    </xf>
    <xf numFmtId="0" fontId="73" fillId="14" borderId="33" xfId="0" applyFont="1" applyFill="1" applyBorder="1" applyAlignment="1">
      <alignment horizontal="center" vertical="center" wrapText="1"/>
    </xf>
    <xf numFmtId="164" fontId="0" fillId="16" borderId="0" xfId="0" applyNumberFormat="1" applyFill="1" applyAlignment="1">
      <alignment horizontal="center" vertical="center" wrapText="1"/>
    </xf>
    <xf numFmtId="0" fontId="24" fillId="6" borderId="9" xfId="0" applyFont="1" applyFill="1" applyBorder="1" applyAlignment="1">
      <alignment horizontal="center" vertical="center" wrapText="1"/>
    </xf>
    <xf numFmtId="0" fontId="24" fillId="27" borderId="9" xfId="0" applyFont="1" applyFill="1" applyBorder="1" applyAlignment="1">
      <alignment horizontal="center" vertical="center" wrapText="1"/>
    </xf>
    <xf numFmtId="1" fontId="24" fillId="12" borderId="9" xfId="0" applyNumberFormat="1" applyFont="1" applyFill="1" applyBorder="1" applyAlignment="1">
      <alignment horizontal="center" vertical="center" wrapText="1"/>
    </xf>
    <xf numFmtId="0" fontId="24" fillId="24" borderId="9" xfId="0" applyFont="1" applyFill="1" applyBorder="1" applyAlignment="1">
      <alignment horizontal="center" vertical="center" wrapText="1"/>
    </xf>
    <xf numFmtId="0" fontId="18" fillId="12" borderId="9" xfId="0" applyFont="1" applyFill="1" applyBorder="1" applyAlignment="1">
      <alignment horizontal="center" vertical="center" wrapText="1"/>
    </xf>
    <xf numFmtId="1" fontId="24" fillId="12" borderId="10" xfId="0" applyNumberFormat="1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4" fontId="0" fillId="0" borderId="32" xfId="0" applyNumberFormat="1" applyBorder="1" applyAlignment="1">
      <alignment horizontal="center" vertical="center"/>
    </xf>
    <xf numFmtId="164" fontId="66" fillId="17" borderId="32" xfId="0" applyNumberFormat="1" applyFont="1" applyFill="1" applyBorder="1" applyAlignment="1">
      <alignment horizontal="center" vertical="center"/>
    </xf>
    <xf numFmtId="172" fontId="0" fillId="0" borderId="32" xfId="0" applyNumberFormat="1" applyBorder="1" applyAlignment="1">
      <alignment horizontal="center" vertical="center"/>
    </xf>
    <xf numFmtId="175" fontId="0" fillId="0" borderId="32" xfId="0" applyNumberFormat="1" applyBorder="1" applyAlignment="1">
      <alignment horizontal="center" vertical="center"/>
    </xf>
    <xf numFmtId="164" fontId="66" fillId="17" borderId="28" xfId="0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84" fillId="0" borderId="3" xfId="0" applyFont="1" applyBorder="1" applyAlignment="1">
      <alignment horizontal="center" vertical="center"/>
    </xf>
    <xf numFmtId="164" fontId="31" fillId="17" borderId="3" xfId="0" applyNumberFormat="1" applyFont="1" applyFill="1" applyBorder="1" applyAlignment="1">
      <alignment horizontal="center" vertical="center"/>
    </xf>
    <xf numFmtId="164" fontId="73" fillId="16" borderId="0" xfId="0" applyNumberFormat="1" applyFont="1" applyFill="1" applyAlignment="1">
      <alignment horizontal="center" vertical="center"/>
    </xf>
    <xf numFmtId="170" fontId="73" fillId="0" borderId="0" xfId="0" applyNumberFormat="1" applyFont="1" applyAlignment="1">
      <alignment horizontal="center" vertical="center"/>
    </xf>
    <xf numFmtId="170" fontId="73" fillId="31" borderId="0" xfId="0" applyNumberFormat="1" applyFont="1" applyFill="1" applyAlignment="1">
      <alignment horizontal="center" vertical="center"/>
    </xf>
    <xf numFmtId="170" fontId="73" fillId="15" borderId="0" xfId="0" applyNumberFormat="1" applyFont="1" applyFill="1" applyAlignment="1">
      <alignment horizontal="center" vertical="center"/>
    </xf>
    <xf numFmtId="164" fontId="53" fillId="17" borderId="9" xfId="0" applyNumberFormat="1" applyFont="1" applyFill="1" applyBorder="1" applyAlignment="1">
      <alignment horizontal="center" vertical="center"/>
    </xf>
    <xf numFmtId="164" fontId="69" fillId="28" borderId="9" xfId="0" applyNumberFormat="1" applyFont="1" applyFill="1" applyBorder="1" applyAlignment="1">
      <alignment horizontal="center" vertical="center"/>
    </xf>
    <xf numFmtId="1" fontId="85" fillId="13" borderId="9" xfId="0" applyNumberFormat="1" applyFont="1" applyFill="1" applyBorder="1" applyAlignment="1">
      <alignment horizontal="center" vertical="center"/>
    </xf>
    <xf numFmtId="164" fontId="71" fillId="17" borderId="9" xfId="0" applyNumberFormat="1" applyFont="1" applyFill="1" applyBorder="1" applyAlignment="1">
      <alignment horizontal="center" vertical="center"/>
    </xf>
    <xf numFmtId="164" fontId="18" fillId="12" borderId="34" xfId="0" applyNumberFormat="1" applyFont="1" applyFill="1" applyBorder="1" applyAlignment="1">
      <alignment horizontal="center" vertical="center"/>
    </xf>
    <xf numFmtId="1" fontId="70" fillId="13" borderId="9" xfId="0" applyNumberFormat="1" applyFont="1" applyFill="1" applyBorder="1" applyAlignment="1">
      <alignment horizontal="center" vertical="center"/>
    </xf>
    <xf numFmtId="1" fontId="85" fillId="13" borderId="10" xfId="0" applyNumberFormat="1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49" fillId="7" borderId="0" xfId="0" applyFont="1" applyFill="1" applyAlignment="1">
      <alignment horizontal="center" vertical="center"/>
    </xf>
    <xf numFmtId="0" fontId="73" fillId="7" borderId="0" xfId="0" applyFont="1" applyFill="1" applyAlignment="1">
      <alignment vertical="center"/>
    </xf>
    <xf numFmtId="0" fontId="73" fillId="9" borderId="26" xfId="0" applyFont="1" applyFill="1" applyBorder="1" applyAlignment="1">
      <alignment horizontal="center" vertical="center"/>
    </xf>
    <xf numFmtId="164" fontId="79" fillId="9" borderId="3" xfId="0" applyNumberFormat="1" applyFont="1" applyFill="1" applyBorder="1" applyAlignment="1">
      <alignment horizontal="center" vertical="center"/>
    </xf>
    <xf numFmtId="164" fontId="79" fillId="9" borderId="18" xfId="0" applyNumberFormat="1" applyFont="1" applyFill="1" applyBorder="1" applyAlignment="1">
      <alignment horizontal="center" vertical="center"/>
    </xf>
    <xf numFmtId="164" fontId="45" fillId="17" borderId="18" xfId="0" applyNumberFormat="1" applyFont="1" applyFill="1" applyBorder="1" applyAlignment="1">
      <alignment horizontal="center" vertical="center" wrapText="1"/>
    </xf>
    <xf numFmtId="164" fontId="86" fillId="17" borderId="18" xfId="0" applyNumberFormat="1" applyFont="1" applyFill="1" applyBorder="1" applyAlignment="1">
      <alignment horizontal="center" vertical="center" wrapText="1"/>
    </xf>
    <xf numFmtId="164" fontId="45" fillId="16" borderId="3" xfId="0" applyNumberFormat="1" applyFont="1" applyFill="1" applyBorder="1" applyAlignment="1">
      <alignment horizontal="center" vertical="center"/>
    </xf>
    <xf numFmtId="170" fontId="45" fillId="8" borderId="3" xfId="0" applyNumberFormat="1" applyFont="1" applyFill="1" applyBorder="1" applyAlignment="1">
      <alignment horizontal="center" vertical="center"/>
    </xf>
    <xf numFmtId="170" fontId="45" fillId="8" borderId="3" xfId="0" applyNumberFormat="1" applyFont="1" applyFill="1" applyBorder="1" applyAlignment="1">
      <alignment horizontal="center" vertical="center" wrapText="1"/>
    </xf>
    <xf numFmtId="0" fontId="45" fillId="14" borderId="3" xfId="0" applyFont="1" applyFill="1" applyBorder="1" applyAlignment="1">
      <alignment horizontal="center" vertical="center"/>
    </xf>
    <xf numFmtId="0" fontId="45" fillId="8" borderId="3" xfId="0" applyFont="1" applyFill="1" applyBorder="1" applyAlignment="1">
      <alignment horizontal="center" vertical="center" wrapText="1"/>
    </xf>
    <xf numFmtId="164" fontId="45" fillId="16" borderId="3" xfId="0" applyNumberFormat="1" applyFont="1" applyFill="1" applyBorder="1" applyAlignment="1">
      <alignment horizontal="center" vertical="center" wrapText="1"/>
    </xf>
    <xf numFmtId="164" fontId="45" fillId="16" borderId="35" xfId="0" applyNumberFormat="1" applyFont="1" applyFill="1" applyBorder="1" applyAlignment="1">
      <alignment horizontal="center" vertical="center" wrapText="1"/>
    </xf>
    <xf numFmtId="0" fontId="32" fillId="12" borderId="10" xfId="0" applyFont="1" applyFill="1" applyBorder="1" applyAlignment="1">
      <alignment horizontal="center" vertical="center" wrapText="1"/>
    </xf>
    <xf numFmtId="164" fontId="0" fillId="17" borderId="32" xfId="0" applyNumberFormat="1" applyFill="1" applyBorder="1" applyAlignment="1">
      <alignment horizontal="center" vertical="center"/>
    </xf>
    <xf numFmtId="164" fontId="49" fillId="17" borderId="3" xfId="0" applyNumberFormat="1" applyFont="1" applyFill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164" fontId="23" fillId="16" borderId="0" xfId="0" applyNumberFormat="1" applyFont="1" applyFill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23" fillId="31" borderId="0" xfId="0" applyNumberFormat="1" applyFont="1" applyFill="1" applyAlignment="1">
      <alignment horizontal="center" vertical="center"/>
    </xf>
    <xf numFmtId="170" fontId="23" fillId="0" borderId="0" xfId="0" applyNumberFormat="1" applyFont="1" applyAlignment="1">
      <alignment horizontal="center" vertical="center"/>
    </xf>
    <xf numFmtId="170" fontId="23" fillId="15" borderId="0" xfId="0" applyNumberFormat="1" applyFont="1" applyFill="1" applyAlignment="1">
      <alignment horizontal="center" vertical="center"/>
    </xf>
    <xf numFmtId="1" fontId="23" fillId="8" borderId="0" xfId="0" applyNumberFormat="1" applyFont="1" applyFill="1" applyAlignment="1">
      <alignment horizontal="center" vertical="center"/>
    </xf>
    <xf numFmtId="164" fontId="23" fillId="16" borderId="37" xfId="0" applyNumberFormat="1" applyFont="1" applyFill="1" applyBorder="1" applyAlignment="1">
      <alignment horizontal="center" vertical="center"/>
    </xf>
    <xf numFmtId="164" fontId="33" fillId="17" borderId="9" xfId="0" applyNumberFormat="1" applyFont="1" applyFill="1" applyBorder="1" applyAlignment="1">
      <alignment horizontal="center" vertical="center"/>
    </xf>
    <xf numFmtId="164" fontId="87" fillId="28" borderId="9" xfId="0" applyNumberFormat="1" applyFont="1" applyFill="1" applyBorder="1" applyAlignment="1">
      <alignment horizontal="center" vertical="center"/>
    </xf>
    <xf numFmtId="0" fontId="85" fillId="13" borderId="9" xfId="0" applyFont="1" applyFill="1" applyBorder="1" applyAlignment="1">
      <alignment horizontal="center" vertical="center"/>
    </xf>
    <xf numFmtId="164" fontId="88" fillId="17" borderId="9" xfId="0" applyNumberFormat="1" applyFont="1" applyFill="1" applyBorder="1" applyAlignment="1">
      <alignment horizontal="center" vertical="center"/>
    </xf>
    <xf numFmtId="164" fontId="32" fillId="12" borderId="38" xfId="0" applyNumberFormat="1" applyFont="1" applyFill="1" applyBorder="1" applyAlignment="1">
      <alignment horizontal="center" vertical="center"/>
    </xf>
    <xf numFmtId="164" fontId="32" fillId="12" borderId="15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32" xfId="0" applyFill="1" applyBorder="1"/>
    <xf numFmtId="164" fontId="49" fillId="7" borderId="0" xfId="0" applyNumberFormat="1" applyFont="1" applyFill="1" applyAlignment="1">
      <alignment horizontal="center" vertical="center"/>
    </xf>
    <xf numFmtId="0" fontId="64" fillId="7" borderId="0" xfId="0" applyFont="1" applyFill="1" applyAlignment="1">
      <alignment vertical="center" wrapText="1"/>
    </xf>
    <xf numFmtId="164" fontId="0" fillId="7" borderId="40" xfId="0" applyNumberFormat="1" applyFill="1" applyBorder="1" applyAlignment="1">
      <alignment horizontal="center" vertical="center"/>
    </xf>
    <xf numFmtId="164" fontId="0" fillId="7" borderId="37" xfId="0" applyNumberForma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164" fontId="23" fillId="16" borderId="39" xfId="0" applyNumberFormat="1" applyFont="1" applyFill="1" applyBorder="1" applyAlignment="1">
      <alignment horizontal="center" vertical="center"/>
    </xf>
    <xf numFmtId="170" fontId="23" fillId="8" borderId="39" xfId="0" applyNumberFormat="1" applyFont="1" applyFill="1" applyBorder="1" applyAlignment="1">
      <alignment horizontal="center" vertical="center"/>
    </xf>
    <xf numFmtId="0" fontId="23" fillId="8" borderId="39" xfId="0" applyFont="1" applyFill="1" applyBorder="1" applyAlignment="1">
      <alignment horizontal="center" vertical="center" wrapText="1"/>
    </xf>
    <xf numFmtId="0" fontId="23" fillId="14" borderId="39" xfId="0" applyFont="1" applyFill="1" applyBorder="1" applyAlignment="1">
      <alignment horizontal="center" vertical="center"/>
    </xf>
    <xf numFmtId="164" fontId="49" fillId="7" borderId="0" xfId="0" applyNumberFormat="1" applyFont="1" applyFill="1" applyAlignment="1">
      <alignment horizontal="center" vertical="center" wrapText="1"/>
    </xf>
    <xf numFmtId="164" fontId="0" fillId="16" borderId="0" xfId="0" applyNumberFormat="1" applyFill="1" applyAlignment="1">
      <alignment horizontal="center" vertical="center"/>
    </xf>
    <xf numFmtId="170" fontId="0" fillId="15" borderId="0" xfId="0" applyNumberFormat="1" applyFill="1" applyAlignment="1">
      <alignment horizontal="center" vertical="center"/>
    </xf>
    <xf numFmtId="164" fontId="32" fillId="12" borderId="34" xfId="0" applyNumberFormat="1" applyFont="1" applyFill="1" applyBorder="1" applyAlignment="1">
      <alignment horizontal="center" vertical="center"/>
    </xf>
    <xf numFmtId="164" fontId="49" fillId="8" borderId="0" xfId="0" applyNumberFormat="1" applyFont="1" applyFill="1" applyAlignment="1">
      <alignment horizontal="center" vertical="center"/>
    </xf>
    <xf numFmtId="164" fontId="49" fillId="7" borderId="32" xfId="0" applyNumberFormat="1" applyFont="1" applyFill="1" applyBorder="1" applyAlignment="1">
      <alignment horizontal="center" vertical="center"/>
    </xf>
    <xf numFmtId="0" fontId="77" fillId="9" borderId="2" xfId="0" applyFont="1" applyFill="1" applyBorder="1" applyAlignment="1">
      <alignment horizontal="center" vertical="center" wrapText="1"/>
    </xf>
    <xf numFmtId="0" fontId="0" fillId="7" borderId="40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172" fontId="0" fillId="0" borderId="3" xfId="0" applyNumberFormat="1" applyBorder="1" applyAlignment="1">
      <alignment horizontal="center" vertical="center"/>
    </xf>
    <xf numFmtId="170" fontId="0" fillId="31" borderId="0" xfId="0" applyNumberFormat="1" applyFill="1" applyAlignment="1">
      <alignment horizontal="center" vertical="center"/>
    </xf>
    <xf numFmtId="164" fontId="23" fillId="16" borderId="3" xfId="0" applyNumberFormat="1" applyFont="1" applyFill="1" applyBorder="1" applyAlignment="1">
      <alignment horizontal="center" vertical="center"/>
    </xf>
    <xf numFmtId="170" fontId="23" fillId="8" borderId="3" xfId="0" applyNumberFormat="1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 wrapText="1"/>
    </xf>
    <xf numFmtId="0" fontId="23" fillId="14" borderId="3" xfId="0" applyFont="1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164" fontId="0" fillId="16" borderId="3" xfId="0" applyNumberFormat="1" applyFill="1" applyBorder="1" applyAlignment="1">
      <alignment horizontal="center" vertical="center"/>
    </xf>
    <xf numFmtId="170" fontId="73" fillId="8" borderId="3" xfId="0" applyNumberFormat="1" applyFont="1" applyFill="1" applyBorder="1" applyAlignment="1">
      <alignment horizontal="center" vertical="center"/>
    </xf>
    <xf numFmtId="0" fontId="73" fillId="14" borderId="3" xfId="0" applyFont="1" applyFill="1" applyBorder="1" applyAlignment="1">
      <alignment horizontal="center" vertical="center"/>
    </xf>
    <xf numFmtId="170" fontId="73" fillId="8" borderId="16" xfId="0" applyNumberFormat="1" applyFont="1" applyFill="1" applyBorder="1" applyAlignment="1">
      <alignment horizontal="center" vertical="center"/>
    </xf>
    <xf numFmtId="0" fontId="73" fillId="14" borderId="16" xfId="0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18" xfId="0" applyBorder="1"/>
    <xf numFmtId="170" fontId="73" fillId="8" borderId="16" xfId="0" applyNumberFormat="1" applyFont="1" applyFill="1" applyBorder="1" applyAlignment="1">
      <alignment horizontal="center" vertical="center" wrapText="1"/>
    </xf>
    <xf numFmtId="164" fontId="33" fillId="4" borderId="9" xfId="0" applyNumberFormat="1" applyFont="1" applyFill="1" applyBorder="1" applyAlignment="1">
      <alignment horizontal="center" vertical="center"/>
    </xf>
    <xf numFmtId="164" fontId="88" fillId="32" borderId="9" xfId="0" applyNumberFormat="1" applyFont="1" applyFill="1" applyBorder="1" applyAlignment="1">
      <alignment horizontal="center" vertical="center"/>
    </xf>
    <xf numFmtId="164" fontId="73" fillId="7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vertical="center" indent="1"/>
    </xf>
    <xf numFmtId="0" fontId="77" fillId="9" borderId="3" xfId="0" applyFont="1" applyFill="1" applyBorder="1" applyAlignment="1">
      <alignment horizontal="center" vertical="center" wrapText="1"/>
    </xf>
    <xf numFmtId="0" fontId="77" fillId="9" borderId="39" xfId="0" applyFont="1" applyFill="1" applyBorder="1" applyAlignment="1">
      <alignment horizontal="center" vertical="center" wrapText="1"/>
    </xf>
    <xf numFmtId="0" fontId="91" fillId="9" borderId="1" xfId="0" applyFont="1" applyFill="1" applyBorder="1" applyAlignment="1">
      <alignment horizontal="center" vertical="center" wrapText="1"/>
    </xf>
    <xf numFmtId="0" fontId="91" fillId="9" borderId="39" xfId="0" applyFont="1" applyFill="1" applyBorder="1" applyAlignment="1">
      <alignment horizontal="center" vertical="center" wrapText="1"/>
    </xf>
    <xf numFmtId="0" fontId="93" fillId="33" borderId="0" xfId="0" applyFont="1" applyFill="1" applyAlignment="1">
      <alignment horizontal="left"/>
    </xf>
    <xf numFmtId="0" fontId="94" fillId="0" borderId="0" xfId="0" applyFont="1" applyAlignment="1">
      <alignment horizontal="left"/>
    </xf>
    <xf numFmtId="0" fontId="95" fillId="0" borderId="0" xfId="0" applyFont="1"/>
    <xf numFmtId="0" fontId="96" fillId="34" borderId="0" xfId="0" applyFont="1" applyFill="1"/>
    <xf numFmtId="0" fontId="97" fillId="0" borderId="0" xfId="0" applyFont="1"/>
    <xf numFmtId="0" fontId="98" fillId="35" borderId="0" xfId="0" applyFont="1" applyFill="1"/>
    <xf numFmtId="164" fontId="99" fillId="36" borderId="0" xfId="0" applyNumberFormat="1" applyFont="1" applyFill="1"/>
    <xf numFmtId="164" fontId="100" fillId="37" borderId="0" xfId="0" applyNumberFormat="1" applyFont="1" applyFill="1"/>
    <xf numFmtId="165" fontId="100" fillId="37" borderId="0" xfId="0" applyNumberFormat="1" applyFont="1" applyFill="1"/>
    <xf numFmtId="1" fontId="100" fillId="37" borderId="0" xfId="0" applyNumberFormat="1" applyFont="1" applyFill="1"/>
    <xf numFmtId="0" fontId="102" fillId="0" borderId="0" xfId="0" applyFont="1"/>
    <xf numFmtId="0" fontId="101" fillId="34" borderId="4" xfId="0" applyFont="1" applyFill="1" applyBorder="1" applyAlignment="1">
      <alignment horizontal="center"/>
    </xf>
    <xf numFmtId="166" fontId="101" fillId="34" borderId="4" xfId="0" applyNumberFormat="1" applyFont="1" applyFill="1" applyBorder="1" applyAlignment="1">
      <alignment horizontal="center"/>
    </xf>
    <xf numFmtId="0" fontId="103" fillId="0" borderId="4" xfId="0" applyFont="1" applyBorder="1"/>
    <xf numFmtId="0" fontId="103" fillId="0" borderId="4" xfId="0" applyFont="1" applyBorder="1" applyAlignment="1">
      <alignment horizontal="center"/>
    </xf>
    <xf numFmtId="167" fontId="104" fillId="0" borderId="4" xfId="0" applyNumberFormat="1" applyFont="1" applyBorder="1" applyAlignment="1">
      <alignment horizontal="center"/>
    </xf>
    <xf numFmtId="176" fontId="105" fillId="0" borderId="4" xfId="0" applyNumberFormat="1" applyFont="1" applyBorder="1"/>
    <xf numFmtId="0" fontId="105" fillId="0" borderId="4" xfId="0" applyFont="1" applyBorder="1"/>
    <xf numFmtId="164" fontId="105" fillId="0" borderId="4" xfId="0" applyNumberFormat="1" applyFont="1" applyBorder="1"/>
    <xf numFmtId="168" fontId="104" fillId="0" borderId="4" xfId="0" applyNumberFormat="1" applyFont="1" applyBorder="1"/>
    <xf numFmtId="169" fontId="104" fillId="0" borderId="4" xfId="0" applyNumberFormat="1" applyFont="1" applyBorder="1"/>
    <xf numFmtId="0" fontId="106" fillId="0" borderId="4" xfId="0" applyFont="1" applyBorder="1"/>
    <xf numFmtId="177" fontId="100" fillId="37" borderId="0" xfId="0" applyNumberFormat="1" applyFont="1" applyFill="1"/>
    <xf numFmtId="164" fontId="108" fillId="17" borderId="28" xfId="0" applyNumberFormat="1" applyFont="1" applyFill="1" applyBorder="1" applyAlignment="1">
      <alignment horizontal="center" vertical="center"/>
    </xf>
    <xf numFmtId="0" fontId="8" fillId="34" borderId="0" xfId="0" applyFont="1" applyFill="1" applyAlignment="1">
      <alignment horizontal="center"/>
    </xf>
    <xf numFmtId="0" fontId="8" fillId="34" borderId="0" xfId="0" applyFont="1" applyFill="1" applyAlignment="1">
      <alignment horizontal="center" wrapText="1"/>
    </xf>
    <xf numFmtId="0" fontId="59" fillId="38" borderId="0" xfId="0" applyFont="1" applyFill="1" applyAlignment="1">
      <alignment horizontal="center" wrapText="1"/>
    </xf>
    <xf numFmtId="0" fontId="113" fillId="37" borderId="0" xfId="0" applyFont="1" applyFill="1" applyAlignment="1">
      <alignment horizontal="center"/>
    </xf>
    <xf numFmtId="164" fontId="46" fillId="39" borderId="0" xfId="0" applyNumberFormat="1" applyFont="1" applyFill="1" applyAlignment="1">
      <alignment horizontal="center"/>
    </xf>
    <xf numFmtId="164" fontId="114" fillId="38" borderId="0" xfId="0" applyNumberFormat="1" applyFont="1" applyFill="1" applyAlignment="1">
      <alignment horizontal="center" vertical="center" wrapText="1"/>
    </xf>
    <xf numFmtId="164" fontId="114" fillId="38" borderId="0" xfId="0" applyNumberFormat="1" applyFont="1" applyFill="1" applyAlignment="1">
      <alignment horizontal="center"/>
    </xf>
    <xf numFmtId="0" fontId="116" fillId="0" borderId="43" xfId="0" applyFont="1" applyBorder="1"/>
    <xf numFmtId="0" fontId="121" fillId="0" borderId="0" xfId="0" applyFont="1" applyAlignment="1">
      <alignment horizontal="left" vertical="center" indent="1"/>
    </xf>
    <xf numFmtId="0" fontId="122" fillId="40" borderId="46" xfId="2" applyFont="1" applyFill="1" applyBorder="1" applyAlignment="1">
      <alignment horizontal="left" vertical="center" indent="1"/>
    </xf>
    <xf numFmtId="0" fontId="123" fillId="40" borderId="46" xfId="2" applyFont="1" applyFill="1" applyBorder="1" applyAlignment="1">
      <alignment horizontal="left" vertical="center" indent="1"/>
    </xf>
    <xf numFmtId="0" fontId="124" fillId="33" borderId="0" xfId="2" applyFont="1" applyFill="1" applyAlignment="1">
      <alignment horizontal="center" vertical="center"/>
    </xf>
    <xf numFmtId="0" fontId="124" fillId="33" borderId="5" xfId="2" applyFont="1" applyFill="1" applyBorder="1" applyAlignment="1">
      <alignment horizontal="center" vertical="center"/>
    </xf>
    <xf numFmtId="0" fontId="124" fillId="33" borderId="5" xfId="2" applyFont="1" applyFill="1" applyBorder="1" applyAlignment="1">
      <alignment horizontal="center" vertical="center" wrapText="1"/>
    </xf>
    <xf numFmtId="0" fontId="0" fillId="8" borderId="48" xfId="0" applyFill="1" applyBorder="1"/>
    <xf numFmtId="0" fontId="77" fillId="9" borderId="32" xfId="0" applyFont="1" applyFill="1" applyBorder="1" applyAlignment="1">
      <alignment horizontal="center" vertical="center" wrapText="1"/>
    </xf>
    <xf numFmtId="0" fontId="91" fillId="9" borderId="32" xfId="0" applyFont="1" applyFill="1" applyBorder="1" applyAlignment="1">
      <alignment horizontal="center" vertical="center" wrapText="1"/>
    </xf>
    <xf numFmtId="0" fontId="124" fillId="33" borderId="28" xfId="2" applyFont="1" applyFill="1" applyBorder="1" applyAlignment="1">
      <alignment horizontal="center" vertical="center" wrapText="1"/>
    </xf>
    <xf numFmtId="0" fontId="125" fillId="34" borderId="0" xfId="0" applyFont="1" applyFill="1" applyAlignment="1">
      <alignment horizontal="center" vertical="center"/>
    </xf>
    <xf numFmtId="0" fontId="123" fillId="40" borderId="47" xfId="2" applyFont="1" applyFill="1" applyBorder="1" applyAlignment="1">
      <alignment horizontal="left" vertical="center" indent="1"/>
    </xf>
    <xf numFmtId="0" fontId="126" fillId="7" borderId="0" xfId="0" applyFont="1" applyFill="1" applyAlignment="1">
      <alignment horizontal="center" vertical="center" wrapText="1"/>
    </xf>
    <xf numFmtId="180" fontId="0" fillId="0" borderId="0" xfId="0" applyNumberFormat="1"/>
    <xf numFmtId="179" fontId="127" fillId="41" borderId="0" xfId="0" applyNumberFormat="1" applyFont="1" applyFill="1" applyAlignment="1">
      <alignment horizontal="center"/>
    </xf>
    <xf numFmtId="178" fontId="0" fillId="0" borderId="0" xfId="0" applyNumberFormat="1" applyAlignment="1">
      <alignment horizontal="center"/>
    </xf>
    <xf numFmtId="0" fontId="128" fillId="0" borderId="0" xfId="0" applyFont="1"/>
    <xf numFmtId="164" fontId="129" fillId="37" borderId="0" xfId="0" applyNumberFormat="1" applyFont="1" applyFill="1" applyAlignment="1">
      <alignment horizontal="center"/>
    </xf>
    <xf numFmtId="179" fontId="130" fillId="42" borderId="0" xfId="0" applyNumberFormat="1" applyFont="1" applyFill="1" applyAlignment="1">
      <alignment horizontal="center"/>
    </xf>
    <xf numFmtId="178" fontId="86" fillId="0" borderId="0" xfId="0" applyNumberFormat="1" applyFont="1" applyAlignment="1">
      <alignment horizontal="center"/>
    </xf>
    <xf numFmtId="0" fontId="8" fillId="34" borderId="46" xfId="0" applyFont="1" applyFill="1" applyBorder="1" applyAlignment="1">
      <alignment horizontal="center" vertical="center" wrapText="1"/>
    </xf>
    <xf numFmtId="0" fontId="131" fillId="34" borderId="46" xfId="0" applyFont="1" applyFill="1" applyBorder="1" applyAlignment="1">
      <alignment horizontal="center"/>
    </xf>
    <xf numFmtId="0" fontId="119" fillId="0" borderId="46" xfId="0" applyFont="1" applyBorder="1" applyAlignment="1">
      <alignment horizontal="center"/>
    </xf>
    <xf numFmtId="164" fontId="40" fillId="0" borderId="46" xfId="0" applyNumberFormat="1" applyFont="1" applyBorder="1"/>
    <xf numFmtId="0" fontId="73" fillId="7" borderId="0" xfId="0" applyFont="1" applyFill="1"/>
    <xf numFmtId="164" fontId="132" fillId="17" borderId="23" xfId="0" applyNumberFormat="1" applyFont="1" applyFill="1" applyBorder="1"/>
    <xf numFmtId="0" fontId="24" fillId="6" borderId="49" xfId="0" applyFont="1" applyFill="1" applyBorder="1" applyAlignment="1">
      <alignment horizontal="center" vertical="center" wrapText="1"/>
    </xf>
    <xf numFmtId="0" fontId="24" fillId="6" borderId="50" xfId="0" applyFont="1" applyFill="1" applyBorder="1" applyAlignment="1">
      <alignment horizontal="center" vertical="center" wrapText="1"/>
    </xf>
    <xf numFmtId="0" fontId="24" fillId="6" borderId="51" xfId="0" applyFont="1" applyFill="1" applyBorder="1" applyAlignment="1">
      <alignment horizontal="center" vertical="center" wrapText="1"/>
    </xf>
    <xf numFmtId="0" fontId="25" fillId="4" borderId="52" xfId="0" applyFont="1" applyFill="1" applyBorder="1" applyAlignment="1">
      <alignment horizontal="center" vertical="center"/>
    </xf>
    <xf numFmtId="0" fontId="25" fillId="4" borderId="53" xfId="0" applyFont="1" applyFill="1" applyBorder="1" applyAlignment="1">
      <alignment horizontal="left" vertical="center" wrapText="1"/>
    </xf>
    <xf numFmtId="0" fontId="25" fillId="9" borderId="53" xfId="0" applyFont="1" applyFill="1" applyBorder="1" applyAlignment="1">
      <alignment horizontal="left" vertical="center" wrapText="1"/>
    </xf>
    <xf numFmtId="164" fontId="27" fillId="11" borderId="54" xfId="0" applyNumberFormat="1" applyFont="1" applyFill="1" applyBorder="1" applyAlignment="1">
      <alignment horizontal="center" vertical="center"/>
    </xf>
    <xf numFmtId="164" fontId="27" fillId="11" borderId="55" xfId="0" applyNumberFormat="1" applyFont="1" applyFill="1" applyBorder="1" applyAlignment="1">
      <alignment horizontal="center" vertical="center"/>
    </xf>
    <xf numFmtId="164" fontId="27" fillId="11" borderId="55" xfId="0" applyNumberFormat="1" applyFont="1" applyFill="1" applyBorder="1" applyAlignment="1">
      <alignment horizontal="center"/>
    </xf>
    <xf numFmtId="164" fontId="27" fillId="11" borderId="56" xfId="0" applyNumberFormat="1" applyFont="1" applyFill="1" applyBorder="1" applyAlignment="1">
      <alignment horizontal="center"/>
    </xf>
    <xf numFmtId="0" fontId="124" fillId="33" borderId="58" xfId="2" applyFont="1" applyFill="1" applyBorder="1" applyAlignment="1">
      <alignment horizontal="center" vertical="center"/>
    </xf>
    <xf numFmtId="164" fontId="132" fillId="17" borderId="59" xfId="0" applyNumberFormat="1" applyFont="1" applyFill="1" applyBorder="1"/>
    <xf numFmtId="182" fontId="0" fillId="7" borderId="0" xfId="0" applyNumberFormat="1" applyFill="1"/>
    <xf numFmtId="0" fontId="0" fillId="7" borderId="0" xfId="0" applyFill="1" applyAlignment="1">
      <alignment horizontal="right"/>
    </xf>
    <xf numFmtId="181" fontId="26" fillId="8" borderId="9" xfId="0" applyNumberFormat="1" applyFont="1" applyFill="1" applyBorder="1" applyAlignment="1">
      <alignment horizontal="center" vertical="center"/>
    </xf>
    <xf numFmtId="181" fontId="26" fillId="10" borderId="53" xfId="0" applyNumberFormat="1" applyFont="1" applyFill="1" applyBorder="1" applyAlignment="1">
      <alignment horizontal="center" vertical="center"/>
    </xf>
    <xf numFmtId="181" fontId="26" fillId="10" borderId="9" xfId="0" applyNumberFormat="1" applyFont="1" applyFill="1" applyBorder="1" applyAlignment="1">
      <alignment horizontal="center" vertical="center"/>
    </xf>
    <xf numFmtId="181" fontId="26" fillId="10" borderId="12" xfId="0" applyNumberFormat="1" applyFont="1" applyFill="1" applyBorder="1" applyAlignment="1">
      <alignment horizontal="center" vertical="center"/>
    </xf>
    <xf numFmtId="164" fontId="27" fillId="14" borderId="62" xfId="0" applyNumberFormat="1" applyFont="1" applyFill="1" applyBorder="1" applyAlignment="1">
      <alignment horizontal="center" vertical="center"/>
    </xf>
    <xf numFmtId="0" fontId="119" fillId="36" borderId="3" xfId="0" applyFont="1" applyFill="1" applyBorder="1" applyAlignment="1">
      <alignment horizontal="center"/>
    </xf>
    <xf numFmtId="182" fontId="119" fillId="36" borderId="63" xfId="0" applyNumberFormat="1" applyFont="1" applyFill="1" applyBorder="1" applyAlignment="1">
      <alignment horizontal="center" vertical="center"/>
    </xf>
    <xf numFmtId="164" fontId="27" fillId="14" borderId="64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29" fillId="7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2" fillId="6" borderId="24" xfId="0" applyFont="1" applyFill="1" applyBorder="1" applyAlignment="1">
      <alignment horizontal="center" vertical="center" wrapText="1"/>
    </xf>
    <xf numFmtId="0" fontId="22" fillId="6" borderId="57" xfId="0" applyFont="1" applyFill="1" applyBorder="1" applyAlignment="1">
      <alignment horizontal="center" vertical="center" wrapText="1"/>
    </xf>
    <xf numFmtId="0" fontId="22" fillId="6" borderId="23" xfId="0" applyFont="1" applyFill="1" applyBorder="1" applyAlignment="1">
      <alignment horizontal="center" vertical="center" wrapText="1"/>
    </xf>
    <xf numFmtId="0" fontId="22" fillId="12" borderId="0" xfId="0" applyFont="1" applyFill="1" applyAlignment="1">
      <alignment horizontal="center" vertical="center" wrapText="1"/>
    </xf>
    <xf numFmtId="0" fontId="131" fillId="38" borderId="3" xfId="0" applyFont="1" applyFill="1" applyBorder="1" applyAlignment="1">
      <alignment horizontal="center"/>
    </xf>
    <xf numFmtId="0" fontId="131" fillId="38" borderId="63" xfId="0" applyFont="1" applyFill="1" applyBorder="1" applyAlignment="1">
      <alignment horizontal="center"/>
    </xf>
    <xf numFmtId="0" fontId="124" fillId="33" borderId="61" xfId="2" applyFont="1" applyFill="1" applyBorder="1" applyAlignment="1">
      <alignment horizontal="center" vertical="center"/>
    </xf>
    <xf numFmtId="0" fontId="124" fillId="33" borderId="6" xfId="2" applyFont="1" applyFill="1" applyBorder="1" applyAlignment="1">
      <alignment horizontal="center" vertical="center"/>
    </xf>
    <xf numFmtId="0" fontId="117" fillId="33" borderId="0" xfId="0" applyFont="1" applyFill="1" applyAlignment="1">
      <alignment horizontal="center" vertical="center"/>
    </xf>
    <xf numFmtId="0" fontId="0" fillId="0" borderId="0" xfId="0"/>
    <xf numFmtId="0" fontId="118" fillId="0" borderId="0" xfId="0" applyFont="1" applyAlignment="1">
      <alignment horizontal="center"/>
    </xf>
    <xf numFmtId="0" fontId="120" fillId="34" borderId="0" xfId="0" applyFont="1" applyFill="1" applyAlignment="1">
      <alignment horizontal="left" vertical="center"/>
    </xf>
    <xf numFmtId="0" fontId="124" fillId="33" borderId="60" xfId="2" applyFont="1" applyFill="1" applyBorder="1" applyAlignment="1">
      <alignment horizontal="center" vertical="center"/>
    </xf>
    <xf numFmtId="0" fontId="124" fillId="33" borderId="0" xfId="2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0" borderId="0" xfId="0" applyFont="1"/>
    <xf numFmtId="164" fontId="5" fillId="5" borderId="2" xfId="0" applyNumberFormat="1" applyFont="1" applyFill="1" applyBorder="1" applyAlignment="1">
      <alignment horizontal="center" vertical="center" wrapText="1"/>
    </xf>
    <xf numFmtId="164" fontId="115" fillId="37" borderId="44" xfId="0" applyNumberFormat="1" applyFont="1" applyFill="1" applyBorder="1" applyAlignment="1">
      <alignment horizontal="center"/>
    </xf>
    <xf numFmtId="0" fontId="0" fillId="0" borderId="26" xfId="0" applyBorder="1"/>
    <xf numFmtId="0" fontId="0" fillId="0" borderId="25" xfId="0" applyBorder="1"/>
    <xf numFmtId="0" fontId="96" fillId="34" borderId="0" xfId="0" applyFont="1" applyFill="1"/>
    <xf numFmtId="0" fontId="7" fillId="6" borderId="0" xfId="0" applyFont="1" applyFill="1" applyAlignment="1">
      <alignment vertical="center" indent="1"/>
    </xf>
    <xf numFmtId="0" fontId="1" fillId="2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wrapText="1" indent="1"/>
    </xf>
    <xf numFmtId="0" fontId="12" fillId="0" borderId="0" xfId="0" applyFont="1" applyAlignment="1">
      <alignment vertical="center" indent="1"/>
    </xf>
    <xf numFmtId="0" fontId="22" fillId="6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2" fillId="0" borderId="18" xfId="0" applyFont="1" applyBorder="1" applyAlignment="1">
      <alignment horizontal="right" vertical="center"/>
    </xf>
    <xf numFmtId="0" fontId="6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50" fillId="3" borderId="0" xfId="0" applyFont="1" applyFill="1" applyAlignment="1">
      <alignment horizontal="left" vertical="center" wrapText="1"/>
    </xf>
    <xf numFmtId="0" fontId="8" fillId="6" borderId="33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 wrapText="1"/>
    </xf>
    <xf numFmtId="0" fontId="52" fillId="6" borderId="1" xfId="0" applyFont="1" applyFill="1" applyBorder="1" applyAlignment="1">
      <alignment horizontal="center" vertical="center" wrapText="1"/>
    </xf>
    <xf numFmtId="0" fontId="62" fillId="7" borderId="18" xfId="0" applyFont="1" applyFill="1" applyBorder="1" applyAlignment="1">
      <alignment horizontal="right" vertical="center"/>
    </xf>
    <xf numFmtId="0" fontId="51" fillId="8" borderId="18" xfId="0" applyFont="1" applyFill="1" applyBorder="1" applyAlignment="1">
      <alignment horizontal="center" vertical="center"/>
    </xf>
    <xf numFmtId="0" fontId="52" fillId="6" borderId="3" xfId="0" applyFont="1" applyFill="1" applyBorder="1" applyAlignment="1">
      <alignment horizontal="center" vertical="center" wrapText="1"/>
    </xf>
    <xf numFmtId="0" fontId="36" fillId="6" borderId="0" xfId="0" applyFont="1" applyFill="1" applyAlignment="1">
      <alignment horizontal="center" vertical="center" wrapText="1"/>
    </xf>
    <xf numFmtId="0" fontId="45" fillId="7" borderId="18" xfId="0" applyFont="1" applyFill="1" applyBorder="1" applyAlignment="1">
      <alignment horizontal="center" vertical="center"/>
    </xf>
    <xf numFmtId="0" fontId="45" fillId="7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43" fillId="3" borderId="0" xfId="0" applyFont="1" applyFill="1" applyAlignment="1">
      <alignment horizontal="left" vertical="center" wrapText="1"/>
    </xf>
    <xf numFmtId="0" fontId="41" fillId="7" borderId="17" xfId="0" applyFont="1" applyFill="1" applyBorder="1" applyAlignment="1">
      <alignment horizontal="right"/>
    </xf>
    <xf numFmtId="0" fontId="125" fillId="33" borderId="45" xfId="0" applyFont="1" applyFill="1" applyBorder="1" applyAlignment="1">
      <alignment horizontal="center"/>
    </xf>
    <xf numFmtId="0" fontId="31" fillId="7" borderId="0" xfId="0" applyFont="1" applyFill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18" borderId="16" xfId="0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0" fontId="124" fillId="33" borderId="5" xfId="2" applyFont="1" applyFill="1" applyBorder="1" applyAlignment="1">
      <alignment horizontal="center" vertical="center" wrapText="1"/>
    </xf>
    <xf numFmtId="0" fontId="63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64" fillId="7" borderId="0" xfId="0" applyFont="1" applyFill="1" applyAlignment="1">
      <alignment horizontal="center" vertical="center" wrapText="1"/>
    </xf>
    <xf numFmtId="164" fontId="0" fillId="18" borderId="0" xfId="0" applyNumberFormat="1" applyFill="1" applyAlignment="1">
      <alignment horizontal="center" vertical="center" wrapText="1"/>
    </xf>
    <xf numFmtId="0" fontId="0" fillId="26" borderId="0" xfId="0" applyFill="1" applyAlignment="1">
      <alignment horizontal="center" vertical="center" wrapText="1"/>
    </xf>
    <xf numFmtId="0" fontId="73" fillId="7" borderId="3" xfId="0" applyFont="1" applyFill="1" applyBorder="1" applyAlignment="1">
      <alignment horizontal="center" vertical="center"/>
    </xf>
    <xf numFmtId="164" fontId="66" fillId="17" borderId="32" xfId="0" applyNumberFormat="1" applyFont="1" applyFill="1" applyBorder="1" applyAlignment="1">
      <alignment horizontal="center" vertical="center"/>
    </xf>
    <xf numFmtId="164" fontId="73" fillId="17" borderId="32" xfId="0" applyNumberFormat="1" applyFont="1" applyFill="1" applyBorder="1" applyAlignment="1">
      <alignment horizontal="center" vertical="center" wrapText="1"/>
    </xf>
    <xf numFmtId="0" fontId="80" fillId="7" borderId="3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 wrapText="1"/>
    </xf>
    <xf numFmtId="0" fontId="81" fillId="0" borderId="29" xfId="0" applyFont="1" applyBorder="1" applyAlignment="1">
      <alignment horizontal="center" vertical="center"/>
    </xf>
    <xf numFmtId="0" fontId="82" fillId="7" borderId="29" xfId="0" applyFont="1" applyFill="1" applyBorder="1" applyAlignment="1">
      <alignment horizontal="center" vertical="center" wrapText="1"/>
    </xf>
    <xf numFmtId="164" fontId="73" fillId="29" borderId="27" xfId="0" applyNumberFormat="1" applyFont="1" applyFill="1" applyBorder="1" applyAlignment="1">
      <alignment horizontal="center" vertical="center"/>
    </xf>
    <xf numFmtId="0" fontId="77" fillId="9" borderId="3" xfId="0" applyFont="1" applyFill="1" applyBorder="1" applyAlignment="1">
      <alignment horizontal="center" vertical="center" wrapText="1"/>
    </xf>
    <xf numFmtId="164" fontId="78" fillId="9" borderId="3" xfId="0" applyNumberFormat="1" applyFont="1" applyFill="1" applyBorder="1" applyAlignment="1">
      <alignment horizontal="center" vertical="center"/>
    </xf>
    <xf numFmtId="0" fontId="77" fillId="9" borderId="1" xfId="0" applyFont="1" applyFill="1" applyBorder="1" applyAlignment="1">
      <alignment horizontal="center" vertical="center" wrapText="1"/>
    </xf>
    <xf numFmtId="164" fontId="79" fillId="9" borderId="28" xfId="0" applyNumberFormat="1" applyFont="1" applyFill="1" applyBorder="1" applyAlignment="1">
      <alignment horizontal="center" vertical="center"/>
    </xf>
    <xf numFmtId="164" fontId="73" fillId="30" borderId="30" xfId="0" applyNumberFormat="1" applyFont="1" applyFill="1" applyBorder="1" applyAlignment="1">
      <alignment horizontal="center" vertical="center"/>
    </xf>
    <xf numFmtId="49" fontId="75" fillId="7" borderId="0" xfId="0" applyNumberFormat="1" applyFont="1" applyFill="1" applyAlignment="1">
      <alignment horizontal="center" vertical="center" wrapText="1"/>
    </xf>
    <xf numFmtId="0" fontId="76" fillId="0" borderId="3" xfId="0" applyFont="1" applyBorder="1" applyAlignment="1">
      <alignment horizontal="center" vertical="center" wrapText="1"/>
    </xf>
    <xf numFmtId="0" fontId="76" fillId="0" borderId="39" xfId="0" applyFont="1" applyBorder="1" applyAlignment="1">
      <alignment horizontal="center" vertical="center" wrapText="1"/>
    </xf>
    <xf numFmtId="0" fontId="74" fillId="0" borderId="3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49" fontId="51" fillId="7" borderId="6" xfId="0" applyNumberFormat="1" applyFont="1" applyFill="1" applyBorder="1" applyAlignment="1">
      <alignment horizontal="center" vertical="top" wrapText="1"/>
    </xf>
    <xf numFmtId="49" fontId="51" fillId="7" borderId="6" xfId="0" applyNumberFormat="1" applyFont="1" applyFill="1" applyBorder="1" applyAlignment="1">
      <alignment horizontal="left" vertical="top" wrapText="1"/>
    </xf>
    <xf numFmtId="0" fontId="23" fillId="7" borderId="0" xfId="0" applyFont="1" applyFill="1" applyAlignment="1">
      <alignment horizontal="center" vertical="center" wrapText="1"/>
    </xf>
    <xf numFmtId="164" fontId="79" fillId="9" borderId="18" xfId="0" applyNumberFormat="1" applyFont="1" applyFill="1" applyBorder="1" applyAlignment="1">
      <alignment horizontal="center" vertical="center"/>
    </xf>
    <xf numFmtId="164" fontId="79" fillId="9" borderId="30" xfId="0" applyNumberFormat="1" applyFont="1" applyFill="1" applyBorder="1" applyAlignment="1">
      <alignment horizontal="center" vertical="center"/>
    </xf>
    <xf numFmtId="164" fontId="79" fillId="9" borderId="3" xfId="0" applyNumberFormat="1" applyFont="1" applyFill="1" applyBorder="1" applyAlignment="1">
      <alignment horizontal="center" vertical="center"/>
    </xf>
    <xf numFmtId="0" fontId="73" fillId="9" borderId="26" xfId="0" applyFont="1" applyFill="1" applyBorder="1" applyAlignment="1">
      <alignment horizontal="center" vertical="center"/>
    </xf>
    <xf numFmtId="0" fontId="73" fillId="9" borderId="27" xfId="0" applyFont="1" applyFill="1" applyBorder="1" applyAlignment="1">
      <alignment horizontal="center" vertical="center"/>
    </xf>
    <xf numFmtId="0" fontId="49" fillId="7" borderId="18" xfId="0" applyFont="1" applyFill="1" applyBorder="1" applyAlignment="1">
      <alignment horizontal="center" vertical="center"/>
    </xf>
    <xf numFmtId="0" fontId="124" fillId="33" borderId="3" xfId="2" applyFont="1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  <xf numFmtId="0" fontId="74" fillId="0" borderId="2" xfId="0" applyFont="1" applyBorder="1" applyAlignment="1">
      <alignment horizontal="center" vertical="center" wrapText="1"/>
    </xf>
    <xf numFmtId="0" fontId="23" fillId="7" borderId="41" xfId="0" applyFont="1" applyFill="1" applyBorder="1" applyAlignment="1">
      <alignment horizontal="center" vertical="center" wrapText="1"/>
    </xf>
    <xf numFmtId="0" fontId="89" fillId="9" borderId="1" xfId="0" applyFont="1" applyFill="1" applyBorder="1" applyAlignment="1">
      <alignment horizontal="center" vertical="center" wrapText="1"/>
    </xf>
    <xf numFmtId="0" fontId="77" fillId="9" borderId="39" xfId="0" applyFont="1" applyFill="1" applyBorder="1" applyAlignment="1">
      <alignment horizontal="center" vertical="center" wrapText="1"/>
    </xf>
    <xf numFmtId="164" fontId="90" fillId="9" borderId="28" xfId="0" applyNumberFormat="1" applyFont="1" applyFill="1" applyBorder="1" applyAlignment="1">
      <alignment horizontal="center" vertical="center"/>
    </xf>
    <xf numFmtId="0" fontId="124" fillId="33" borderId="18" xfId="2" applyFont="1" applyFill="1" applyBorder="1" applyAlignment="1">
      <alignment horizontal="center" vertical="center"/>
    </xf>
    <xf numFmtId="0" fontId="91" fillId="9" borderId="3" xfId="0" applyFont="1" applyFill="1" applyBorder="1" applyAlignment="1">
      <alignment horizontal="center" vertical="center" wrapText="1"/>
    </xf>
    <xf numFmtId="0" fontId="91" fillId="9" borderId="39" xfId="0" applyFont="1" applyFill="1" applyBorder="1" applyAlignment="1">
      <alignment horizontal="center" vertical="center" wrapText="1"/>
    </xf>
    <xf numFmtId="0" fontId="74" fillId="0" borderId="31" xfId="0" applyFont="1" applyBorder="1" applyAlignment="1">
      <alignment horizontal="center" vertical="center" wrapText="1"/>
    </xf>
    <xf numFmtId="0" fontId="124" fillId="33" borderId="31" xfId="2" applyFont="1" applyFill="1" applyBorder="1" applyAlignment="1">
      <alignment horizontal="center" vertical="center" wrapText="1"/>
    </xf>
    <xf numFmtId="0" fontId="124" fillId="33" borderId="0" xfId="2" applyFont="1" applyFill="1" applyAlignment="1">
      <alignment horizontal="center" vertical="center"/>
    </xf>
    <xf numFmtId="0" fontId="81" fillId="0" borderId="42" xfId="0" applyFont="1" applyBorder="1" applyAlignment="1">
      <alignment horizontal="center" vertical="center"/>
    </xf>
    <xf numFmtId="164" fontId="107" fillId="9" borderId="28" xfId="0" applyNumberFormat="1" applyFont="1" applyFill="1" applyBorder="1" applyAlignment="1">
      <alignment horizontal="center" vertical="center"/>
    </xf>
    <xf numFmtId="164" fontId="66" fillId="17" borderId="3" xfId="0" applyNumberFormat="1" applyFont="1" applyFill="1" applyBorder="1" applyAlignment="1">
      <alignment horizontal="center" vertical="center"/>
    </xf>
    <xf numFmtId="0" fontId="45" fillId="17" borderId="3" xfId="0" applyFont="1" applyFill="1" applyBorder="1" applyAlignment="1">
      <alignment horizontal="center" vertical="center" wrapText="1"/>
    </xf>
    <xf numFmtId="0" fontId="74" fillId="7" borderId="18" xfId="0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Normal 2" xfId="1" xr:uid="{00000000-0005-0000-0000-000006000000}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CD"/>
      <rgbColor rgb="FFFFFF00"/>
      <rgbColor rgb="FFFF00FF"/>
      <rgbColor rgb="FFC1E5F5"/>
      <rgbColor rgb="FF7F0000"/>
      <rgbColor rgb="FF008000"/>
      <rgbColor rgb="FF000080"/>
      <rgbColor rgb="FFDEEAF1"/>
      <rgbColor rgb="FF800080"/>
      <rgbColor rgb="FF4E95D9"/>
      <rgbColor rgb="FFBFBFBF"/>
      <rgbColor rgb="FF7F7F7F"/>
      <rgbColor rgb="FFA6C9EC"/>
      <rgbColor rgb="FF7030A0"/>
      <rgbColor rgb="FFFFF2CC"/>
      <rgbColor rgb="FFCAEEFB"/>
      <rgbColor rgb="FF4B0082"/>
      <rgbColor rgb="FFEDE7F6"/>
      <rgbColor rgb="FF0066CC"/>
      <rgbColor rgb="FFBDD7EE"/>
      <rgbColor rgb="FF000080"/>
      <rgbColor rgb="FFFF00FF"/>
      <rgbColor rgb="FFDAF2D0"/>
      <rgbColor rgb="FFC6EFCE"/>
      <rgbColor rgb="FF800080"/>
      <rgbColor rgb="FF800000"/>
      <rgbColor rgb="FF008080"/>
      <rgbColor rgb="FF0000FF"/>
      <rgbColor rgb="FF00B0F0"/>
      <rgbColor rgb="FFDCEAF7"/>
      <rgbColor rgb="FFC2F1C8"/>
      <rgbColor rgb="FFFFEB9C"/>
      <rgbColor rgb="FFA6CAEC"/>
      <rgbColor rgb="FFFCE4D6"/>
      <rgbColor rgb="FF83CBEB"/>
      <rgbColor rgb="FFFBE3D6"/>
      <rgbColor rgb="FF2E75B6"/>
      <rgbColor rgb="FF61CBF4"/>
      <rgbColor rgb="FF92D050"/>
      <rgbColor rgb="FFD9F2D0"/>
      <rgbColor rgb="FFE2EFDA"/>
      <rgbColor rgb="FFE46C0A"/>
      <rgbColor rgb="FF595959"/>
      <rgbColor rgb="FFAAAAAA"/>
      <rgbColor rgb="FF1F3864"/>
      <rgbColor rgb="FF70AD47"/>
      <rgbColor rgb="FF006100"/>
      <rgbColor rgb="FF333300"/>
      <rgbColor rgb="FF7F30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156537</xdr:colOff>
      <xdr:row>0</xdr:row>
      <xdr:rowOff>0</xdr:rowOff>
    </xdr:from>
    <xdr:to>
      <xdr:col>18</xdr:col>
      <xdr:colOff>331820</xdr:colOff>
      <xdr:row>5</xdr:row>
      <xdr:rowOff>77268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47580" y="0"/>
          <a:ext cx="2529449" cy="199883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343159</xdr:colOff>
      <xdr:row>4</xdr:row>
      <xdr:rowOff>215385</xdr:rowOff>
    </xdr:from>
    <xdr:to>
      <xdr:col>18</xdr:col>
      <xdr:colOff>315057</xdr:colOff>
      <xdr:row>11</xdr:row>
      <xdr:rowOff>148952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8134202" y="1830494"/>
          <a:ext cx="2322254" cy="209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8</xdr:row>
      <xdr:rowOff>0</xdr:rowOff>
    </xdr:from>
    <xdr:to>
      <xdr:col>54</xdr:col>
      <xdr:colOff>396869</xdr:colOff>
      <xdr:row>15</xdr:row>
      <xdr:rowOff>91590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5191520" y="2514600"/>
          <a:ext cx="12572640" cy="236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0</xdr:colOff>
      <xdr:row>16</xdr:row>
      <xdr:rowOff>0</xdr:rowOff>
    </xdr:from>
    <xdr:to>
      <xdr:col>56</xdr:col>
      <xdr:colOff>57449</xdr:colOff>
      <xdr:row>23</xdr:row>
      <xdr:rowOff>171210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5191520" y="5086440"/>
          <a:ext cx="13746960" cy="230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0</xdr:colOff>
      <xdr:row>25</xdr:row>
      <xdr:rowOff>0</xdr:rowOff>
    </xdr:from>
    <xdr:to>
      <xdr:col>49</xdr:col>
      <xdr:colOff>211529</xdr:colOff>
      <xdr:row>36</xdr:row>
      <xdr:rowOff>15270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5191520" y="7829640"/>
          <a:ext cx="8575920" cy="337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0</xdr:colOff>
      <xdr:row>37</xdr:row>
      <xdr:rowOff>0</xdr:rowOff>
    </xdr:from>
    <xdr:to>
      <xdr:col>49</xdr:col>
      <xdr:colOff>287129</xdr:colOff>
      <xdr:row>55</xdr:row>
      <xdr:rowOff>175170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5191520" y="11487240"/>
          <a:ext cx="8651520" cy="565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153000</xdr:colOff>
      <xdr:row>63</xdr:row>
      <xdr:rowOff>60120</xdr:rowOff>
    </xdr:from>
    <xdr:to>
      <xdr:col>49</xdr:col>
      <xdr:colOff>93749</xdr:colOff>
      <xdr:row>80</xdr:row>
      <xdr:rowOff>284910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5344520" y="19472040"/>
          <a:ext cx="8312760" cy="541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568080</xdr:colOff>
      <xdr:row>57</xdr:row>
      <xdr:rowOff>290880</xdr:rowOff>
    </xdr:from>
    <xdr:to>
      <xdr:col>48</xdr:col>
      <xdr:colOff>550229</xdr:colOff>
      <xdr:row>62</xdr:row>
      <xdr:rowOff>210090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44998920" y="17874000"/>
          <a:ext cx="8354160" cy="1439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AB53EC-9112-46B5-8605-364BD958F3F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d2a0c7a-1d7f-4b33-b385-ab5ac262dfe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54F8-F620-498C-B65E-D4F292B74657}">
  <sheetPr>
    <tabColor rgb="FF1F3864"/>
    <pageSetUpPr fitToPage="1"/>
  </sheetPr>
  <dimension ref="B2:H22"/>
  <sheetViews>
    <sheetView showGridLines="0" workbookViewId="0">
      <selection activeCell="F12" sqref="F12"/>
    </sheetView>
  </sheetViews>
  <sheetFormatPr defaultRowHeight="14.4" x14ac:dyDescent="0.3"/>
  <cols>
    <col min="1" max="1" width="3.33203125" customWidth="1"/>
    <col min="2" max="2" width="38.88671875" customWidth="1"/>
    <col min="3" max="3" width="2.5546875" customWidth="1"/>
    <col min="4" max="4" width="38.88671875" customWidth="1"/>
    <col min="5" max="5" width="2.5546875" customWidth="1"/>
    <col min="6" max="6" width="38.88671875" customWidth="1"/>
    <col min="7" max="8" width="2.5546875" customWidth="1"/>
  </cols>
  <sheetData>
    <row r="2" spans="2:8" ht="40.049999999999997" customHeight="1" x14ac:dyDescent="0.3">
      <c r="B2" s="416" t="s">
        <v>1732</v>
      </c>
      <c r="C2" s="417"/>
      <c r="D2" s="417"/>
      <c r="E2" s="417"/>
      <c r="F2" s="417"/>
      <c r="G2" s="417"/>
      <c r="H2" s="417"/>
    </row>
    <row r="3" spans="2:8" x14ac:dyDescent="0.3">
      <c r="B3" s="418" t="s">
        <v>1733</v>
      </c>
      <c r="C3" s="417"/>
      <c r="D3" s="417"/>
      <c r="E3" s="417"/>
      <c r="F3" s="417"/>
      <c r="G3" s="417"/>
      <c r="H3" s="417"/>
    </row>
    <row r="5" spans="2:8" ht="25.95" customHeight="1" x14ac:dyDescent="0.3">
      <c r="B5" s="419" t="s">
        <v>1734</v>
      </c>
      <c r="C5" s="417"/>
      <c r="D5" s="417"/>
      <c r="E5" s="417"/>
      <c r="F5" s="417"/>
      <c r="G5" s="417"/>
      <c r="H5" s="417"/>
    </row>
    <row r="7" spans="2:8" ht="28.05" customHeight="1" x14ac:dyDescent="0.3">
      <c r="B7" s="355" t="s">
        <v>1735</v>
      </c>
      <c r="C7" s="354"/>
      <c r="D7" s="355" t="s">
        <v>1736</v>
      </c>
      <c r="E7" s="354"/>
      <c r="F7" s="355" t="s">
        <v>1737</v>
      </c>
    </row>
    <row r="8" spans="2:8" ht="28.05" customHeight="1" x14ac:dyDescent="0.3">
      <c r="B8" s="355" t="s">
        <v>1738</v>
      </c>
      <c r="C8" s="354"/>
      <c r="E8" s="354"/>
    </row>
    <row r="11" spans="2:8" ht="25.95" customHeight="1" x14ac:dyDescent="0.3">
      <c r="B11" s="364" t="s">
        <v>1759</v>
      </c>
      <c r="D11" s="364" t="s">
        <v>1760</v>
      </c>
      <c r="F11" s="364" t="s">
        <v>1761</v>
      </c>
    </row>
    <row r="12" spans="2:8" ht="25.95" customHeight="1" x14ac:dyDescent="0.3">
      <c r="B12" s="365" t="s">
        <v>1739</v>
      </c>
      <c r="D12" s="365" t="s">
        <v>1747</v>
      </c>
      <c r="F12" s="365" t="s">
        <v>1745</v>
      </c>
    </row>
    <row r="13" spans="2:8" ht="25.95" customHeight="1" x14ac:dyDescent="0.3">
      <c r="B13" s="365" t="s">
        <v>1741</v>
      </c>
      <c r="D13" s="365" t="s">
        <v>1748</v>
      </c>
      <c r="F13" s="356" t="s">
        <v>1742</v>
      </c>
    </row>
    <row r="14" spans="2:8" ht="25.95" customHeight="1" x14ac:dyDescent="0.3">
      <c r="B14" s="365" t="s">
        <v>1743</v>
      </c>
      <c r="D14" s="365" t="s">
        <v>1749</v>
      </c>
    </row>
    <row r="15" spans="2:8" ht="25.95" customHeight="1" x14ac:dyDescent="0.3">
      <c r="B15" s="365" t="s">
        <v>1740</v>
      </c>
      <c r="D15" s="365" t="s">
        <v>1750</v>
      </c>
      <c r="F15" s="364" t="s">
        <v>1762</v>
      </c>
    </row>
    <row r="16" spans="2:8" ht="25.95" customHeight="1" x14ac:dyDescent="0.3">
      <c r="B16" s="356" t="s">
        <v>1744</v>
      </c>
      <c r="D16" s="365" t="s">
        <v>1751</v>
      </c>
      <c r="F16" s="356" t="s">
        <v>1746</v>
      </c>
    </row>
    <row r="17" spans="4:4" ht="25.95" customHeight="1" x14ac:dyDescent="0.3">
      <c r="D17" s="365" t="s">
        <v>1753</v>
      </c>
    </row>
    <row r="18" spans="4:4" ht="25.95" customHeight="1" x14ac:dyDescent="0.3">
      <c r="D18" s="365" t="s">
        <v>1752</v>
      </c>
    </row>
    <row r="19" spans="4:4" ht="25.95" customHeight="1" x14ac:dyDescent="0.3">
      <c r="D19" s="365" t="s">
        <v>1763</v>
      </c>
    </row>
    <row r="20" spans="4:4" ht="25.95" customHeight="1" x14ac:dyDescent="0.3">
      <c r="D20" s="365" t="s">
        <v>1754</v>
      </c>
    </row>
    <row r="21" spans="4:4" ht="25.95" customHeight="1" x14ac:dyDescent="0.3">
      <c r="D21" s="365" t="s">
        <v>1755</v>
      </c>
    </row>
    <row r="22" spans="4:4" ht="25.95" customHeight="1" x14ac:dyDescent="0.3">
      <c r="D22" s="356" t="s">
        <v>1756</v>
      </c>
    </row>
  </sheetData>
  <mergeCells count="3">
    <mergeCell ref="B2:H2"/>
    <mergeCell ref="B3:H3"/>
    <mergeCell ref="B5:H5"/>
  </mergeCells>
  <hyperlinks>
    <hyperlink ref="B7" location="'BUSCA DE CUSTO'!A1" tooltip="Ir para a aba BUSCA DE CUSTO" display="▶  BUSCA DE CUSTO" xr:uid="{30452496-E901-4ED8-82EB-12B3C067427A}"/>
    <hyperlink ref="D7" location="'EVOLUÇÃO DE CUSTOS - MP'!A1" tooltip="Ir para a aba EVOLUÇÃO DE CUSTOS - MP" display="▶  EVOLUÇÃO DE CUSTOS - MP" xr:uid="{88B41F94-C809-4512-8CC6-F0A1D23186DC}"/>
    <hyperlink ref="F7" location="'EVOLUÇÃO DE CUSTOS - PRODUTOS'!A1" tooltip="Ir para a aba EVOLUÇÃO DE CUSTOS - PRODUTOS" display="▶  EVOLUÇÃO DE CUSTOS - PRODUTOS" xr:uid="{C23225D3-6075-4E9A-BD25-E5E8EBECDC08}"/>
    <hyperlink ref="B8" location="'PARÂMETROS'!A1" tooltip="Ir para a aba PARÂMETROS" display="▶  PARÂMETROS" xr:uid="{6393201A-9EA1-42BE-A750-158645FCADEE}"/>
    <hyperlink ref="B12" location="'LBD'!A1" tooltip="Ir para a aba LBD" display="▶  LBD" xr:uid="{1475D4B3-E73D-4605-8831-21EEBA99FF6B}"/>
    <hyperlink ref="B13" location="'LUN'!A1" tooltip="Ir para a aba LUN" display="▶  LUN" xr:uid="{B054B930-0789-4AAE-BA3A-4411B9B75116}"/>
    <hyperlink ref="B14" location="'PIGS EM BORRACHA'!A1" tooltip="Ir para a aba PIGS EM BORRACHA" display="▶  PIGS EM BORRACHA" xr:uid="{E0D3109F-D512-49A9-8049-3FF6893615D7}"/>
    <hyperlink ref="B15" location="'CORPO MANDRIL'!A1" tooltip="Ir para a aba CORPO MANDRIL" display="▶  CORPO MANDRIL" xr:uid="{363FCD56-91DE-43F7-954E-47C3B23C293D}"/>
    <hyperlink ref="B16" location="'ELC_MG_PC'!A1" tooltip="Ir para a aba ELC_MG_PC" display="▶  ELC_MG_PC" xr:uid="{887745D7-C2AC-4EEE-A98C-E773EF3EAECB}"/>
    <hyperlink ref="D12" location="'H'!A1" tooltip="Ir para a aba H" display="▶  H" xr:uid="{525ECB2E-B43E-433D-A0E5-385956C799A6}"/>
    <hyperlink ref="D13" location="'HS'!A1" tooltip="Ir para a aba HS" display="▶  HS" xr:uid="{F20FD301-F411-4C92-A9AC-FDDED77D6A9F}"/>
    <hyperlink ref="D14" location="'HL'!A1" tooltip="Ir para a aba HL" display="▶  HL" xr:uid="{CBA08546-F7E4-43F4-A02F-6A59F3333CE1}"/>
    <hyperlink ref="D15" location="'HLR'!A1" tooltip="Ir para a aba HLR" display="▶  HLR" xr:uid="{92E7F245-47AF-46D1-A2E9-2343B8841391}"/>
    <hyperlink ref="D16" location="'HLR X'!A1" tooltip="Ir para a aba HLR X" display="▶  HLR X" xr:uid="{2BCE3D09-15DB-440D-BFBC-13DD26992CB0}"/>
    <hyperlink ref="D17" location="'HLR V'!A1" tooltip="Ir para a aba HLR V" display="▶  HLR V" xr:uid="{7C71B3BE-D394-45A6-9468-B39DE3C7F751}"/>
    <hyperlink ref="D18" location="'HLR R'!A1" tooltip="Ir para a aba HLR R" display="▶  HLR R" xr:uid="{C4C52275-E3BA-41A3-BD2A-909F6A1FD097}"/>
    <hyperlink ref="D20" location="'HDISC'!A1" tooltip="Ir para a aba HDISC" display="▶  HDISC" xr:uid="{589BA158-A6E1-4E6F-92DD-23B7F56E5725}"/>
    <hyperlink ref="D21" location="'HLCC'!A1" tooltip="Ir para a aba HLCC" display="▶  HLCC" xr:uid="{F47ACBAA-7895-4D7D-B97E-6E19625CC6FA}"/>
    <hyperlink ref="D22" location="'HLCC PC'!A1" tooltip="Ir para a aba HLCC PC" display="▶  HLCC PC" xr:uid="{7FE4BFCF-F293-4924-8D3F-5CAD344058E2}"/>
    <hyperlink ref="F12" location="'PU CAST'!A1" tooltip="Ir para a aba PU CAST" display="▶  PU CAST" xr:uid="{A4545BA0-3B6D-40E2-A2A3-D99C146582F5}"/>
    <hyperlink ref="F13" location="'SUPERFLEX'!A1" tooltip="Ir para a aba SUPERFLEX" display="▶  SUPERFLEX" xr:uid="{3CB8F68B-A506-4BB3-A7A2-6AE6938AB139}"/>
    <hyperlink ref="F16" location="'SILICONE'!A1" tooltip="Ir para a aba SILICONE" display="▶  SILICONE" xr:uid="{E247CF0A-F5B8-4C6E-B70E-BF490C29E28B}"/>
    <hyperlink ref="D19" location="'HLB'!A1" tooltip="Ir para a aba HLB" display="▶  HLB" xr:uid="{E3894BD5-478B-49D4-853A-7895C97E3C33}"/>
  </hyperlink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829"/>
  <sheetViews>
    <sheetView zoomScaleNormal="100" workbookViewId="0">
      <pane xSplit="1" ySplit="18" topLeftCell="B19" activePane="bottomRight" state="frozen"/>
      <selection pane="topRight" activeCell="B1" sqref="B1"/>
      <selection pane="bottomLeft" activeCell="A19" sqref="A19"/>
      <selection pane="bottomRight" activeCell="C19" sqref="C19"/>
    </sheetView>
  </sheetViews>
  <sheetFormatPr defaultColWidth="8.5546875" defaultRowHeight="14.4" x14ac:dyDescent="0.3"/>
  <cols>
    <col min="1" max="1" width="9" bestFit="1" customWidth="1"/>
    <col min="2" max="2" width="55" customWidth="1"/>
    <col min="3" max="3" width="10" customWidth="1"/>
    <col min="4" max="4" width="20" customWidth="1"/>
    <col min="5" max="5" width="38.77734375" bestFit="1" customWidth="1"/>
    <col min="6" max="6" width="45" customWidth="1"/>
    <col min="7" max="7" width="16" customWidth="1"/>
    <col min="8" max="8" width="18" customWidth="1"/>
    <col min="9" max="13" width="22.21875" customWidth="1"/>
  </cols>
  <sheetData>
    <row r="1" spans="1:7" x14ac:dyDescent="0.3">
      <c r="A1" s="420" t="s">
        <v>1757</v>
      </c>
      <c r="B1" s="421"/>
    </row>
    <row r="2" spans="1:7" ht="24" customHeight="1" x14ac:dyDescent="0.3">
      <c r="B2" s="423" t="s">
        <v>0</v>
      </c>
      <c r="C2" s="423"/>
      <c r="D2" s="423"/>
    </row>
    <row r="3" spans="1:7" ht="30" customHeight="1" x14ac:dyDescent="0.3">
      <c r="B3" s="424" t="s">
        <v>1</v>
      </c>
      <c r="C3" s="424"/>
      <c r="D3" s="424"/>
    </row>
    <row r="5" spans="1:7" ht="15" customHeight="1" x14ac:dyDescent="0.3">
      <c r="B5" s="1" t="s">
        <v>2</v>
      </c>
    </row>
    <row r="6" spans="1:7" x14ac:dyDescent="0.3">
      <c r="B6" s="425" t="s">
        <v>36</v>
      </c>
      <c r="C6" s="425"/>
      <c r="D6" s="425"/>
    </row>
    <row r="8" spans="1:7" ht="15" customHeight="1" x14ac:dyDescent="0.3">
      <c r="B8" s="426" t="s">
        <v>4</v>
      </c>
      <c r="C8" s="426"/>
      <c r="D8" s="426"/>
      <c r="E8" s="353" t="s">
        <v>1646</v>
      </c>
    </row>
    <row r="9" spans="1:7" ht="15" customHeight="1" x14ac:dyDescent="0.3">
      <c r="B9" s="427">
        <f>IFERROR(INDEX($F$19:$F$829,MATCH($B$6,$B$19:$B$829,0)),"Selecione um produto acima")</f>
        <v>837.3</v>
      </c>
      <c r="C9" s="427"/>
      <c r="D9" s="427"/>
      <c r="E9" s="428" t="str">
        <f>IFERROR(IF(INDEX($H$19:$H$829,MATCH($B$6,$B$19:$B$829,0))="—","Não se aplica",INDEX($H$19:$H$829,MATCH($B$6,$B$19:$B$829,0))),"Selecione um produto acima")</f>
        <v>Não se aplica</v>
      </c>
      <c r="F9" s="429"/>
      <c r="G9" s="429"/>
    </row>
    <row r="10" spans="1:7" ht="15" customHeight="1" x14ac:dyDescent="0.3">
      <c r="B10" s="427"/>
      <c r="C10" s="427"/>
      <c r="D10" s="427"/>
      <c r="E10" s="430"/>
      <c r="F10" s="417"/>
      <c r="G10" s="417"/>
    </row>
    <row r="12" spans="1:7" ht="15" customHeight="1" x14ac:dyDescent="0.35">
      <c r="B12" s="2" t="s">
        <v>5</v>
      </c>
      <c r="E12" s="370" t="s">
        <v>1823</v>
      </c>
      <c r="F12" s="373" t="str">
        <f>IFERROR(INDEX($I$19:$I$829,MATCH($B$6,$B$19:$B$829,0)),"—")</f>
        <v>—</v>
      </c>
    </row>
    <row r="13" spans="1:7" ht="18" x14ac:dyDescent="0.35">
      <c r="B13" s="422" t="str">
        <f>IFERROR(IF(INDEX($G$19:$G$829,MATCH($B$6,$B$19:$B$829,0))="","—",INDEX($G$19:$G$829,MATCH($B$6,$B$19:$B$829,0))),"—")</f>
        <v>—</v>
      </c>
      <c r="C13" s="422"/>
      <c r="D13" s="422"/>
      <c r="E13" s="370" t="s">
        <v>1824</v>
      </c>
      <c r="F13" s="372">
        <v>2</v>
      </c>
    </row>
    <row r="14" spans="1:7" ht="15" customHeight="1" x14ac:dyDescent="0.35">
      <c r="B14" s="422"/>
      <c r="C14" s="422"/>
      <c r="D14" s="422"/>
      <c r="E14" s="370" t="s">
        <v>1825</v>
      </c>
      <c r="F14" s="371">
        <f>IF(OR($F$13="",$F$13&lt;=0),$B$9,IFERROR(INDEX($L$19:$L$829,MATCH($B$6,$B$19:$B$829,0))+INDEX($M$19:$M$829,MATCH($B$6,$B$19:$B$829,0))/$F$13,"—"))</f>
        <v>777.3</v>
      </c>
    </row>
    <row r="17" spans="2:13" ht="15" customHeight="1" x14ac:dyDescent="0.3">
      <c r="B17" s="402" t="s">
        <v>6</v>
      </c>
      <c r="C17" s="402"/>
      <c r="D17" s="402"/>
      <c r="E17" s="402"/>
      <c r="F17" s="402"/>
      <c r="G17" s="402"/>
    </row>
    <row r="18" spans="2:13" ht="22.8" customHeight="1" x14ac:dyDescent="0.3">
      <c r="B18" s="3" t="s">
        <v>7</v>
      </c>
      <c r="C18" s="3" t="s">
        <v>8</v>
      </c>
      <c r="D18" s="3" t="s">
        <v>9</v>
      </c>
      <c r="E18" s="3" t="s">
        <v>10</v>
      </c>
      <c r="F18" s="3" t="s">
        <v>11</v>
      </c>
      <c r="G18" s="3" t="s">
        <v>12</v>
      </c>
      <c r="H18" s="3" t="s">
        <v>1645</v>
      </c>
      <c r="I18" s="3" t="s">
        <v>1818</v>
      </c>
      <c r="J18" s="3" t="s">
        <v>1819</v>
      </c>
      <c r="K18" s="3" t="s">
        <v>1820</v>
      </c>
      <c r="L18" s="3" t="s">
        <v>1821</v>
      </c>
      <c r="M18" s="3" t="s">
        <v>1822</v>
      </c>
    </row>
    <row r="19" spans="2:13" ht="34.5" customHeight="1" x14ac:dyDescent="0.3">
      <c r="B19" s="4" t="s">
        <v>36</v>
      </c>
      <c r="C19" s="4" t="s">
        <v>37</v>
      </c>
      <c r="D19" s="4" t="s">
        <v>38</v>
      </c>
      <c r="E19" s="5" t="s">
        <v>39</v>
      </c>
      <c r="F19" s="6">
        <f>'PIGS EM BORRACHA'!B13</f>
        <v>837.3</v>
      </c>
      <c r="G19" s="7"/>
      <c r="H19" s="6" t="s">
        <v>1644</v>
      </c>
      <c r="I19" s="369" t="s">
        <v>1644</v>
      </c>
      <c r="J19" s="368"/>
      <c r="K19" s="367">
        <f t="shared" ref="K19:K38" si="0">IF(OR($J19="",$J19&lt;=0),$F19,$L19+$M19/$J19)</f>
        <v>837.3</v>
      </c>
      <c r="L19" s="367">
        <f t="shared" ref="L19:L38" si="1">$F19-$M19</f>
        <v>717.3</v>
      </c>
      <c r="M19" s="367">
        <f>'PIGS EM BORRACHA'!B12</f>
        <v>120</v>
      </c>
    </row>
    <row r="20" spans="2:13" ht="34.5" customHeight="1" x14ac:dyDescent="0.3">
      <c r="B20" s="4" t="s">
        <v>40</v>
      </c>
      <c r="C20" s="4" t="s">
        <v>37</v>
      </c>
      <c r="D20" s="4" t="s">
        <v>38</v>
      </c>
      <c r="E20" s="5" t="s">
        <v>41</v>
      </c>
      <c r="F20" s="6">
        <f>'PIGS EM BORRACHA'!C13</f>
        <v>1022.8</v>
      </c>
      <c r="G20" s="7"/>
      <c r="H20" s="6" t="s">
        <v>1644</v>
      </c>
      <c r="I20" s="369" t="s">
        <v>1644</v>
      </c>
      <c r="J20" s="368"/>
      <c r="K20" s="367">
        <f t="shared" si="0"/>
        <v>1022.8</v>
      </c>
      <c r="L20" s="367">
        <f t="shared" si="1"/>
        <v>902.8</v>
      </c>
      <c r="M20" s="367">
        <f>'PIGS EM BORRACHA'!C12</f>
        <v>120</v>
      </c>
    </row>
    <row r="21" spans="2:13" ht="34.5" customHeight="1" x14ac:dyDescent="0.3">
      <c r="B21" s="4" t="s">
        <v>42</v>
      </c>
      <c r="C21" s="4" t="s">
        <v>37</v>
      </c>
      <c r="D21" s="4" t="s">
        <v>38</v>
      </c>
      <c r="E21" s="5" t="s">
        <v>43</v>
      </c>
      <c r="F21" s="6">
        <f>'PIGS EM BORRACHA'!D13</f>
        <v>1118.7</v>
      </c>
      <c r="G21" s="7"/>
      <c r="H21" s="6" t="s">
        <v>1644</v>
      </c>
      <c r="I21" s="369" t="s">
        <v>1644</v>
      </c>
      <c r="J21" s="368"/>
      <c r="K21" s="367">
        <f t="shared" si="0"/>
        <v>1118.7</v>
      </c>
      <c r="L21" s="367">
        <f t="shared" si="1"/>
        <v>998.7</v>
      </c>
      <c r="M21" s="367">
        <f>'PIGS EM BORRACHA'!D12</f>
        <v>120</v>
      </c>
    </row>
    <row r="22" spans="2:13" ht="34.5" customHeight="1" x14ac:dyDescent="0.3">
      <c r="B22" s="4" t="s">
        <v>44</v>
      </c>
      <c r="C22" s="4" t="s">
        <v>37</v>
      </c>
      <c r="D22" s="4" t="s">
        <v>38</v>
      </c>
      <c r="E22" s="5" t="s">
        <v>45</v>
      </c>
      <c r="F22" s="6">
        <f>'PIGS EM BORRACHA'!E13</f>
        <v>1332.1</v>
      </c>
      <c r="G22" s="7"/>
      <c r="H22" s="6" t="s">
        <v>1644</v>
      </c>
      <c r="I22" s="369" t="s">
        <v>1644</v>
      </c>
      <c r="J22" s="368"/>
      <c r="K22" s="367">
        <f t="shared" si="0"/>
        <v>1332.1</v>
      </c>
      <c r="L22" s="367">
        <f t="shared" si="1"/>
        <v>1212.0999999999999</v>
      </c>
      <c r="M22" s="367">
        <f>'PIGS EM BORRACHA'!E12</f>
        <v>120</v>
      </c>
    </row>
    <row r="23" spans="2:13" ht="34.5" customHeight="1" x14ac:dyDescent="0.3">
      <c r="B23" s="4" t="s">
        <v>46</v>
      </c>
      <c r="C23" s="4" t="s">
        <v>37</v>
      </c>
      <c r="D23" s="4" t="s">
        <v>38</v>
      </c>
      <c r="E23" s="5" t="s">
        <v>47</v>
      </c>
      <c r="F23" s="6">
        <f>'PIGS EM BORRACHA'!F13</f>
        <v>1656.4</v>
      </c>
      <c r="G23" s="7"/>
      <c r="H23" s="6" t="s">
        <v>1644</v>
      </c>
      <c r="I23" s="369" t="s">
        <v>1644</v>
      </c>
      <c r="J23" s="368"/>
      <c r="K23" s="367">
        <f t="shared" si="0"/>
        <v>1656.4</v>
      </c>
      <c r="L23" s="367">
        <f t="shared" si="1"/>
        <v>1536.4</v>
      </c>
      <c r="M23" s="367">
        <f>'PIGS EM BORRACHA'!F12</f>
        <v>120</v>
      </c>
    </row>
    <row r="24" spans="2:13" ht="34.5" customHeight="1" x14ac:dyDescent="0.3">
      <c r="B24" s="4" t="s">
        <v>48</v>
      </c>
      <c r="C24" s="4" t="s">
        <v>49</v>
      </c>
      <c r="D24" s="4" t="s">
        <v>38</v>
      </c>
      <c r="E24" s="5" t="s">
        <v>39</v>
      </c>
      <c r="F24" s="6">
        <f>'PIGS EM BORRACHA'!B24</f>
        <v>939.3</v>
      </c>
      <c r="G24" s="7"/>
      <c r="H24" s="6" t="s">
        <v>1644</v>
      </c>
      <c r="I24" s="369" t="s">
        <v>1644</v>
      </c>
      <c r="J24" s="368"/>
      <c r="K24" s="367">
        <f t="shared" si="0"/>
        <v>939.3</v>
      </c>
      <c r="L24" s="367">
        <f t="shared" si="1"/>
        <v>819.3</v>
      </c>
      <c r="M24" s="367">
        <f>'PIGS EM BORRACHA'!B23</f>
        <v>120</v>
      </c>
    </row>
    <row r="25" spans="2:13" ht="34.5" customHeight="1" x14ac:dyDescent="0.3">
      <c r="B25" s="4" t="s">
        <v>50</v>
      </c>
      <c r="C25" s="4" t="s">
        <v>49</v>
      </c>
      <c r="D25" s="4" t="s">
        <v>38</v>
      </c>
      <c r="E25" s="5" t="s">
        <v>41</v>
      </c>
      <c r="F25" s="6">
        <f>'PIGS EM BORRACHA'!C24</f>
        <v>1157.8</v>
      </c>
      <c r="G25" s="7"/>
      <c r="H25" s="6" t="s">
        <v>1644</v>
      </c>
      <c r="I25" s="369" t="s">
        <v>1644</v>
      </c>
      <c r="J25" s="368"/>
      <c r="K25" s="367">
        <f t="shared" si="0"/>
        <v>1157.8</v>
      </c>
      <c r="L25" s="367">
        <f t="shared" si="1"/>
        <v>1037.8</v>
      </c>
      <c r="M25" s="367">
        <f>'PIGS EM BORRACHA'!C23</f>
        <v>120</v>
      </c>
    </row>
    <row r="26" spans="2:13" ht="34.5" customHeight="1" x14ac:dyDescent="0.3">
      <c r="B26" s="4" t="s">
        <v>51</v>
      </c>
      <c r="C26" s="4" t="s">
        <v>49</v>
      </c>
      <c r="D26" s="4" t="s">
        <v>38</v>
      </c>
      <c r="E26" s="5" t="s">
        <v>43</v>
      </c>
      <c r="F26" s="6">
        <f>'PIGS EM BORRACHA'!D24</f>
        <v>1271.7</v>
      </c>
      <c r="G26" s="7"/>
      <c r="H26" s="6" t="s">
        <v>1644</v>
      </c>
      <c r="I26" s="369" t="s">
        <v>1644</v>
      </c>
      <c r="J26" s="368"/>
      <c r="K26" s="367">
        <f t="shared" si="0"/>
        <v>1271.7</v>
      </c>
      <c r="L26" s="367">
        <f t="shared" si="1"/>
        <v>1151.7</v>
      </c>
      <c r="M26" s="367">
        <f>'PIGS EM BORRACHA'!D23</f>
        <v>120</v>
      </c>
    </row>
    <row r="27" spans="2:13" ht="34.5" customHeight="1" x14ac:dyDescent="0.3">
      <c r="B27" s="4" t="s">
        <v>52</v>
      </c>
      <c r="C27" s="4" t="s">
        <v>49</v>
      </c>
      <c r="D27" s="4" t="s">
        <v>38</v>
      </c>
      <c r="E27" s="5" t="s">
        <v>45</v>
      </c>
      <c r="F27" s="6">
        <f>'PIGS EM BORRACHA'!E24</f>
        <v>1488.1</v>
      </c>
      <c r="G27" s="7"/>
      <c r="H27" s="6" t="s">
        <v>1644</v>
      </c>
      <c r="I27" s="369" t="s">
        <v>1644</v>
      </c>
      <c r="J27" s="368"/>
      <c r="K27" s="367">
        <f t="shared" si="0"/>
        <v>1488.1</v>
      </c>
      <c r="L27" s="367">
        <f t="shared" si="1"/>
        <v>1368.1</v>
      </c>
      <c r="M27" s="367">
        <f>'PIGS EM BORRACHA'!E23</f>
        <v>120</v>
      </c>
    </row>
    <row r="28" spans="2:13" ht="34.5" customHeight="1" x14ac:dyDescent="0.3">
      <c r="B28" s="4" t="s">
        <v>53</v>
      </c>
      <c r="C28" s="4" t="s">
        <v>49</v>
      </c>
      <c r="D28" s="4" t="s">
        <v>38</v>
      </c>
      <c r="E28" s="5" t="s">
        <v>47</v>
      </c>
      <c r="F28" s="6">
        <f>'PIGS EM BORRACHA'!F24</f>
        <v>1836.4</v>
      </c>
      <c r="G28" s="7"/>
      <c r="H28" s="6" t="s">
        <v>1644</v>
      </c>
      <c r="I28" s="369" t="s">
        <v>1644</v>
      </c>
      <c r="J28" s="368"/>
      <c r="K28" s="367">
        <f t="shared" si="0"/>
        <v>1836.4</v>
      </c>
      <c r="L28" s="367">
        <f t="shared" si="1"/>
        <v>1716.4</v>
      </c>
      <c r="M28" s="367">
        <f>'PIGS EM BORRACHA'!F23</f>
        <v>120</v>
      </c>
    </row>
    <row r="29" spans="2:13" ht="34.5" customHeight="1" x14ac:dyDescent="0.3">
      <c r="B29" s="4" t="s">
        <v>54</v>
      </c>
      <c r="C29" s="4" t="s">
        <v>55</v>
      </c>
      <c r="D29" s="4" t="s">
        <v>38</v>
      </c>
      <c r="E29" s="5" t="s">
        <v>39</v>
      </c>
      <c r="F29" s="6">
        <f>'PIGS EM BORRACHA'!B35</f>
        <v>1083.3</v>
      </c>
      <c r="G29" s="7"/>
      <c r="H29" s="6" t="s">
        <v>1644</v>
      </c>
      <c r="I29" s="369" t="s">
        <v>1644</v>
      </c>
      <c r="J29" s="368"/>
      <c r="K29" s="367">
        <f t="shared" si="0"/>
        <v>1083.3</v>
      </c>
      <c r="L29" s="367">
        <f t="shared" si="1"/>
        <v>963.3</v>
      </c>
      <c r="M29" s="367">
        <f>'PIGS EM BORRACHA'!B34</f>
        <v>120</v>
      </c>
    </row>
    <row r="30" spans="2:13" ht="34.5" customHeight="1" x14ac:dyDescent="0.3">
      <c r="B30" s="4" t="s">
        <v>56</v>
      </c>
      <c r="C30" s="4" t="s">
        <v>55</v>
      </c>
      <c r="D30" s="4" t="s">
        <v>38</v>
      </c>
      <c r="E30" s="5" t="s">
        <v>41</v>
      </c>
      <c r="F30" s="6">
        <f>'PIGS EM BORRACHA'!C35</f>
        <v>1352.8</v>
      </c>
      <c r="G30" s="7"/>
      <c r="H30" s="6" t="s">
        <v>1644</v>
      </c>
      <c r="I30" s="369" t="s">
        <v>1644</v>
      </c>
      <c r="J30" s="368"/>
      <c r="K30" s="367">
        <f t="shared" si="0"/>
        <v>1352.8</v>
      </c>
      <c r="L30" s="367">
        <f t="shared" si="1"/>
        <v>1232.8</v>
      </c>
      <c r="M30" s="367">
        <f>'PIGS EM BORRACHA'!C34</f>
        <v>120</v>
      </c>
    </row>
    <row r="31" spans="2:13" ht="34.5" customHeight="1" x14ac:dyDescent="0.3">
      <c r="B31" s="4" t="s">
        <v>57</v>
      </c>
      <c r="C31" s="4" t="s">
        <v>55</v>
      </c>
      <c r="D31" s="4" t="s">
        <v>38</v>
      </c>
      <c r="E31" s="5" t="s">
        <v>43</v>
      </c>
      <c r="F31" s="6">
        <f>'PIGS EM BORRACHA'!D35</f>
        <v>1491.7</v>
      </c>
      <c r="G31" s="7"/>
      <c r="H31" s="6" t="s">
        <v>1644</v>
      </c>
      <c r="I31" s="369" t="s">
        <v>1644</v>
      </c>
      <c r="J31" s="368"/>
      <c r="K31" s="367">
        <f t="shared" si="0"/>
        <v>1491.7</v>
      </c>
      <c r="L31" s="367">
        <f t="shared" si="1"/>
        <v>1371.7</v>
      </c>
      <c r="M31" s="367">
        <f>'PIGS EM BORRACHA'!D34</f>
        <v>120</v>
      </c>
    </row>
    <row r="32" spans="2:13" ht="34.5" customHeight="1" x14ac:dyDescent="0.3">
      <c r="B32" s="4" t="s">
        <v>58</v>
      </c>
      <c r="C32" s="4" t="s">
        <v>55</v>
      </c>
      <c r="D32" s="4" t="s">
        <v>38</v>
      </c>
      <c r="E32" s="5" t="s">
        <v>45</v>
      </c>
      <c r="F32" s="6">
        <f>'PIGS EM BORRACHA'!E35</f>
        <v>1760.1</v>
      </c>
      <c r="G32" s="7"/>
      <c r="H32" s="6" t="s">
        <v>1644</v>
      </c>
      <c r="I32" s="369" t="s">
        <v>1644</v>
      </c>
      <c r="J32" s="368"/>
      <c r="K32" s="367">
        <f t="shared" si="0"/>
        <v>1760.1</v>
      </c>
      <c r="L32" s="367">
        <f t="shared" si="1"/>
        <v>1640.1</v>
      </c>
      <c r="M32" s="367">
        <f>'PIGS EM BORRACHA'!E34</f>
        <v>120</v>
      </c>
    </row>
    <row r="33" spans="2:13" ht="34.5" customHeight="1" x14ac:dyDescent="0.3">
      <c r="B33" s="4" t="s">
        <v>59</v>
      </c>
      <c r="C33" s="4" t="s">
        <v>55</v>
      </c>
      <c r="D33" s="4" t="s">
        <v>38</v>
      </c>
      <c r="E33" s="5" t="s">
        <v>47</v>
      </c>
      <c r="F33" s="6">
        <f>'PIGS EM BORRACHA'!F35</f>
        <v>2186.4</v>
      </c>
      <c r="G33" s="7"/>
      <c r="H33" s="6" t="s">
        <v>1644</v>
      </c>
      <c r="I33" s="369" t="s">
        <v>1644</v>
      </c>
      <c r="J33" s="368"/>
      <c r="K33" s="367">
        <f t="shared" si="0"/>
        <v>2186.4</v>
      </c>
      <c r="L33" s="367">
        <f t="shared" si="1"/>
        <v>2066.4</v>
      </c>
      <c r="M33" s="367">
        <f>'PIGS EM BORRACHA'!F34</f>
        <v>120</v>
      </c>
    </row>
    <row r="34" spans="2:13" ht="34.5" customHeight="1" x14ac:dyDescent="0.3">
      <c r="B34" s="4" t="s">
        <v>60</v>
      </c>
      <c r="C34" s="4" t="s">
        <v>61</v>
      </c>
      <c r="D34" s="4" t="s">
        <v>38</v>
      </c>
      <c r="E34" s="5" t="s">
        <v>39</v>
      </c>
      <c r="F34" s="6">
        <f>'PIGS EM BORRACHA'!B46</f>
        <v>3150.3</v>
      </c>
      <c r="G34" s="7"/>
      <c r="H34" s="6" t="s">
        <v>1644</v>
      </c>
      <c r="I34" s="369" t="s">
        <v>1644</v>
      </c>
      <c r="J34" s="368"/>
      <c r="K34" s="367">
        <f t="shared" si="0"/>
        <v>3150.3</v>
      </c>
      <c r="L34" s="367">
        <f t="shared" si="1"/>
        <v>3030.3</v>
      </c>
      <c r="M34" s="367">
        <f>'PIGS EM BORRACHA'!B45</f>
        <v>120</v>
      </c>
    </row>
    <row r="35" spans="2:13" ht="34.5" customHeight="1" x14ac:dyDescent="0.3">
      <c r="B35" s="4" t="s">
        <v>62</v>
      </c>
      <c r="C35" s="4" t="s">
        <v>61</v>
      </c>
      <c r="D35" s="4" t="s">
        <v>38</v>
      </c>
      <c r="E35" s="5" t="s">
        <v>41</v>
      </c>
      <c r="F35" s="6">
        <f>'PIGS EM BORRACHA'!C46</f>
        <v>3812.8</v>
      </c>
      <c r="G35" s="7"/>
      <c r="H35" s="6" t="s">
        <v>1644</v>
      </c>
      <c r="I35" s="369" t="s">
        <v>1644</v>
      </c>
      <c r="J35" s="368"/>
      <c r="K35" s="367">
        <f t="shared" si="0"/>
        <v>3812.8</v>
      </c>
      <c r="L35" s="367">
        <f t="shared" si="1"/>
        <v>3692.8</v>
      </c>
      <c r="M35" s="367">
        <f>'PIGS EM BORRACHA'!C45</f>
        <v>120</v>
      </c>
    </row>
    <row r="36" spans="2:13" ht="34.5" customHeight="1" x14ac:dyDescent="0.3">
      <c r="B36" s="4" t="s">
        <v>63</v>
      </c>
      <c r="C36" s="4" t="s">
        <v>61</v>
      </c>
      <c r="D36" s="4" t="s">
        <v>38</v>
      </c>
      <c r="E36" s="5" t="s">
        <v>43</v>
      </c>
      <c r="F36" s="6">
        <f>'PIGS EM BORRACHA'!D46</f>
        <v>5087.7</v>
      </c>
      <c r="G36" s="7"/>
      <c r="H36" s="6" t="s">
        <v>1644</v>
      </c>
      <c r="I36" s="369" t="s">
        <v>1644</v>
      </c>
      <c r="J36" s="368"/>
      <c r="K36" s="367">
        <f t="shared" si="0"/>
        <v>5087.7</v>
      </c>
      <c r="L36" s="367">
        <f t="shared" si="1"/>
        <v>4967.7</v>
      </c>
      <c r="M36" s="367">
        <f>'PIGS EM BORRACHA'!D45</f>
        <v>120</v>
      </c>
    </row>
    <row r="37" spans="2:13" ht="34.5" customHeight="1" x14ac:dyDescent="0.3">
      <c r="B37" s="4" t="s">
        <v>64</v>
      </c>
      <c r="C37" s="4" t="s">
        <v>61</v>
      </c>
      <c r="D37" s="4" t="s">
        <v>38</v>
      </c>
      <c r="E37" s="5" t="s">
        <v>45</v>
      </c>
      <c r="F37" s="6">
        <f>'PIGS EM BORRACHA'!E46</f>
        <v>6342.1</v>
      </c>
      <c r="G37" s="7"/>
      <c r="H37" s="6" t="s">
        <v>1644</v>
      </c>
      <c r="I37" s="369" t="s">
        <v>1644</v>
      </c>
      <c r="J37" s="368"/>
      <c r="K37" s="367">
        <f t="shared" si="0"/>
        <v>6342.1</v>
      </c>
      <c r="L37" s="367">
        <f t="shared" si="1"/>
        <v>6222.1</v>
      </c>
      <c r="M37" s="367">
        <f>'PIGS EM BORRACHA'!E45</f>
        <v>120</v>
      </c>
    </row>
    <row r="38" spans="2:13" ht="34.5" customHeight="1" x14ac:dyDescent="0.3">
      <c r="B38" s="4" t="s">
        <v>65</v>
      </c>
      <c r="C38" s="4" t="s">
        <v>61</v>
      </c>
      <c r="D38" s="4" t="s">
        <v>38</v>
      </c>
      <c r="E38" s="5" t="s">
        <v>47</v>
      </c>
      <c r="F38" s="6">
        <f>'PIGS EM BORRACHA'!F46</f>
        <v>7761.4</v>
      </c>
      <c r="G38" s="7"/>
      <c r="H38" s="6" t="s">
        <v>1644</v>
      </c>
      <c r="I38" s="369" t="s">
        <v>1644</v>
      </c>
      <c r="J38" s="368"/>
      <c r="K38" s="367">
        <f t="shared" si="0"/>
        <v>7761.4</v>
      </c>
      <c r="L38" s="367">
        <f t="shared" si="1"/>
        <v>7641.4</v>
      </c>
      <c r="M38" s="367">
        <f>'PIGS EM BORRACHA'!F45</f>
        <v>120</v>
      </c>
    </row>
    <row r="39" spans="2:13" ht="23.25" customHeight="1" x14ac:dyDescent="0.3">
      <c r="B39" s="4" t="s">
        <v>67</v>
      </c>
      <c r="C39" s="4" t="s">
        <v>68</v>
      </c>
      <c r="D39" s="4" t="s">
        <v>69</v>
      </c>
      <c r="E39" s="5" t="s">
        <v>14</v>
      </c>
      <c r="F39" s="6">
        <f>ELC_MG_PC!J4</f>
        <v>39.47</v>
      </c>
      <c r="G39" s="7"/>
      <c r="H39" s="6" t="s">
        <v>1644</v>
      </c>
      <c r="I39" s="369">
        <f>ELC_MG_PC!H4</f>
        <v>1</v>
      </c>
      <c r="J39" s="368"/>
      <c r="K39" s="367">
        <f t="shared" ref="K39:K102" si="2">IF(OR($J39="",$J39&lt;=0),$F39,$L39+$M39/$J39)</f>
        <v>39.47</v>
      </c>
      <c r="L39" s="367">
        <f>$F39-ELC_MG_PC!I4</f>
        <v>39.47</v>
      </c>
      <c r="M39" s="367">
        <f>IFERROR(ELC_MG_PC!I4*ELC_MG_PC!H4,0)</f>
        <v>0</v>
      </c>
    </row>
    <row r="40" spans="2:13" ht="23.25" customHeight="1" x14ac:dyDescent="0.3">
      <c r="B40" s="4" t="s">
        <v>70</v>
      </c>
      <c r="C40" s="4" t="s">
        <v>68</v>
      </c>
      <c r="D40" s="4" t="s">
        <v>69</v>
      </c>
      <c r="E40" s="5" t="s">
        <v>15</v>
      </c>
      <c r="F40" s="6">
        <f>ELC_MG_PC!J5</f>
        <v>44.52</v>
      </c>
      <c r="G40" s="7"/>
      <c r="H40" s="6" t="s">
        <v>1644</v>
      </c>
      <c r="I40" s="369">
        <f>ELC_MG_PC!H5</f>
        <v>1</v>
      </c>
      <c r="J40" s="368"/>
      <c r="K40" s="367">
        <f t="shared" si="2"/>
        <v>44.52</v>
      </c>
      <c r="L40" s="367">
        <f>$F40-ELC_MG_PC!I5</f>
        <v>44.52</v>
      </c>
      <c r="M40" s="367">
        <f>IFERROR(ELC_MG_PC!I5*ELC_MG_PC!H5,0)</f>
        <v>0</v>
      </c>
    </row>
    <row r="41" spans="2:13" ht="23.25" customHeight="1" x14ac:dyDescent="0.3">
      <c r="B41" s="4" t="s">
        <v>71</v>
      </c>
      <c r="C41" s="4" t="s">
        <v>68</v>
      </c>
      <c r="D41" s="4" t="s">
        <v>69</v>
      </c>
      <c r="E41" s="5" t="s">
        <v>16</v>
      </c>
      <c r="F41" s="6">
        <f>ELC_MG_PC!J6</f>
        <v>90.22</v>
      </c>
      <c r="G41" s="7"/>
      <c r="H41" s="6" t="s">
        <v>1644</v>
      </c>
      <c r="I41" s="369">
        <f>ELC_MG_PC!H6</f>
        <v>1</v>
      </c>
      <c r="J41" s="368"/>
      <c r="K41" s="367">
        <f t="shared" si="2"/>
        <v>90.22</v>
      </c>
      <c r="L41" s="367">
        <f>$F41-ELC_MG_PC!I6</f>
        <v>90.22</v>
      </c>
      <c r="M41" s="367">
        <f>IFERROR(ELC_MG_PC!I6*ELC_MG_PC!H6,0)</f>
        <v>0</v>
      </c>
    </row>
    <row r="42" spans="2:13" ht="23.25" customHeight="1" x14ac:dyDescent="0.3">
      <c r="B42" s="4" t="s">
        <v>72</v>
      </c>
      <c r="C42" s="4" t="s">
        <v>68</v>
      </c>
      <c r="D42" s="4" t="s">
        <v>69</v>
      </c>
      <c r="E42" s="5" t="s">
        <v>17</v>
      </c>
      <c r="F42" s="6">
        <f>ELC_MG_PC!J7</f>
        <v>195.47</v>
      </c>
      <c r="G42" s="7"/>
      <c r="H42" s="6" t="s">
        <v>1644</v>
      </c>
      <c r="I42" s="369">
        <f>ELC_MG_PC!H7</f>
        <v>1</v>
      </c>
      <c r="J42" s="368"/>
      <c r="K42" s="367">
        <f t="shared" si="2"/>
        <v>195.47</v>
      </c>
      <c r="L42" s="367">
        <f>$F42-ELC_MG_PC!I7</f>
        <v>195.47</v>
      </c>
      <c r="M42" s="367">
        <f>IFERROR(ELC_MG_PC!I7*ELC_MG_PC!H7,0)</f>
        <v>0</v>
      </c>
    </row>
    <row r="43" spans="2:13" ht="23.25" customHeight="1" x14ac:dyDescent="0.3">
      <c r="B43" s="4" t="s">
        <v>73</v>
      </c>
      <c r="C43" s="4" t="s">
        <v>68</v>
      </c>
      <c r="D43" s="4" t="s">
        <v>69</v>
      </c>
      <c r="E43" s="5" t="s">
        <v>18</v>
      </c>
      <c r="F43" s="6">
        <f>ELC_MG_PC!J8</f>
        <v>216.85999999999967</v>
      </c>
      <c r="G43" s="7"/>
      <c r="H43" s="6" t="s">
        <v>1644</v>
      </c>
      <c r="I43" s="369">
        <f>ELC_MG_PC!H8</f>
        <v>1</v>
      </c>
      <c r="J43" s="368"/>
      <c r="K43" s="367">
        <f t="shared" si="2"/>
        <v>216.85999999999967</v>
      </c>
      <c r="L43" s="367">
        <f>$F43-ELC_MG_PC!I8</f>
        <v>16.860000000000014</v>
      </c>
      <c r="M43" s="367">
        <f>IFERROR(ELC_MG_PC!I8*ELC_MG_PC!H8,0)</f>
        <v>199.99999999999966</v>
      </c>
    </row>
    <row r="44" spans="2:13" ht="23.25" customHeight="1" x14ac:dyDescent="0.3">
      <c r="B44" s="4" t="s">
        <v>74</v>
      </c>
      <c r="C44" s="4" t="s">
        <v>68</v>
      </c>
      <c r="D44" s="4" t="s">
        <v>69</v>
      </c>
      <c r="E44" s="5" t="s">
        <v>19</v>
      </c>
      <c r="F44" s="6">
        <f>ELC_MG_PC!J9</f>
        <v>245.23999999999967</v>
      </c>
      <c r="G44" s="7"/>
      <c r="H44" s="6" t="s">
        <v>1644</v>
      </c>
      <c r="I44" s="369">
        <f>ELC_MG_PC!H9</f>
        <v>1</v>
      </c>
      <c r="J44" s="368"/>
      <c r="K44" s="367">
        <f t="shared" si="2"/>
        <v>245.23999999999967</v>
      </c>
      <c r="L44" s="367">
        <f>$F44-ELC_MG_PC!I9</f>
        <v>45.240000000000009</v>
      </c>
      <c r="M44" s="367">
        <f>IFERROR(ELC_MG_PC!I9*ELC_MG_PC!H9,0)</f>
        <v>199.99999999999966</v>
      </c>
    </row>
    <row r="45" spans="2:13" ht="23.25" customHeight="1" x14ac:dyDescent="0.3">
      <c r="B45" s="4" t="s">
        <v>75</v>
      </c>
      <c r="C45" s="4" t="s">
        <v>68</v>
      </c>
      <c r="D45" s="4" t="s">
        <v>69</v>
      </c>
      <c r="E45" s="5" t="s">
        <v>20</v>
      </c>
      <c r="F45" s="6">
        <f>ELC_MG_PC!J10</f>
        <v>292.74999999999966</v>
      </c>
      <c r="G45" s="7"/>
      <c r="H45" s="6" t="s">
        <v>1644</v>
      </c>
      <c r="I45" s="369">
        <f>ELC_MG_PC!H10</f>
        <v>1</v>
      </c>
      <c r="J45" s="368"/>
      <c r="K45" s="367">
        <f t="shared" si="2"/>
        <v>292.74999999999966</v>
      </c>
      <c r="L45" s="367">
        <f>$F45-ELC_MG_PC!I10</f>
        <v>92.75</v>
      </c>
      <c r="M45" s="367">
        <f>IFERROR(ELC_MG_PC!I10*ELC_MG_PC!H10,0)</f>
        <v>199.99999999999966</v>
      </c>
    </row>
    <row r="46" spans="2:13" ht="23.25" customHeight="1" x14ac:dyDescent="0.3">
      <c r="B46" s="4" t="s">
        <v>76</v>
      </c>
      <c r="C46" s="4" t="s">
        <v>68</v>
      </c>
      <c r="D46" s="4" t="s">
        <v>69</v>
      </c>
      <c r="E46" s="5" t="s">
        <v>21</v>
      </c>
      <c r="F46" s="6">
        <f>ELC_MG_PC!J11</f>
        <v>312.65999999999963</v>
      </c>
      <c r="G46" s="7"/>
      <c r="H46" s="6" t="s">
        <v>1644</v>
      </c>
      <c r="I46" s="369">
        <f>ELC_MG_PC!H11</f>
        <v>1</v>
      </c>
      <c r="J46" s="368"/>
      <c r="K46" s="367">
        <f t="shared" si="2"/>
        <v>312.65999999999963</v>
      </c>
      <c r="L46" s="367">
        <f>$F46-ELC_MG_PC!I11</f>
        <v>112.65999999999997</v>
      </c>
      <c r="M46" s="367">
        <f>IFERROR(ELC_MG_PC!I11*ELC_MG_PC!H11,0)</f>
        <v>199.99999999999966</v>
      </c>
    </row>
    <row r="47" spans="2:13" ht="23.25" customHeight="1" x14ac:dyDescent="0.3">
      <c r="B47" s="4" t="s">
        <v>77</v>
      </c>
      <c r="C47" s="4" t="s">
        <v>68</v>
      </c>
      <c r="D47" s="4" t="s">
        <v>69</v>
      </c>
      <c r="E47" s="5" t="s">
        <v>22</v>
      </c>
      <c r="F47" s="6">
        <f>ELC_MG_PC!J12</f>
        <v>366.21999999999969</v>
      </c>
      <c r="G47" s="7"/>
      <c r="H47" s="6" t="s">
        <v>1644</v>
      </c>
      <c r="I47" s="369">
        <f>ELC_MG_PC!H12</f>
        <v>1</v>
      </c>
      <c r="J47" s="368"/>
      <c r="K47" s="367">
        <f t="shared" si="2"/>
        <v>366.21999999999969</v>
      </c>
      <c r="L47" s="367">
        <f>$F47-ELC_MG_PC!I12</f>
        <v>166.22000000000003</v>
      </c>
      <c r="M47" s="367">
        <f>IFERROR(ELC_MG_PC!I12*ELC_MG_PC!H12,0)</f>
        <v>199.99999999999966</v>
      </c>
    </row>
    <row r="48" spans="2:13" ht="23.25" customHeight="1" x14ac:dyDescent="0.3">
      <c r="B48" s="4" t="s">
        <v>78</v>
      </c>
      <c r="C48" s="4" t="s">
        <v>68</v>
      </c>
      <c r="D48" s="4" t="s">
        <v>69</v>
      </c>
      <c r="E48" s="5" t="s">
        <v>23</v>
      </c>
      <c r="F48" s="6">
        <f>ELC_MG_PC!J13</f>
        <v>523.01999999999964</v>
      </c>
      <c r="G48" s="7"/>
      <c r="H48" s="6" t="s">
        <v>1644</v>
      </c>
      <c r="I48" s="369">
        <f>ELC_MG_PC!H13</f>
        <v>1</v>
      </c>
      <c r="J48" s="368"/>
      <c r="K48" s="367">
        <f t="shared" si="2"/>
        <v>523.01999999999964</v>
      </c>
      <c r="L48" s="367">
        <f>$F48-ELC_MG_PC!I13</f>
        <v>323.02</v>
      </c>
      <c r="M48" s="367">
        <f>IFERROR(ELC_MG_PC!I13*ELC_MG_PC!H13,0)</f>
        <v>199.99999999999966</v>
      </c>
    </row>
    <row r="49" spans="2:13" ht="23.25" customHeight="1" x14ac:dyDescent="0.3">
      <c r="B49" s="4" t="s">
        <v>79</v>
      </c>
      <c r="C49" s="4" t="s">
        <v>68</v>
      </c>
      <c r="D49" s="4" t="s">
        <v>69</v>
      </c>
      <c r="E49" s="5" t="s">
        <v>24</v>
      </c>
      <c r="F49" s="6">
        <f>ELC_MG_PC!J14</f>
        <v>634.63</v>
      </c>
      <c r="G49" s="7"/>
      <c r="H49" s="6" t="s">
        <v>1644</v>
      </c>
      <c r="I49" s="369">
        <f>ELC_MG_PC!H14</f>
        <v>1</v>
      </c>
      <c r="J49" s="368"/>
      <c r="K49" s="367">
        <f t="shared" si="2"/>
        <v>634.63</v>
      </c>
      <c r="L49" s="367">
        <f>$F49-ELC_MG_PC!I14</f>
        <v>394.63</v>
      </c>
      <c r="M49" s="367">
        <f>IFERROR(ELC_MG_PC!I14*ELC_MG_PC!H14,0)</f>
        <v>240</v>
      </c>
    </row>
    <row r="50" spans="2:13" ht="23.25" customHeight="1" x14ac:dyDescent="0.3">
      <c r="B50" s="4" t="s">
        <v>80</v>
      </c>
      <c r="C50" s="4" t="s">
        <v>68</v>
      </c>
      <c r="D50" s="4" t="s">
        <v>69</v>
      </c>
      <c r="E50" s="5" t="s">
        <v>25</v>
      </c>
      <c r="F50" s="6">
        <f>ELC_MG_PC!J15</f>
        <v>730.18000000000006</v>
      </c>
      <c r="G50" s="7"/>
      <c r="H50" s="6" t="s">
        <v>1644</v>
      </c>
      <c r="I50" s="369">
        <f>ELC_MG_PC!H15</f>
        <v>1</v>
      </c>
      <c r="J50" s="368"/>
      <c r="K50" s="367">
        <f t="shared" si="2"/>
        <v>730.18000000000006</v>
      </c>
      <c r="L50" s="367">
        <f>$F50-ELC_MG_PC!I15</f>
        <v>490.18000000000006</v>
      </c>
      <c r="M50" s="367">
        <f>IFERROR(ELC_MG_PC!I15*ELC_MG_PC!H15,0)</f>
        <v>240</v>
      </c>
    </row>
    <row r="51" spans="2:13" ht="23.25" customHeight="1" x14ac:dyDescent="0.3">
      <c r="B51" s="4" t="s">
        <v>81</v>
      </c>
      <c r="C51" s="4" t="s">
        <v>68</v>
      </c>
      <c r="D51" s="4" t="s">
        <v>69</v>
      </c>
      <c r="E51" s="5" t="s">
        <v>26</v>
      </c>
      <c r="F51" s="6">
        <f>ELC_MG_PC!J16</f>
        <v>933.55</v>
      </c>
      <c r="G51" s="7"/>
      <c r="H51" s="6" t="s">
        <v>1644</v>
      </c>
      <c r="I51" s="369">
        <f>ELC_MG_PC!H16</f>
        <v>1</v>
      </c>
      <c r="J51" s="368"/>
      <c r="K51" s="367">
        <f t="shared" si="2"/>
        <v>933.55</v>
      </c>
      <c r="L51" s="367">
        <f>$F51-ELC_MG_PC!I16</f>
        <v>693.55</v>
      </c>
      <c r="M51" s="367">
        <f>IFERROR(ELC_MG_PC!I16*ELC_MG_PC!H16,0)</f>
        <v>240</v>
      </c>
    </row>
    <row r="52" spans="2:13" ht="23.25" customHeight="1" x14ac:dyDescent="0.3">
      <c r="B52" s="4" t="s">
        <v>82</v>
      </c>
      <c r="C52" s="4" t="s">
        <v>68</v>
      </c>
      <c r="D52" s="4" t="s">
        <v>69</v>
      </c>
      <c r="E52" s="5" t="s">
        <v>27</v>
      </c>
      <c r="F52" s="6">
        <f>ELC_MG_PC!J17</f>
        <v>1026.8899999999999</v>
      </c>
      <c r="G52" s="7"/>
      <c r="H52" s="6" t="s">
        <v>1644</v>
      </c>
      <c r="I52" s="369">
        <f>ELC_MG_PC!H17</f>
        <v>1</v>
      </c>
      <c r="J52" s="368"/>
      <c r="K52" s="367">
        <f t="shared" si="2"/>
        <v>1026.8899999999999</v>
      </c>
      <c r="L52" s="367">
        <f>$F52-ELC_MG_PC!I17</f>
        <v>786.88999999999987</v>
      </c>
      <c r="M52" s="367">
        <f>IFERROR(ELC_MG_PC!I17*ELC_MG_PC!H17,0)</f>
        <v>240</v>
      </c>
    </row>
    <row r="53" spans="2:13" ht="23.25" customHeight="1" x14ac:dyDescent="0.3">
      <c r="B53" s="4" t="s">
        <v>83</v>
      </c>
      <c r="C53" s="4" t="s">
        <v>68</v>
      </c>
      <c r="D53" s="4" t="s">
        <v>69</v>
      </c>
      <c r="E53" s="5" t="s">
        <v>28</v>
      </c>
      <c r="F53" s="6">
        <f>ELC_MG_PC!J18</f>
        <v>1124.3600000000001</v>
      </c>
      <c r="G53" s="7"/>
      <c r="H53" s="6" t="s">
        <v>1644</v>
      </c>
      <c r="I53" s="369">
        <f>ELC_MG_PC!H18</f>
        <v>1</v>
      </c>
      <c r="J53" s="368"/>
      <c r="K53" s="367">
        <f t="shared" si="2"/>
        <v>1124.3600000000001</v>
      </c>
      <c r="L53" s="367">
        <f>$F53-ELC_MG_PC!I18</f>
        <v>884.36000000000013</v>
      </c>
      <c r="M53" s="367">
        <f>IFERROR(ELC_MG_PC!I18*ELC_MG_PC!H18,0)</f>
        <v>240</v>
      </c>
    </row>
    <row r="54" spans="2:13" ht="23.25" customHeight="1" x14ac:dyDescent="0.3">
      <c r="B54" s="4" t="s">
        <v>84</v>
      </c>
      <c r="C54" s="4" t="s">
        <v>68</v>
      </c>
      <c r="D54" s="4" t="s">
        <v>69</v>
      </c>
      <c r="E54" s="5" t="s">
        <v>29</v>
      </c>
      <c r="F54" s="6">
        <f>ELC_MG_PC!J19</f>
        <v>1438.8599999999997</v>
      </c>
      <c r="G54" s="7"/>
      <c r="H54" s="6" t="s">
        <v>1644</v>
      </c>
      <c r="I54" s="369">
        <f>ELC_MG_PC!H19</f>
        <v>1</v>
      </c>
      <c r="J54" s="368"/>
      <c r="K54" s="367">
        <f t="shared" si="2"/>
        <v>1438.8599999999997</v>
      </c>
      <c r="L54" s="367">
        <f>$F54-ELC_MG_PC!I19</f>
        <v>1118.8600000000001</v>
      </c>
      <c r="M54" s="367">
        <f>IFERROR(ELC_MG_PC!I19*ELC_MG_PC!H19,0)</f>
        <v>319.99999999999966</v>
      </c>
    </row>
    <row r="55" spans="2:13" ht="23.25" customHeight="1" x14ac:dyDescent="0.3">
      <c r="B55" s="4" t="s">
        <v>85</v>
      </c>
      <c r="C55" s="4" t="s">
        <v>68</v>
      </c>
      <c r="D55" s="4" t="s">
        <v>69</v>
      </c>
      <c r="E55" s="5" t="s">
        <v>30</v>
      </c>
      <c r="F55" s="6">
        <f>ELC_MG_PC!J20</f>
        <v>1547.9799999999996</v>
      </c>
      <c r="G55" s="7"/>
      <c r="H55" s="6" t="s">
        <v>1644</v>
      </c>
      <c r="I55" s="369">
        <f>ELC_MG_PC!H20</f>
        <v>1</v>
      </c>
      <c r="J55" s="368"/>
      <c r="K55" s="367">
        <f t="shared" si="2"/>
        <v>1547.9799999999996</v>
      </c>
      <c r="L55" s="367">
        <f>$F55-ELC_MG_PC!I20</f>
        <v>1227.98</v>
      </c>
      <c r="M55" s="367">
        <f>IFERROR(ELC_MG_PC!I20*ELC_MG_PC!H20,0)</f>
        <v>319.99999999999966</v>
      </c>
    </row>
    <row r="56" spans="2:13" ht="23.25" customHeight="1" x14ac:dyDescent="0.3">
      <c r="B56" s="4" t="s">
        <v>86</v>
      </c>
      <c r="C56" s="4" t="s">
        <v>68</v>
      </c>
      <c r="D56" s="4" t="s">
        <v>69</v>
      </c>
      <c r="E56" s="5" t="s">
        <v>31</v>
      </c>
      <c r="F56" s="6">
        <f>ELC_MG_PC!J21</f>
        <v>1738.1099999999997</v>
      </c>
      <c r="G56" s="7"/>
      <c r="H56" s="6" t="s">
        <v>1644</v>
      </c>
      <c r="I56" s="369">
        <f>ELC_MG_PC!H21</f>
        <v>1</v>
      </c>
      <c r="J56" s="368"/>
      <c r="K56" s="367">
        <f t="shared" si="2"/>
        <v>1738.1099999999997</v>
      </c>
      <c r="L56" s="367">
        <f>$F56-ELC_MG_PC!I21</f>
        <v>1418.1100000000001</v>
      </c>
      <c r="M56" s="367">
        <f>IFERROR(ELC_MG_PC!I21*ELC_MG_PC!H21,0)</f>
        <v>319.99999999999966</v>
      </c>
    </row>
    <row r="57" spans="2:13" ht="23.25" customHeight="1" x14ac:dyDescent="0.3">
      <c r="B57" s="4" t="s">
        <v>87</v>
      </c>
      <c r="C57" s="4" t="s">
        <v>68</v>
      </c>
      <c r="D57" s="4" t="s">
        <v>69</v>
      </c>
      <c r="E57" s="5" t="s">
        <v>32</v>
      </c>
      <c r="F57" s="6">
        <f>ELC_MG_PC!J22</f>
        <v>1865.6199999999994</v>
      </c>
      <c r="G57" s="7"/>
      <c r="H57" s="6" t="s">
        <v>1644</v>
      </c>
      <c r="I57" s="369">
        <f>ELC_MG_PC!H22</f>
        <v>1</v>
      </c>
      <c r="J57" s="368"/>
      <c r="K57" s="367">
        <f t="shared" si="2"/>
        <v>1865.6199999999994</v>
      </c>
      <c r="L57" s="367">
        <f>$F57-ELC_MG_PC!I22</f>
        <v>1545.62</v>
      </c>
      <c r="M57" s="367">
        <f>IFERROR(ELC_MG_PC!I22*ELC_MG_PC!H22,0)</f>
        <v>319.99999999999966</v>
      </c>
    </row>
    <row r="58" spans="2:13" ht="23.25" customHeight="1" x14ac:dyDescent="0.3">
      <c r="B58" s="4" t="s">
        <v>88</v>
      </c>
      <c r="C58" s="4" t="s">
        <v>68</v>
      </c>
      <c r="D58" s="4" t="s">
        <v>69</v>
      </c>
      <c r="E58" s="5" t="s">
        <v>33</v>
      </c>
      <c r="F58" s="6">
        <f>ELC_MG_PC!J23</f>
        <v>2796.4700000000003</v>
      </c>
      <c r="G58" s="7"/>
      <c r="H58" s="6" t="s">
        <v>1644</v>
      </c>
      <c r="I58" s="369">
        <f>ELC_MG_PC!H23</f>
        <v>1</v>
      </c>
      <c r="J58" s="368"/>
      <c r="K58" s="367">
        <f t="shared" si="2"/>
        <v>2796.4700000000003</v>
      </c>
      <c r="L58" s="367">
        <f>$F58-ELC_MG_PC!I23</f>
        <v>2396.4699999999998</v>
      </c>
      <c r="M58" s="367">
        <f>IFERROR(ELC_MG_PC!I23*ELC_MG_PC!H23,0)</f>
        <v>400.00000000000034</v>
      </c>
    </row>
    <row r="59" spans="2:13" ht="23.25" customHeight="1" x14ac:dyDescent="0.3">
      <c r="B59" s="4" t="s">
        <v>89</v>
      </c>
      <c r="C59" s="4" t="s">
        <v>68</v>
      </c>
      <c r="D59" s="4" t="s">
        <v>69</v>
      </c>
      <c r="E59" s="5" t="s">
        <v>34</v>
      </c>
      <c r="F59" s="6">
        <f>ELC_MG_PC!J24</f>
        <v>2965.2300000000005</v>
      </c>
      <c r="G59" s="7"/>
      <c r="H59" s="6" t="s">
        <v>1644</v>
      </c>
      <c r="I59" s="369">
        <f>ELC_MG_PC!H24</f>
        <v>1</v>
      </c>
      <c r="J59" s="368"/>
      <c r="K59" s="367">
        <f t="shared" si="2"/>
        <v>2965.2300000000005</v>
      </c>
      <c r="L59" s="367">
        <f>$F59-ELC_MG_PC!I24</f>
        <v>2565.23</v>
      </c>
      <c r="M59" s="367">
        <f>IFERROR(ELC_MG_PC!I24*ELC_MG_PC!H24,0)</f>
        <v>400.00000000000034</v>
      </c>
    </row>
    <row r="60" spans="2:13" ht="23.25" customHeight="1" x14ac:dyDescent="0.3">
      <c r="B60" s="4" t="s">
        <v>90</v>
      </c>
      <c r="C60" s="4" t="s">
        <v>68</v>
      </c>
      <c r="D60" s="4" t="s">
        <v>69</v>
      </c>
      <c r="E60" s="5" t="s">
        <v>35</v>
      </c>
      <c r="F60" s="6">
        <f>ELC_MG_PC!J25</f>
        <v>3124.0900000000006</v>
      </c>
      <c r="G60" s="7"/>
      <c r="H60" s="6" t="s">
        <v>1644</v>
      </c>
      <c r="I60" s="369">
        <f>ELC_MG_PC!H25</f>
        <v>1</v>
      </c>
      <c r="J60" s="368"/>
      <c r="K60" s="367">
        <f t="shared" si="2"/>
        <v>3124.0900000000006</v>
      </c>
      <c r="L60" s="367">
        <f>$F60-ELC_MG_PC!I25</f>
        <v>2724.09</v>
      </c>
      <c r="M60" s="367">
        <f>IFERROR(ELC_MG_PC!I25*ELC_MG_PC!H25,0)</f>
        <v>400.00000000000034</v>
      </c>
    </row>
    <row r="61" spans="2:13" ht="23.25" customHeight="1" x14ac:dyDescent="0.3">
      <c r="B61" s="4" t="s">
        <v>91</v>
      </c>
      <c r="C61" s="4" t="s">
        <v>92</v>
      </c>
      <c r="D61" s="4" t="s">
        <v>69</v>
      </c>
      <c r="E61" s="5" t="s">
        <v>14</v>
      </c>
      <c r="F61" s="6">
        <f>ELC_MG_PC!J26</f>
        <v>105.88</v>
      </c>
      <c r="G61" s="7"/>
      <c r="H61" s="6" t="s">
        <v>1644</v>
      </c>
      <c r="I61" s="369">
        <f>ELC_MG_PC!H26</f>
        <v>1</v>
      </c>
      <c r="J61" s="368"/>
      <c r="K61" s="367">
        <f t="shared" si="2"/>
        <v>105.88</v>
      </c>
      <c r="L61" s="367">
        <f>$F61-ELC_MG_PC!I26</f>
        <v>105.88</v>
      </c>
      <c r="M61" s="367">
        <f>IFERROR(ELC_MG_PC!I26*ELC_MG_PC!H26,0)</f>
        <v>0</v>
      </c>
    </row>
    <row r="62" spans="2:13" ht="23.25" customHeight="1" x14ac:dyDescent="0.3">
      <c r="B62" s="4" t="s">
        <v>93</v>
      </c>
      <c r="C62" s="4" t="s">
        <v>92</v>
      </c>
      <c r="D62" s="4" t="s">
        <v>69</v>
      </c>
      <c r="E62" s="5" t="s">
        <v>15</v>
      </c>
      <c r="F62" s="6">
        <f>ELC_MG_PC!J27</f>
        <v>133.41999999999999</v>
      </c>
      <c r="G62" s="7"/>
      <c r="H62" s="6" t="s">
        <v>1644</v>
      </c>
      <c r="I62" s="369">
        <f>ELC_MG_PC!H27</f>
        <v>1</v>
      </c>
      <c r="J62" s="368"/>
      <c r="K62" s="367">
        <f t="shared" si="2"/>
        <v>133.41999999999999</v>
      </c>
      <c r="L62" s="367">
        <f>$F62-ELC_MG_PC!I27</f>
        <v>133.41999999999999</v>
      </c>
      <c r="M62" s="367">
        <f>IFERROR(ELC_MG_PC!I27*ELC_MG_PC!H27,0)</f>
        <v>0</v>
      </c>
    </row>
    <row r="63" spans="2:13" ht="23.25" customHeight="1" x14ac:dyDescent="0.3">
      <c r="B63" s="4" t="s">
        <v>94</v>
      </c>
      <c r="C63" s="4" t="s">
        <v>92</v>
      </c>
      <c r="D63" s="4" t="s">
        <v>69</v>
      </c>
      <c r="E63" s="5" t="s">
        <v>16</v>
      </c>
      <c r="F63" s="6">
        <f>ELC_MG_PC!J28</f>
        <v>153.12</v>
      </c>
      <c r="G63" s="7"/>
      <c r="H63" s="6" t="s">
        <v>1644</v>
      </c>
      <c r="I63" s="369">
        <f>ELC_MG_PC!H28</f>
        <v>1</v>
      </c>
      <c r="J63" s="368"/>
      <c r="K63" s="367">
        <f t="shared" si="2"/>
        <v>153.12</v>
      </c>
      <c r="L63" s="367">
        <f>$F63-ELC_MG_PC!I28</f>
        <v>153.12</v>
      </c>
      <c r="M63" s="367">
        <f>IFERROR(ELC_MG_PC!I28*ELC_MG_PC!H28,0)</f>
        <v>0</v>
      </c>
    </row>
    <row r="64" spans="2:13" ht="23.25" customHeight="1" x14ac:dyDescent="0.3">
      <c r="B64" s="4" t="s">
        <v>95</v>
      </c>
      <c r="C64" s="4" t="s">
        <v>92</v>
      </c>
      <c r="D64" s="4" t="s">
        <v>69</v>
      </c>
      <c r="E64" s="5" t="s">
        <v>17</v>
      </c>
      <c r="F64" s="6">
        <f>ELC_MG_PC!J29</f>
        <v>190</v>
      </c>
      <c r="G64" s="7"/>
      <c r="H64" s="6" t="s">
        <v>1644</v>
      </c>
      <c r="I64" s="369">
        <f>ELC_MG_PC!H29</f>
        <v>1</v>
      </c>
      <c r="J64" s="368"/>
      <c r="K64" s="367">
        <f t="shared" si="2"/>
        <v>190</v>
      </c>
      <c r="L64" s="367">
        <f>$F64-ELC_MG_PC!I29</f>
        <v>190</v>
      </c>
      <c r="M64" s="367">
        <f>IFERROR(ELC_MG_PC!I29*ELC_MG_PC!H29,0)</f>
        <v>0</v>
      </c>
    </row>
    <row r="65" spans="2:13" ht="23.25" customHeight="1" x14ac:dyDescent="0.3">
      <c r="B65" s="4" t="s">
        <v>96</v>
      </c>
      <c r="C65" s="4" t="s">
        <v>92</v>
      </c>
      <c r="D65" s="4" t="s">
        <v>69</v>
      </c>
      <c r="E65" s="5" t="s">
        <v>18</v>
      </c>
      <c r="F65" s="6">
        <f>ELC_MG_PC!J30</f>
        <v>205.61999999999966</v>
      </c>
      <c r="G65" s="7"/>
      <c r="H65" s="6" t="s">
        <v>1644</v>
      </c>
      <c r="I65" s="369">
        <f>ELC_MG_PC!H30</f>
        <v>1</v>
      </c>
      <c r="J65" s="368"/>
      <c r="K65" s="367">
        <f t="shared" si="2"/>
        <v>205.61999999999966</v>
      </c>
      <c r="L65" s="367">
        <f>$F65-ELC_MG_PC!I30</f>
        <v>5.6200000000000045</v>
      </c>
      <c r="M65" s="367">
        <f>IFERROR(ELC_MG_PC!I30*ELC_MG_PC!H30,0)</f>
        <v>199.99999999999966</v>
      </c>
    </row>
    <row r="66" spans="2:13" ht="23.25" customHeight="1" x14ac:dyDescent="0.3">
      <c r="B66" s="4" t="s">
        <v>97</v>
      </c>
      <c r="C66" s="4" t="s">
        <v>92</v>
      </c>
      <c r="D66" s="4" t="s">
        <v>69</v>
      </c>
      <c r="E66" s="5" t="s">
        <v>19</v>
      </c>
      <c r="F66" s="6">
        <f>ELC_MG_PC!J31</f>
        <v>215.07999999999967</v>
      </c>
      <c r="G66" s="7"/>
      <c r="H66" s="6" t="s">
        <v>1644</v>
      </c>
      <c r="I66" s="369">
        <f>ELC_MG_PC!H31</f>
        <v>1</v>
      </c>
      <c r="J66" s="368"/>
      <c r="K66" s="367">
        <f t="shared" si="2"/>
        <v>215.07999999999967</v>
      </c>
      <c r="L66" s="367">
        <f>$F66-ELC_MG_PC!I31</f>
        <v>15.080000000000013</v>
      </c>
      <c r="M66" s="367">
        <f>IFERROR(ELC_MG_PC!I31*ELC_MG_PC!H31,0)</f>
        <v>199.99999999999966</v>
      </c>
    </row>
    <row r="67" spans="2:13" ht="23.25" customHeight="1" x14ac:dyDescent="0.3">
      <c r="B67" s="4" t="s">
        <v>98</v>
      </c>
      <c r="C67" s="4" t="s">
        <v>92</v>
      </c>
      <c r="D67" s="4" t="s">
        <v>69</v>
      </c>
      <c r="E67" s="5" t="s">
        <v>20</v>
      </c>
      <c r="F67" s="6">
        <f>ELC_MG_PC!J32</f>
        <v>230.91666666666634</v>
      </c>
      <c r="G67" s="7"/>
      <c r="H67" s="6" t="s">
        <v>1644</v>
      </c>
      <c r="I67" s="369">
        <f>ELC_MG_PC!H32</f>
        <v>1</v>
      </c>
      <c r="J67" s="368"/>
      <c r="K67" s="367">
        <f t="shared" si="2"/>
        <v>230.91666666666634</v>
      </c>
      <c r="L67" s="367">
        <f>$F67-ELC_MG_PC!I32</f>
        <v>30.916666666666686</v>
      </c>
      <c r="M67" s="367">
        <f>IFERROR(ELC_MG_PC!I32*ELC_MG_PC!H32,0)</f>
        <v>199.99999999999966</v>
      </c>
    </row>
    <row r="68" spans="2:13" ht="23.25" customHeight="1" x14ac:dyDescent="0.3">
      <c r="B68" s="4" t="s">
        <v>99</v>
      </c>
      <c r="C68" s="4" t="s">
        <v>92</v>
      </c>
      <c r="D68" s="4" t="s">
        <v>69</v>
      </c>
      <c r="E68" s="5" t="s">
        <v>21</v>
      </c>
      <c r="F68" s="6">
        <f>ELC_MG_PC!J33</f>
        <v>237.55333333333294</v>
      </c>
      <c r="G68" s="7"/>
      <c r="H68" s="6" t="s">
        <v>1644</v>
      </c>
      <c r="I68" s="369">
        <f>ELC_MG_PC!H33</f>
        <v>1</v>
      </c>
      <c r="J68" s="368"/>
      <c r="K68" s="367">
        <f t="shared" si="2"/>
        <v>237.55333333333294</v>
      </c>
      <c r="L68" s="367">
        <f>$F68-ELC_MG_PC!I33</f>
        <v>37.553333333333285</v>
      </c>
      <c r="M68" s="367">
        <f>IFERROR(ELC_MG_PC!I33*ELC_MG_PC!H33,0)</f>
        <v>199.99999999999966</v>
      </c>
    </row>
    <row r="69" spans="2:13" ht="23.25" customHeight="1" x14ac:dyDescent="0.3">
      <c r="B69" s="4" t="s">
        <v>100</v>
      </c>
      <c r="C69" s="4" t="s">
        <v>92</v>
      </c>
      <c r="D69" s="4" t="s">
        <v>69</v>
      </c>
      <c r="E69" s="5" t="s">
        <v>22</v>
      </c>
      <c r="F69" s="6">
        <f>ELC_MG_PC!J34</f>
        <v>255.40666666666635</v>
      </c>
      <c r="G69" s="7"/>
      <c r="H69" s="6" t="s">
        <v>1644</v>
      </c>
      <c r="I69" s="369">
        <f>ELC_MG_PC!H34</f>
        <v>1</v>
      </c>
      <c r="J69" s="368"/>
      <c r="K69" s="367">
        <f t="shared" si="2"/>
        <v>255.40666666666635</v>
      </c>
      <c r="L69" s="367">
        <f>$F69-ELC_MG_PC!I34</f>
        <v>55.406666666666695</v>
      </c>
      <c r="M69" s="367">
        <f>IFERROR(ELC_MG_PC!I34*ELC_MG_PC!H34,0)</f>
        <v>199.99999999999966</v>
      </c>
    </row>
    <row r="70" spans="2:13" ht="23.25" customHeight="1" x14ac:dyDescent="0.3">
      <c r="B70" s="4" t="s">
        <v>101</v>
      </c>
      <c r="C70" s="4" t="s">
        <v>92</v>
      </c>
      <c r="D70" s="4" t="s">
        <v>69</v>
      </c>
      <c r="E70" s="5" t="s">
        <v>23</v>
      </c>
      <c r="F70" s="6">
        <f>ELC_MG_PC!J35</f>
        <v>307.67333333333266</v>
      </c>
      <c r="G70" s="7"/>
      <c r="H70" s="6" t="s">
        <v>1644</v>
      </c>
      <c r="I70" s="369">
        <f>ELC_MG_PC!H35</f>
        <v>1</v>
      </c>
      <c r="J70" s="368"/>
      <c r="K70" s="367">
        <f t="shared" si="2"/>
        <v>307.67333333333266</v>
      </c>
      <c r="L70" s="367">
        <f>$F70-ELC_MG_PC!I35</f>
        <v>107.67333333333301</v>
      </c>
      <c r="M70" s="367">
        <f>IFERROR(ELC_MG_PC!I35*ELC_MG_PC!H35,0)</f>
        <v>199.99999999999966</v>
      </c>
    </row>
    <row r="71" spans="2:13" ht="23.25" customHeight="1" x14ac:dyDescent="0.3">
      <c r="B71" s="4" t="s">
        <v>102</v>
      </c>
      <c r="C71" s="4" t="s">
        <v>92</v>
      </c>
      <c r="D71" s="4" t="s">
        <v>69</v>
      </c>
      <c r="E71" s="5" t="s">
        <v>24</v>
      </c>
      <c r="F71" s="6">
        <f>ELC_MG_PC!J36</f>
        <v>371.54333333333301</v>
      </c>
      <c r="G71" s="7"/>
      <c r="H71" s="6" t="s">
        <v>1644</v>
      </c>
      <c r="I71" s="369">
        <f>ELC_MG_PC!H36</f>
        <v>1</v>
      </c>
      <c r="J71" s="368"/>
      <c r="K71" s="367">
        <f t="shared" si="2"/>
        <v>371.54333333333301</v>
      </c>
      <c r="L71" s="367">
        <f>$F71-ELC_MG_PC!I36</f>
        <v>131.54333333333301</v>
      </c>
      <c r="M71" s="367">
        <f>IFERROR(ELC_MG_PC!I36*ELC_MG_PC!H36,0)</f>
        <v>240</v>
      </c>
    </row>
    <row r="72" spans="2:13" ht="23.25" customHeight="1" x14ac:dyDescent="0.3">
      <c r="B72" s="4" t="s">
        <v>103</v>
      </c>
      <c r="C72" s="4" t="s">
        <v>92</v>
      </c>
      <c r="D72" s="4" t="s">
        <v>69</v>
      </c>
      <c r="E72" s="5" t="s">
        <v>25</v>
      </c>
      <c r="F72" s="6">
        <f>ELC_MG_PC!J37</f>
        <v>403.39333333333298</v>
      </c>
      <c r="G72" s="7"/>
      <c r="H72" s="6" t="s">
        <v>1644</v>
      </c>
      <c r="I72" s="369">
        <f>ELC_MG_PC!H37</f>
        <v>1</v>
      </c>
      <c r="J72" s="368"/>
      <c r="K72" s="367">
        <f t="shared" si="2"/>
        <v>403.39333333333298</v>
      </c>
      <c r="L72" s="367">
        <f>$F72-ELC_MG_PC!I37</f>
        <v>163.39333333333298</v>
      </c>
      <c r="M72" s="367">
        <f>IFERROR(ELC_MG_PC!I37*ELC_MG_PC!H37,0)</f>
        <v>240</v>
      </c>
    </row>
    <row r="73" spans="2:13" ht="23.25" customHeight="1" x14ac:dyDescent="0.3">
      <c r="B73" s="4" t="s">
        <v>104</v>
      </c>
      <c r="C73" s="4" t="s">
        <v>92</v>
      </c>
      <c r="D73" s="4" t="s">
        <v>69</v>
      </c>
      <c r="E73" s="5" t="s">
        <v>26</v>
      </c>
      <c r="F73" s="6">
        <f>ELC_MG_PC!J38</f>
        <v>471.183333333333</v>
      </c>
      <c r="G73" s="7"/>
      <c r="H73" s="6" t="s">
        <v>1644</v>
      </c>
      <c r="I73" s="369">
        <f>ELC_MG_PC!H38</f>
        <v>1</v>
      </c>
      <c r="J73" s="368"/>
      <c r="K73" s="367">
        <f t="shared" si="2"/>
        <v>471.183333333333</v>
      </c>
      <c r="L73" s="367">
        <f>$F73-ELC_MG_PC!I38</f>
        <v>231.183333333333</v>
      </c>
      <c r="M73" s="367">
        <f>IFERROR(ELC_MG_PC!I38*ELC_MG_PC!H38,0)</f>
        <v>240</v>
      </c>
    </row>
    <row r="74" spans="2:13" ht="23.25" customHeight="1" x14ac:dyDescent="0.3">
      <c r="B74" s="4" t="s">
        <v>105</v>
      </c>
      <c r="C74" s="4" t="s">
        <v>92</v>
      </c>
      <c r="D74" s="4" t="s">
        <v>69</v>
      </c>
      <c r="E74" s="5" t="s">
        <v>27</v>
      </c>
      <c r="F74" s="6">
        <f>ELC_MG_PC!J39</f>
        <v>502.29666666666702</v>
      </c>
      <c r="G74" s="7"/>
      <c r="H74" s="6" t="s">
        <v>1644</v>
      </c>
      <c r="I74" s="369">
        <f>ELC_MG_PC!H39</f>
        <v>1</v>
      </c>
      <c r="J74" s="368"/>
      <c r="K74" s="367">
        <f t="shared" si="2"/>
        <v>502.29666666666702</v>
      </c>
      <c r="L74" s="367">
        <f>$F74-ELC_MG_PC!I39</f>
        <v>262.29666666666702</v>
      </c>
      <c r="M74" s="367">
        <f>IFERROR(ELC_MG_PC!I39*ELC_MG_PC!H39,0)</f>
        <v>240</v>
      </c>
    </row>
    <row r="75" spans="2:13" ht="23.25" customHeight="1" x14ac:dyDescent="0.3">
      <c r="B75" s="4" t="s">
        <v>106</v>
      </c>
      <c r="C75" s="4" t="s">
        <v>92</v>
      </c>
      <c r="D75" s="4" t="s">
        <v>69</v>
      </c>
      <c r="E75" s="5" t="s">
        <v>28</v>
      </c>
      <c r="F75" s="6">
        <f>ELC_MG_PC!J40</f>
        <v>534.78666666666697</v>
      </c>
      <c r="G75" s="7"/>
      <c r="H75" s="6" t="s">
        <v>1644</v>
      </c>
      <c r="I75" s="369">
        <f>ELC_MG_PC!H40</f>
        <v>1</v>
      </c>
      <c r="J75" s="368"/>
      <c r="K75" s="367">
        <f t="shared" si="2"/>
        <v>534.78666666666697</v>
      </c>
      <c r="L75" s="367">
        <f>$F75-ELC_MG_PC!I40</f>
        <v>294.78666666666697</v>
      </c>
      <c r="M75" s="367">
        <f>IFERROR(ELC_MG_PC!I40*ELC_MG_PC!H40,0)</f>
        <v>240</v>
      </c>
    </row>
    <row r="76" spans="2:13" ht="23.25" customHeight="1" x14ac:dyDescent="0.3">
      <c r="B76" s="4" t="s">
        <v>107</v>
      </c>
      <c r="C76" s="4" t="s">
        <v>92</v>
      </c>
      <c r="D76" s="4" t="s">
        <v>69</v>
      </c>
      <c r="E76" s="5" t="s">
        <v>29</v>
      </c>
      <c r="F76" s="6">
        <f>ELC_MG_PC!J41</f>
        <v>692.95333333333269</v>
      </c>
      <c r="G76" s="7"/>
      <c r="H76" s="6" t="s">
        <v>1644</v>
      </c>
      <c r="I76" s="369">
        <f>ELC_MG_PC!H41</f>
        <v>1</v>
      </c>
      <c r="J76" s="368"/>
      <c r="K76" s="367">
        <f t="shared" si="2"/>
        <v>692.95333333333269</v>
      </c>
      <c r="L76" s="367">
        <f>$F76-ELC_MG_PC!I41</f>
        <v>372.95333333333303</v>
      </c>
      <c r="M76" s="367">
        <f>IFERROR(ELC_MG_PC!I41*ELC_MG_PC!H41,0)</f>
        <v>319.99999999999966</v>
      </c>
    </row>
    <row r="77" spans="2:13" ht="23.25" customHeight="1" x14ac:dyDescent="0.3">
      <c r="B77" s="4" t="s">
        <v>108</v>
      </c>
      <c r="C77" s="4" t="s">
        <v>92</v>
      </c>
      <c r="D77" s="4" t="s">
        <v>69</v>
      </c>
      <c r="E77" s="5" t="s">
        <v>30</v>
      </c>
      <c r="F77" s="6">
        <f>ELC_MG_PC!J42</f>
        <v>729.3266666666666</v>
      </c>
      <c r="G77" s="7"/>
      <c r="H77" s="6" t="s">
        <v>1644</v>
      </c>
      <c r="I77" s="369">
        <f>ELC_MG_PC!H42</f>
        <v>1</v>
      </c>
      <c r="J77" s="368"/>
      <c r="K77" s="367">
        <f t="shared" si="2"/>
        <v>729.3266666666666</v>
      </c>
      <c r="L77" s="367">
        <f>$F77-ELC_MG_PC!I42</f>
        <v>409.32666666666694</v>
      </c>
      <c r="M77" s="367">
        <f>IFERROR(ELC_MG_PC!I42*ELC_MG_PC!H42,0)</f>
        <v>319.99999999999966</v>
      </c>
    </row>
    <row r="78" spans="2:13" ht="23.25" customHeight="1" x14ac:dyDescent="0.3">
      <c r="B78" s="4" t="s">
        <v>109</v>
      </c>
      <c r="C78" s="4" t="s">
        <v>92</v>
      </c>
      <c r="D78" s="4" t="s">
        <v>69</v>
      </c>
      <c r="E78" s="5" t="s">
        <v>31</v>
      </c>
      <c r="F78" s="6">
        <f>ELC_MG_PC!J43</f>
        <v>792.70333333333269</v>
      </c>
      <c r="G78" s="7"/>
      <c r="H78" s="6" t="s">
        <v>1644</v>
      </c>
      <c r="I78" s="369">
        <f>ELC_MG_PC!H43</f>
        <v>1</v>
      </c>
      <c r="J78" s="368"/>
      <c r="K78" s="367">
        <f t="shared" si="2"/>
        <v>792.70333333333269</v>
      </c>
      <c r="L78" s="367">
        <f>$F78-ELC_MG_PC!I43</f>
        <v>472.70333333333303</v>
      </c>
      <c r="M78" s="367">
        <f>IFERROR(ELC_MG_PC!I43*ELC_MG_PC!H43,0)</f>
        <v>319.99999999999966</v>
      </c>
    </row>
    <row r="79" spans="2:13" ht="23.25" customHeight="1" x14ac:dyDescent="0.3">
      <c r="B79" s="4" t="s">
        <v>110</v>
      </c>
      <c r="C79" s="4" t="s">
        <v>92</v>
      </c>
      <c r="D79" s="4" t="s">
        <v>69</v>
      </c>
      <c r="E79" s="5" t="s">
        <v>32</v>
      </c>
      <c r="F79" s="6">
        <f>ELC_MG_PC!J44</f>
        <v>835.20666666666671</v>
      </c>
      <c r="G79" s="7"/>
      <c r="H79" s="6" t="s">
        <v>1644</v>
      </c>
      <c r="I79" s="369">
        <f>ELC_MG_PC!H44</f>
        <v>1</v>
      </c>
      <c r="J79" s="368"/>
      <c r="K79" s="367">
        <f t="shared" si="2"/>
        <v>835.20666666666671</v>
      </c>
      <c r="L79" s="367">
        <f>$F79-ELC_MG_PC!I44</f>
        <v>515.20666666666705</v>
      </c>
      <c r="M79" s="367">
        <f>IFERROR(ELC_MG_PC!I44*ELC_MG_PC!H44,0)</f>
        <v>319.99999999999966</v>
      </c>
    </row>
    <row r="80" spans="2:13" ht="23.25" customHeight="1" x14ac:dyDescent="0.3">
      <c r="B80" s="4" t="s">
        <v>111</v>
      </c>
      <c r="C80" s="4" t="s">
        <v>92</v>
      </c>
      <c r="D80" s="4" t="s">
        <v>69</v>
      </c>
      <c r="E80" s="5" t="s">
        <v>33</v>
      </c>
      <c r="F80" s="6">
        <f>ELC_MG_PC!J45</f>
        <v>1198.8233333333333</v>
      </c>
      <c r="G80" s="7"/>
      <c r="H80" s="6" t="s">
        <v>1644</v>
      </c>
      <c r="I80" s="369">
        <f>ELC_MG_PC!H45</f>
        <v>1</v>
      </c>
      <c r="J80" s="368"/>
      <c r="K80" s="367">
        <f t="shared" si="2"/>
        <v>1198.8233333333333</v>
      </c>
      <c r="L80" s="367">
        <f>$F80-ELC_MG_PC!I45</f>
        <v>798.82333333333293</v>
      </c>
      <c r="M80" s="367">
        <f>IFERROR(ELC_MG_PC!I45*ELC_MG_PC!H45,0)</f>
        <v>400.00000000000034</v>
      </c>
    </row>
    <row r="81" spans="2:13" ht="23.25" customHeight="1" x14ac:dyDescent="0.3">
      <c r="B81" s="4" t="s">
        <v>112</v>
      </c>
      <c r="C81" s="4" t="s">
        <v>92</v>
      </c>
      <c r="D81" s="4" t="s">
        <v>69</v>
      </c>
      <c r="E81" s="5" t="s">
        <v>34</v>
      </c>
      <c r="F81" s="6">
        <f>ELC_MG_PC!J46</f>
        <v>1255.0766666666673</v>
      </c>
      <c r="G81" s="7"/>
      <c r="H81" s="6" t="s">
        <v>1644</v>
      </c>
      <c r="I81" s="369">
        <f>ELC_MG_PC!H46</f>
        <v>1</v>
      </c>
      <c r="J81" s="368"/>
      <c r="K81" s="367">
        <f t="shared" si="2"/>
        <v>1255.0766666666673</v>
      </c>
      <c r="L81" s="367">
        <f>$F81-ELC_MG_PC!I46</f>
        <v>855.07666666666694</v>
      </c>
      <c r="M81" s="367">
        <f>IFERROR(ELC_MG_PC!I46*ELC_MG_PC!H46,0)</f>
        <v>400.00000000000034</v>
      </c>
    </row>
    <row r="82" spans="2:13" ht="23.25" customHeight="1" x14ac:dyDescent="0.3">
      <c r="B82" s="4" t="s">
        <v>113</v>
      </c>
      <c r="C82" s="4" t="s">
        <v>92</v>
      </c>
      <c r="D82" s="4" t="s">
        <v>69</v>
      </c>
      <c r="E82" s="5" t="s">
        <v>35</v>
      </c>
      <c r="F82" s="6">
        <f>ELC_MG_PC!J47</f>
        <v>1308.0300000000002</v>
      </c>
      <c r="G82" s="7"/>
      <c r="H82" s="6" t="s">
        <v>1644</v>
      </c>
      <c r="I82" s="369">
        <f>ELC_MG_PC!H47</f>
        <v>1</v>
      </c>
      <c r="J82" s="368"/>
      <c r="K82" s="367">
        <f t="shared" si="2"/>
        <v>1308.0300000000002</v>
      </c>
      <c r="L82" s="367">
        <f>$F82-ELC_MG_PC!I47</f>
        <v>908.02999999999986</v>
      </c>
      <c r="M82" s="367">
        <f>IFERROR(ELC_MG_PC!I47*ELC_MG_PC!H47,0)</f>
        <v>400.00000000000034</v>
      </c>
    </row>
    <row r="83" spans="2:13" ht="23.25" customHeight="1" x14ac:dyDescent="0.3">
      <c r="B83" s="4" t="s">
        <v>114</v>
      </c>
      <c r="C83" s="4" t="s">
        <v>115</v>
      </c>
      <c r="D83" s="4" t="s">
        <v>69</v>
      </c>
      <c r="E83" s="5" t="s">
        <v>14</v>
      </c>
      <c r="F83" s="6">
        <f>ELC_MG_PC!J48</f>
        <v>400.00000000000034</v>
      </c>
      <c r="G83" s="7"/>
      <c r="H83" s="6" t="s">
        <v>1644</v>
      </c>
      <c r="I83" s="369">
        <f>ELC_MG_PC!H48</f>
        <v>1</v>
      </c>
      <c r="J83" s="368"/>
      <c r="K83" s="367">
        <f t="shared" si="2"/>
        <v>400.00000000000034</v>
      </c>
      <c r="L83" s="367">
        <f>$F83-ELC_MG_PC!I48</f>
        <v>240.00000000000003</v>
      </c>
      <c r="M83" s="367">
        <f>IFERROR(ELC_MG_PC!I48*ELC_MG_PC!H48,0)</f>
        <v>160.00000000000031</v>
      </c>
    </row>
    <row r="84" spans="2:13" ht="23.25" customHeight="1" x14ac:dyDescent="0.3">
      <c r="B84" s="4" t="s">
        <v>116</v>
      </c>
      <c r="C84" s="4" t="s">
        <v>115</v>
      </c>
      <c r="D84" s="4" t="s">
        <v>69</v>
      </c>
      <c r="E84" s="5" t="s">
        <v>15</v>
      </c>
      <c r="F84" s="6">
        <f>ELC_MG_PC!J49</f>
        <v>400.00000000000034</v>
      </c>
      <c r="G84" s="7"/>
      <c r="H84" s="6" t="s">
        <v>1644</v>
      </c>
      <c r="I84" s="369">
        <f>ELC_MG_PC!H49</f>
        <v>1</v>
      </c>
      <c r="J84" s="368"/>
      <c r="K84" s="367">
        <f t="shared" si="2"/>
        <v>400.00000000000034</v>
      </c>
      <c r="L84" s="367">
        <f>$F84-ELC_MG_PC!I49</f>
        <v>240.00000000000003</v>
      </c>
      <c r="M84" s="367">
        <f>IFERROR(ELC_MG_PC!I49*ELC_MG_PC!H49,0)</f>
        <v>160.00000000000031</v>
      </c>
    </row>
    <row r="85" spans="2:13" ht="23.25" customHeight="1" x14ac:dyDescent="0.3">
      <c r="B85" s="4" t="s">
        <v>117</v>
      </c>
      <c r="C85" s="4" t="s">
        <v>115</v>
      </c>
      <c r="D85" s="4" t="s">
        <v>69</v>
      </c>
      <c r="E85" s="5" t="s">
        <v>16</v>
      </c>
      <c r="F85" s="6">
        <f>ELC_MG_PC!J50</f>
        <v>440.00000000000034</v>
      </c>
      <c r="G85" s="7"/>
      <c r="H85" s="6" t="s">
        <v>1644</v>
      </c>
      <c r="I85" s="369">
        <f>ELC_MG_PC!H50</f>
        <v>1</v>
      </c>
      <c r="J85" s="368"/>
      <c r="K85" s="367">
        <f t="shared" si="2"/>
        <v>440.00000000000034</v>
      </c>
      <c r="L85" s="367">
        <f>$F85-ELC_MG_PC!I50</f>
        <v>280</v>
      </c>
      <c r="M85" s="367">
        <f>IFERROR(ELC_MG_PC!I50*ELC_MG_PC!H50,0)</f>
        <v>160.00000000000031</v>
      </c>
    </row>
    <row r="86" spans="2:13" ht="23.25" customHeight="1" x14ac:dyDescent="0.3">
      <c r="B86" s="4" t="s">
        <v>118</v>
      </c>
      <c r="C86" s="4" t="s">
        <v>115</v>
      </c>
      <c r="D86" s="4" t="s">
        <v>69</v>
      </c>
      <c r="E86" s="5" t="s">
        <v>17</v>
      </c>
      <c r="F86" s="6">
        <f>ELC_MG_PC!J51</f>
        <v>480.00000000000034</v>
      </c>
      <c r="G86" s="7"/>
      <c r="H86" s="6" t="s">
        <v>1644</v>
      </c>
      <c r="I86" s="369">
        <f>ELC_MG_PC!H51</f>
        <v>1</v>
      </c>
      <c r="J86" s="368"/>
      <c r="K86" s="367">
        <f t="shared" si="2"/>
        <v>480.00000000000034</v>
      </c>
      <c r="L86" s="367">
        <f>$F86-ELC_MG_PC!I51</f>
        <v>320</v>
      </c>
      <c r="M86" s="367">
        <f>IFERROR(ELC_MG_PC!I51*ELC_MG_PC!H51,0)</f>
        <v>160.00000000000031</v>
      </c>
    </row>
    <row r="87" spans="2:13" ht="23.25" customHeight="1" x14ac:dyDescent="0.3">
      <c r="B87" s="4" t="s">
        <v>119</v>
      </c>
      <c r="C87" s="4" t="s">
        <v>115</v>
      </c>
      <c r="D87" s="4" t="s">
        <v>69</v>
      </c>
      <c r="E87" s="5" t="s">
        <v>18</v>
      </c>
      <c r="F87" s="6">
        <f>ELC_MG_PC!J52</f>
        <v>422.00000000000034</v>
      </c>
      <c r="G87" s="7"/>
      <c r="H87" s="6" t="s">
        <v>1644</v>
      </c>
      <c r="I87" s="369">
        <f>ELC_MG_PC!H52</f>
        <v>1</v>
      </c>
      <c r="J87" s="368"/>
      <c r="K87" s="367">
        <f t="shared" si="2"/>
        <v>422.00000000000034</v>
      </c>
      <c r="L87" s="367">
        <f>$F87-ELC_MG_PC!I52</f>
        <v>262</v>
      </c>
      <c r="M87" s="367">
        <f>IFERROR(ELC_MG_PC!I52*ELC_MG_PC!H52,0)</f>
        <v>160.00000000000031</v>
      </c>
    </row>
    <row r="88" spans="2:13" ht="23.25" customHeight="1" x14ac:dyDescent="0.3">
      <c r="B88" s="4" t="s">
        <v>120</v>
      </c>
      <c r="C88" s="4" t="s">
        <v>115</v>
      </c>
      <c r="D88" s="4" t="s">
        <v>69</v>
      </c>
      <c r="E88" s="5" t="s">
        <v>19</v>
      </c>
      <c r="F88" s="6">
        <f>ELC_MG_PC!J53</f>
        <v>422.00000000000034</v>
      </c>
      <c r="G88" s="7"/>
      <c r="H88" s="6" t="s">
        <v>1644</v>
      </c>
      <c r="I88" s="369">
        <f>ELC_MG_PC!H53</f>
        <v>1</v>
      </c>
      <c r="J88" s="368"/>
      <c r="K88" s="367">
        <f t="shared" si="2"/>
        <v>422.00000000000034</v>
      </c>
      <c r="L88" s="367">
        <f>$F88-ELC_MG_PC!I53</f>
        <v>262</v>
      </c>
      <c r="M88" s="367">
        <f>IFERROR(ELC_MG_PC!I53*ELC_MG_PC!H53,0)</f>
        <v>160.00000000000031</v>
      </c>
    </row>
    <row r="89" spans="2:13" ht="23.25" customHeight="1" x14ac:dyDescent="0.3">
      <c r="B89" s="4" t="s">
        <v>121</v>
      </c>
      <c r="C89" s="4" t="s">
        <v>115</v>
      </c>
      <c r="D89" s="4" t="s">
        <v>69</v>
      </c>
      <c r="E89" s="5" t="s">
        <v>20</v>
      </c>
      <c r="F89" s="6">
        <f>ELC_MG_PC!J54</f>
        <v>430.00000000000034</v>
      </c>
      <c r="G89" s="7"/>
      <c r="H89" s="6" t="s">
        <v>1644</v>
      </c>
      <c r="I89" s="369">
        <f>ELC_MG_PC!H54</f>
        <v>1</v>
      </c>
      <c r="J89" s="368"/>
      <c r="K89" s="367">
        <f t="shared" si="2"/>
        <v>430.00000000000034</v>
      </c>
      <c r="L89" s="367">
        <f>$F89-ELC_MG_PC!I54</f>
        <v>270</v>
      </c>
      <c r="M89" s="367">
        <f>IFERROR(ELC_MG_PC!I54*ELC_MG_PC!H54,0)</f>
        <v>160.00000000000031</v>
      </c>
    </row>
    <row r="90" spans="2:13" ht="23.25" customHeight="1" x14ac:dyDescent="0.3">
      <c r="B90" s="4" t="s">
        <v>122</v>
      </c>
      <c r="C90" s="4" t="s">
        <v>115</v>
      </c>
      <c r="D90" s="4" t="s">
        <v>69</v>
      </c>
      <c r="E90" s="5" t="s">
        <v>21</v>
      </c>
      <c r="F90" s="6">
        <f>ELC_MG_PC!J55</f>
        <v>430.00000000000034</v>
      </c>
      <c r="G90" s="7"/>
      <c r="H90" s="6" t="s">
        <v>1644</v>
      </c>
      <c r="I90" s="369">
        <f>ELC_MG_PC!H55</f>
        <v>1</v>
      </c>
      <c r="J90" s="368"/>
      <c r="K90" s="367">
        <f t="shared" si="2"/>
        <v>430.00000000000034</v>
      </c>
      <c r="L90" s="367">
        <f>$F90-ELC_MG_PC!I55</f>
        <v>270</v>
      </c>
      <c r="M90" s="367">
        <f>IFERROR(ELC_MG_PC!I55*ELC_MG_PC!H55,0)</f>
        <v>160.00000000000031</v>
      </c>
    </row>
    <row r="91" spans="2:13" ht="23.25" customHeight="1" x14ac:dyDescent="0.3">
      <c r="B91" s="4" t="s">
        <v>123</v>
      </c>
      <c r="C91" s="4" t="s">
        <v>115</v>
      </c>
      <c r="D91" s="4" t="s">
        <v>69</v>
      </c>
      <c r="E91" s="5" t="s">
        <v>22</v>
      </c>
      <c r="F91" s="6">
        <f>ELC_MG_PC!J56</f>
        <v>510.00000000000034</v>
      </c>
      <c r="G91" s="7"/>
      <c r="H91" s="6" t="s">
        <v>1644</v>
      </c>
      <c r="I91" s="369">
        <f>ELC_MG_PC!H56</f>
        <v>1</v>
      </c>
      <c r="J91" s="368"/>
      <c r="K91" s="367">
        <f t="shared" si="2"/>
        <v>510.00000000000034</v>
      </c>
      <c r="L91" s="367">
        <f>$F91-ELC_MG_PC!I56</f>
        <v>350</v>
      </c>
      <c r="M91" s="367">
        <f>IFERROR(ELC_MG_PC!I56*ELC_MG_PC!H56,0)</f>
        <v>160.00000000000031</v>
      </c>
    </row>
    <row r="92" spans="2:13" ht="23.25" customHeight="1" x14ac:dyDescent="0.3">
      <c r="B92" s="4" t="s">
        <v>124</v>
      </c>
      <c r="C92" s="4" t="s">
        <v>115</v>
      </c>
      <c r="D92" s="4" t="s">
        <v>69</v>
      </c>
      <c r="E92" s="5" t="s">
        <v>23</v>
      </c>
      <c r="F92" s="6">
        <f>ELC_MG_PC!J57</f>
        <v>680.00000000000034</v>
      </c>
      <c r="G92" s="7"/>
      <c r="H92" s="6" t="s">
        <v>1644</v>
      </c>
      <c r="I92" s="369">
        <f>ELC_MG_PC!H57</f>
        <v>1</v>
      </c>
      <c r="J92" s="368"/>
      <c r="K92" s="367">
        <f t="shared" si="2"/>
        <v>680.00000000000034</v>
      </c>
      <c r="L92" s="367">
        <f>$F92-ELC_MG_PC!I57</f>
        <v>520</v>
      </c>
      <c r="M92" s="367">
        <f>IFERROR(ELC_MG_PC!I57*ELC_MG_PC!H57,0)</f>
        <v>160.00000000000031</v>
      </c>
    </row>
    <row r="93" spans="2:13" ht="23.25" customHeight="1" x14ac:dyDescent="0.3">
      <c r="B93" s="4" t="s">
        <v>125</v>
      </c>
      <c r="C93" s="4" t="s">
        <v>115</v>
      </c>
      <c r="D93" s="4" t="s">
        <v>69</v>
      </c>
      <c r="E93" s="5" t="s">
        <v>24</v>
      </c>
      <c r="F93" s="6">
        <f>ELC_MG_PC!J58</f>
        <v>910.00000000000034</v>
      </c>
      <c r="G93" s="7"/>
      <c r="H93" s="6" t="s">
        <v>1644</v>
      </c>
      <c r="I93" s="369">
        <f>ELC_MG_PC!H58</f>
        <v>1</v>
      </c>
      <c r="J93" s="368"/>
      <c r="K93" s="367">
        <f t="shared" si="2"/>
        <v>910.00000000000034</v>
      </c>
      <c r="L93" s="367">
        <f>$F93-ELC_MG_PC!I58</f>
        <v>750</v>
      </c>
      <c r="M93" s="367">
        <f>IFERROR(ELC_MG_PC!I58*ELC_MG_PC!H58,0)</f>
        <v>160.00000000000031</v>
      </c>
    </row>
    <row r="94" spans="2:13" ht="23.25" customHeight="1" x14ac:dyDescent="0.3">
      <c r="B94" s="4" t="s">
        <v>126</v>
      </c>
      <c r="C94" s="4" t="s">
        <v>115</v>
      </c>
      <c r="D94" s="4" t="s">
        <v>69</v>
      </c>
      <c r="E94" s="5" t="s">
        <v>25</v>
      </c>
      <c r="F94" s="6">
        <f>ELC_MG_PC!J59</f>
        <v>1260.0000000000002</v>
      </c>
      <c r="G94" s="7"/>
      <c r="H94" s="6" t="s">
        <v>1644</v>
      </c>
      <c r="I94" s="369">
        <f>ELC_MG_PC!H59</f>
        <v>1</v>
      </c>
      <c r="J94" s="368"/>
      <c r="K94" s="367">
        <f t="shared" si="2"/>
        <v>1260.0000000000002</v>
      </c>
      <c r="L94" s="367">
        <f>$F94-ELC_MG_PC!I59</f>
        <v>1100</v>
      </c>
      <c r="M94" s="367">
        <f>IFERROR(ELC_MG_PC!I59*ELC_MG_PC!H59,0)</f>
        <v>160.00000000000031</v>
      </c>
    </row>
    <row r="95" spans="2:13" ht="23.25" customHeight="1" x14ac:dyDescent="0.3">
      <c r="B95" s="4" t="s">
        <v>127</v>
      </c>
      <c r="C95" s="4" t="s">
        <v>115</v>
      </c>
      <c r="D95" s="4" t="s">
        <v>69</v>
      </c>
      <c r="E95" s="5" t="s">
        <v>26</v>
      </c>
      <c r="F95" s="6">
        <f>ELC_MG_PC!J60</f>
        <v>1560.0000000000002</v>
      </c>
      <c r="G95" s="7"/>
      <c r="H95" s="6" t="s">
        <v>1644</v>
      </c>
      <c r="I95" s="369">
        <f>ELC_MG_PC!H60</f>
        <v>1</v>
      </c>
      <c r="J95" s="368"/>
      <c r="K95" s="367">
        <f t="shared" si="2"/>
        <v>1560.0000000000002</v>
      </c>
      <c r="L95" s="367">
        <f>$F95-ELC_MG_PC!I60</f>
        <v>1400</v>
      </c>
      <c r="M95" s="367">
        <f>IFERROR(ELC_MG_PC!I60*ELC_MG_PC!H60,0)</f>
        <v>160.00000000000031</v>
      </c>
    </row>
    <row r="96" spans="2:13" ht="23.25" customHeight="1" x14ac:dyDescent="0.3">
      <c r="B96" s="4" t="s">
        <v>128</v>
      </c>
      <c r="C96" s="4" t="s">
        <v>115</v>
      </c>
      <c r="D96" s="4" t="s">
        <v>69</v>
      </c>
      <c r="E96" s="5" t="s">
        <v>27</v>
      </c>
      <c r="F96" s="6">
        <f>ELC_MG_PC!J61</f>
        <v>1813.5000000000002</v>
      </c>
      <c r="G96" s="7"/>
      <c r="H96" s="6" t="s">
        <v>1644</v>
      </c>
      <c r="I96" s="369">
        <f>ELC_MG_PC!H61</f>
        <v>1</v>
      </c>
      <c r="J96" s="368"/>
      <c r="K96" s="367">
        <f t="shared" si="2"/>
        <v>1813.5000000000002</v>
      </c>
      <c r="L96" s="367">
        <f>$F96-ELC_MG_PC!I61</f>
        <v>1653.5</v>
      </c>
      <c r="M96" s="367">
        <f>IFERROR(ELC_MG_PC!I61*ELC_MG_PC!H61,0)</f>
        <v>160.00000000000031</v>
      </c>
    </row>
    <row r="97" spans="2:13" ht="23.25" customHeight="1" x14ac:dyDescent="0.3">
      <c r="B97" s="4" t="s">
        <v>129</v>
      </c>
      <c r="C97" s="4" t="s">
        <v>115</v>
      </c>
      <c r="D97" s="4" t="s">
        <v>69</v>
      </c>
      <c r="E97" s="5" t="s">
        <v>28</v>
      </c>
      <c r="F97" s="6">
        <f>ELC_MG_PC!J62</f>
        <v>2060.0000000000005</v>
      </c>
      <c r="G97" s="7"/>
      <c r="H97" s="6" t="s">
        <v>1644</v>
      </c>
      <c r="I97" s="369">
        <f>ELC_MG_PC!H62</f>
        <v>1</v>
      </c>
      <c r="J97" s="368"/>
      <c r="K97" s="367">
        <f t="shared" si="2"/>
        <v>2060.0000000000005</v>
      </c>
      <c r="L97" s="367">
        <f>$F97-ELC_MG_PC!I62</f>
        <v>1900.0000000000002</v>
      </c>
      <c r="M97" s="367">
        <f>IFERROR(ELC_MG_PC!I62*ELC_MG_PC!H62,0)</f>
        <v>160.00000000000031</v>
      </c>
    </row>
    <row r="98" spans="2:13" ht="23.25" customHeight="1" x14ac:dyDescent="0.3">
      <c r="B98" s="4" t="s">
        <v>130</v>
      </c>
      <c r="C98" s="4" t="s">
        <v>115</v>
      </c>
      <c r="D98" s="4" t="s">
        <v>69</v>
      </c>
      <c r="E98" s="5" t="s">
        <v>29</v>
      </c>
      <c r="F98" s="6">
        <f>ELC_MG_PC!J63</f>
        <v>2360</v>
      </c>
      <c r="G98" s="7"/>
      <c r="H98" s="6" t="s">
        <v>1644</v>
      </c>
      <c r="I98" s="369">
        <f>ELC_MG_PC!H63</f>
        <v>1</v>
      </c>
      <c r="J98" s="368"/>
      <c r="K98" s="367">
        <f t="shared" si="2"/>
        <v>2360</v>
      </c>
      <c r="L98" s="367">
        <f>$F98-ELC_MG_PC!I63</f>
        <v>2120</v>
      </c>
      <c r="M98" s="367">
        <f>IFERROR(ELC_MG_PC!I63*ELC_MG_PC!H63,0)</f>
        <v>240</v>
      </c>
    </row>
    <row r="99" spans="2:13" ht="23.25" customHeight="1" x14ac:dyDescent="0.3">
      <c r="B99" s="4" t="s">
        <v>131</v>
      </c>
      <c r="C99" s="4" t="s">
        <v>115</v>
      </c>
      <c r="D99" s="4" t="s">
        <v>69</v>
      </c>
      <c r="E99" s="5" t="s">
        <v>30</v>
      </c>
      <c r="F99" s="6">
        <f>ELC_MG_PC!J64</f>
        <v>2521.25</v>
      </c>
      <c r="G99" s="7"/>
      <c r="H99" s="6" t="s">
        <v>1644</v>
      </c>
      <c r="I99" s="369">
        <f>ELC_MG_PC!H64</f>
        <v>1</v>
      </c>
      <c r="J99" s="368"/>
      <c r="K99" s="367">
        <f t="shared" si="2"/>
        <v>2521.25</v>
      </c>
      <c r="L99" s="367">
        <f>$F99-ELC_MG_PC!I64</f>
        <v>2281.25</v>
      </c>
      <c r="M99" s="367">
        <f>IFERROR(ELC_MG_PC!I64*ELC_MG_PC!H64,0)</f>
        <v>240</v>
      </c>
    </row>
    <row r="100" spans="2:13" ht="23.25" customHeight="1" x14ac:dyDescent="0.3">
      <c r="B100" s="4" t="s">
        <v>132</v>
      </c>
      <c r="C100" s="4" t="s">
        <v>115</v>
      </c>
      <c r="D100" s="4" t="s">
        <v>69</v>
      </c>
      <c r="E100" s="5" t="s">
        <v>31</v>
      </c>
      <c r="F100" s="6">
        <f>ELC_MG_PC!J65</f>
        <v>2618.96</v>
      </c>
      <c r="G100" s="7"/>
      <c r="H100" s="6" t="s">
        <v>1644</v>
      </c>
      <c r="I100" s="369">
        <f>ELC_MG_PC!H65</f>
        <v>1</v>
      </c>
      <c r="J100" s="368"/>
      <c r="K100" s="367">
        <f t="shared" si="2"/>
        <v>2618.96</v>
      </c>
      <c r="L100" s="367">
        <f>$F100-ELC_MG_PC!I65</f>
        <v>2378.96</v>
      </c>
      <c r="M100" s="367">
        <f>IFERROR(ELC_MG_PC!I65*ELC_MG_PC!H65,0)</f>
        <v>240</v>
      </c>
    </row>
    <row r="101" spans="2:13" ht="23.25" customHeight="1" x14ac:dyDescent="0.3">
      <c r="B101" s="4" t="s">
        <v>133</v>
      </c>
      <c r="C101" s="4" t="s">
        <v>115</v>
      </c>
      <c r="D101" s="4" t="s">
        <v>69</v>
      </c>
      <c r="E101" s="5" t="s">
        <v>32</v>
      </c>
      <c r="F101" s="6">
        <f>ELC_MG_PC!J66</f>
        <v>2670.25</v>
      </c>
      <c r="G101" s="7"/>
      <c r="H101" s="6" t="s">
        <v>1644</v>
      </c>
      <c r="I101" s="369">
        <f>ELC_MG_PC!H66</f>
        <v>1</v>
      </c>
      <c r="J101" s="368"/>
      <c r="K101" s="367">
        <f t="shared" si="2"/>
        <v>2670.25</v>
      </c>
      <c r="L101" s="367">
        <f>$F101-ELC_MG_PC!I66</f>
        <v>2430.25</v>
      </c>
      <c r="M101" s="367">
        <f>IFERROR(ELC_MG_PC!I66*ELC_MG_PC!H66,0)</f>
        <v>240</v>
      </c>
    </row>
    <row r="102" spans="2:13" ht="23.25" customHeight="1" x14ac:dyDescent="0.3">
      <c r="B102" s="4" t="s">
        <v>134</v>
      </c>
      <c r="C102" s="4" t="s">
        <v>115</v>
      </c>
      <c r="D102" s="4" t="s">
        <v>69</v>
      </c>
      <c r="E102" s="5" t="s">
        <v>33</v>
      </c>
      <c r="F102" s="6">
        <f>ELC_MG_PC!J67</f>
        <v>2740</v>
      </c>
      <c r="G102" s="7"/>
      <c r="H102" s="6" t="s">
        <v>1644</v>
      </c>
      <c r="I102" s="369">
        <f>ELC_MG_PC!H67</f>
        <v>1</v>
      </c>
      <c r="J102" s="368"/>
      <c r="K102" s="367">
        <f t="shared" si="2"/>
        <v>2740</v>
      </c>
      <c r="L102" s="367">
        <f>$F102-ELC_MG_PC!I67</f>
        <v>2500</v>
      </c>
      <c r="M102" s="367">
        <f>IFERROR(ELC_MG_PC!I67*ELC_MG_PC!H67,0)</f>
        <v>240</v>
      </c>
    </row>
    <row r="103" spans="2:13" ht="23.25" customHeight="1" x14ac:dyDescent="0.3">
      <c r="B103" s="4" t="s">
        <v>135</v>
      </c>
      <c r="C103" s="4" t="s">
        <v>115</v>
      </c>
      <c r="D103" s="4" t="s">
        <v>69</v>
      </c>
      <c r="E103" s="5" t="s">
        <v>34</v>
      </c>
      <c r="F103" s="6">
        <f>ELC_MG_PC!J68</f>
        <v>3038.67</v>
      </c>
      <c r="G103" s="7"/>
      <c r="H103" s="6" t="s">
        <v>1644</v>
      </c>
      <c r="I103" s="369">
        <f>ELC_MG_PC!H68</f>
        <v>1</v>
      </c>
      <c r="J103" s="368"/>
      <c r="K103" s="367">
        <f t="shared" ref="K103:K166" si="3">IF(OR($J103="",$J103&lt;=0),$F103,$L103+$M103/$J103)</f>
        <v>3038.67</v>
      </c>
      <c r="L103" s="367">
        <f>$F103-ELC_MG_PC!I68</f>
        <v>2798.67</v>
      </c>
      <c r="M103" s="367">
        <f>IFERROR(ELC_MG_PC!I68*ELC_MG_PC!H68,0)</f>
        <v>240</v>
      </c>
    </row>
    <row r="104" spans="2:13" ht="23.25" customHeight="1" x14ac:dyDescent="0.3">
      <c r="B104" s="4" t="s">
        <v>136</v>
      </c>
      <c r="C104" s="4" t="s">
        <v>115</v>
      </c>
      <c r="D104" s="4" t="s">
        <v>69</v>
      </c>
      <c r="E104" s="5" t="s">
        <v>35</v>
      </c>
      <c r="F104" s="6">
        <f>ELC_MG_PC!J69</f>
        <v>3165</v>
      </c>
      <c r="G104" s="7"/>
      <c r="H104" s="6" t="s">
        <v>1644</v>
      </c>
      <c r="I104" s="369">
        <f>ELC_MG_PC!H69</f>
        <v>1</v>
      </c>
      <c r="J104" s="368"/>
      <c r="K104" s="367">
        <f t="shared" si="3"/>
        <v>3165</v>
      </c>
      <c r="L104" s="367">
        <f>$F104-ELC_MG_PC!I69</f>
        <v>2925</v>
      </c>
      <c r="M104" s="367">
        <f>IFERROR(ELC_MG_PC!I69*ELC_MG_PC!H69,0)</f>
        <v>240</v>
      </c>
    </row>
    <row r="105" spans="2:13" ht="34.5" customHeight="1" x14ac:dyDescent="0.3">
      <c r="B105" s="4" t="s">
        <v>137</v>
      </c>
      <c r="C105" s="4" t="s">
        <v>138</v>
      </c>
      <c r="D105" s="4" t="s">
        <v>69</v>
      </c>
      <c r="E105" s="5" t="s">
        <v>14</v>
      </c>
      <c r="F105" s="6">
        <f>ELC_MG_PC!J70</f>
        <v>104.5</v>
      </c>
      <c r="G105" s="7"/>
      <c r="H105" s="6" t="s">
        <v>1644</v>
      </c>
      <c r="I105" s="369">
        <f>ELC_MG_PC!H70</f>
        <v>1</v>
      </c>
      <c r="J105" s="368"/>
      <c r="K105" s="367">
        <f t="shared" si="3"/>
        <v>104.5</v>
      </c>
      <c r="L105" s="367">
        <f>$F105-ELC_MG_PC!I70</f>
        <v>104.5</v>
      </c>
      <c r="M105" s="367">
        <f>IFERROR(ELC_MG_PC!I70*ELC_MG_PC!H70,0)</f>
        <v>0</v>
      </c>
    </row>
    <row r="106" spans="2:13" ht="34.5" customHeight="1" x14ac:dyDescent="0.3">
      <c r="B106" s="4" t="s">
        <v>139</v>
      </c>
      <c r="C106" s="4" t="s">
        <v>138</v>
      </c>
      <c r="D106" s="4" t="s">
        <v>69</v>
      </c>
      <c r="E106" s="5" t="s">
        <v>15</v>
      </c>
      <c r="F106" s="6">
        <f>ELC_MG_PC!J71</f>
        <v>116.78</v>
      </c>
      <c r="G106" s="7"/>
      <c r="H106" s="6" t="s">
        <v>1644</v>
      </c>
      <c r="I106" s="369">
        <f>ELC_MG_PC!H71</f>
        <v>1</v>
      </c>
      <c r="J106" s="368"/>
      <c r="K106" s="367">
        <f t="shared" si="3"/>
        <v>116.78</v>
      </c>
      <c r="L106" s="367">
        <f>$F106-ELC_MG_PC!I71</f>
        <v>116.78</v>
      </c>
      <c r="M106" s="367">
        <f>IFERROR(ELC_MG_PC!I71*ELC_MG_PC!H71,0)</f>
        <v>0</v>
      </c>
    </row>
    <row r="107" spans="2:13" ht="34.5" customHeight="1" x14ac:dyDescent="0.3">
      <c r="B107" s="4" t="s">
        <v>140</v>
      </c>
      <c r="C107" s="4" t="s">
        <v>138</v>
      </c>
      <c r="D107" s="4" t="s">
        <v>69</v>
      </c>
      <c r="E107" s="5" t="s">
        <v>16</v>
      </c>
      <c r="F107" s="6">
        <f>ELC_MG_PC!J72</f>
        <v>130</v>
      </c>
      <c r="G107" s="7"/>
      <c r="H107" s="6" t="s">
        <v>1644</v>
      </c>
      <c r="I107" s="369">
        <f>ELC_MG_PC!H72</f>
        <v>1</v>
      </c>
      <c r="J107" s="368"/>
      <c r="K107" s="367">
        <f t="shared" si="3"/>
        <v>130</v>
      </c>
      <c r="L107" s="367">
        <f>$F107-ELC_MG_PC!I72</f>
        <v>130</v>
      </c>
      <c r="M107" s="367">
        <f>IFERROR(ELC_MG_PC!I72*ELC_MG_PC!H72,0)</f>
        <v>0</v>
      </c>
    </row>
    <row r="108" spans="2:13" ht="34.5" customHeight="1" x14ac:dyDescent="0.3">
      <c r="B108" s="4" t="s">
        <v>141</v>
      </c>
      <c r="C108" s="4" t="s">
        <v>138</v>
      </c>
      <c r="D108" s="4" t="s">
        <v>69</v>
      </c>
      <c r="E108" s="5" t="s">
        <v>17</v>
      </c>
      <c r="F108" s="6">
        <f>ELC_MG_PC!J73</f>
        <v>191.06</v>
      </c>
      <c r="G108" s="7"/>
      <c r="H108" s="6" t="s">
        <v>1644</v>
      </c>
      <c r="I108" s="369">
        <f>ELC_MG_PC!H73</f>
        <v>1</v>
      </c>
      <c r="J108" s="368"/>
      <c r="K108" s="367">
        <f t="shared" si="3"/>
        <v>191.06</v>
      </c>
      <c r="L108" s="367">
        <f>$F108-ELC_MG_PC!I73</f>
        <v>191.06</v>
      </c>
      <c r="M108" s="367">
        <f>IFERROR(ELC_MG_PC!I73*ELC_MG_PC!H73,0)</f>
        <v>0</v>
      </c>
    </row>
    <row r="109" spans="2:13" ht="34.5" customHeight="1" x14ac:dyDescent="0.3">
      <c r="B109" s="4" t="s">
        <v>142</v>
      </c>
      <c r="C109" s="4" t="s">
        <v>138</v>
      </c>
      <c r="D109" s="4" t="s">
        <v>69</v>
      </c>
      <c r="E109" s="5" t="s">
        <v>18</v>
      </c>
      <c r="F109" s="6">
        <f>ELC_MG_PC!J74</f>
        <v>248.46</v>
      </c>
      <c r="G109" s="7"/>
      <c r="H109" s="6" t="s">
        <v>1644</v>
      </c>
      <c r="I109" s="369">
        <f>ELC_MG_PC!H74</f>
        <v>1</v>
      </c>
      <c r="J109" s="368"/>
      <c r="K109" s="367">
        <f t="shared" si="3"/>
        <v>248.46</v>
      </c>
      <c r="L109" s="367">
        <f>$F109-ELC_MG_PC!I74</f>
        <v>248.46</v>
      </c>
      <c r="M109" s="367">
        <f>IFERROR(ELC_MG_PC!I74*ELC_MG_PC!H74,0)</f>
        <v>0</v>
      </c>
    </row>
    <row r="110" spans="2:13" ht="34.5" customHeight="1" x14ac:dyDescent="0.3">
      <c r="B110" s="4" t="s">
        <v>143</v>
      </c>
      <c r="C110" s="4" t="s">
        <v>138</v>
      </c>
      <c r="D110" s="4" t="s">
        <v>69</v>
      </c>
      <c r="E110" s="5" t="s">
        <v>19</v>
      </c>
      <c r="F110" s="6">
        <f>ELC_MG_PC!J75</f>
        <v>280.93</v>
      </c>
      <c r="G110" s="7"/>
      <c r="H110" s="6" t="s">
        <v>1644</v>
      </c>
      <c r="I110" s="369">
        <f>ELC_MG_PC!H75</f>
        <v>1</v>
      </c>
      <c r="J110" s="368"/>
      <c r="K110" s="367">
        <f t="shared" si="3"/>
        <v>280.93</v>
      </c>
      <c r="L110" s="367">
        <f>$F110-ELC_MG_PC!I75</f>
        <v>280.93</v>
      </c>
      <c r="M110" s="367">
        <f>IFERROR(ELC_MG_PC!I75*ELC_MG_PC!H75,0)</f>
        <v>0</v>
      </c>
    </row>
    <row r="111" spans="2:13" ht="34.5" customHeight="1" x14ac:dyDescent="0.3">
      <c r="B111" s="4" t="s">
        <v>144</v>
      </c>
      <c r="C111" s="4" t="s">
        <v>138</v>
      </c>
      <c r="D111" s="4" t="s">
        <v>69</v>
      </c>
      <c r="E111" s="5" t="s">
        <v>20</v>
      </c>
      <c r="F111" s="6">
        <f>ELC_MG_PC!J76</f>
        <v>320</v>
      </c>
      <c r="G111" s="7"/>
      <c r="H111" s="6" t="s">
        <v>1644</v>
      </c>
      <c r="I111" s="369">
        <f>ELC_MG_PC!H76</f>
        <v>1</v>
      </c>
      <c r="J111" s="368"/>
      <c r="K111" s="367">
        <f t="shared" si="3"/>
        <v>320</v>
      </c>
      <c r="L111" s="367">
        <f>$F111-ELC_MG_PC!I76</f>
        <v>320</v>
      </c>
      <c r="M111" s="367">
        <f>IFERROR(ELC_MG_PC!I76*ELC_MG_PC!H76,0)</f>
        <v>0</v>
      </c>
    </row>
    <row r="112" spans="2:13" ht="34.5" customHeight="1" x14ac:dyDescent="0.3">
      <c r="B112" s="4" t="s">
        <v>145</v>
      </c>
      <c r="C112" s="4" t="s">
        <v>138</v>
      </c>
      <c r="D112" s="4" t="s">
        <v>69</v>
      </c>
      <c r="E112" s="5" t="s">
        <v>21</v>
      </c>
      <c r="F112" s="6">
        <f>ELC_MG_PC!J77</f>
        <v>380</v>
      </c>
      <c r="G112" s="7"/>
      <c r="H112" s="6" t="s">
        <v>1644</v>
      </c>
      <c r="I112" s="369">
        <f>ELC_MG_PC!H77</f>
        <v>1</v>
      </c>
      <c r="J112" s="368"/>
      <c r="K112" s="367">
        <f t="shared" si="3"/>
        <v>380</v>
      </c>
      <c r="L112" s="367">
        <f>$F112-ELC_MG_PC!I77</f>
        <v>380</v>
      </c>
      <c r="M112" s="367">
        <f>IFERROR(ELC_MG_PC!I77*ELC_MG_PC!H77,0)</f>
        <v>0</v>
      </c>
    </row>
    <row r="113" spans="2:13" ht="34.5" customHeight="1" x14ac:dyDescent="0.3">
      <c r="B113" s="4" t="s">
        <v>146</v>
      </c>
      <c r="C113" s="4" t="s">
        <v>138</v>
      </c>
      <c r="D113" s="4" t="s">
        <v>69</v>
      </c>
      <c r="E113" s="5" t="s">
        <v>22</v>
      </c>
      <c r="F113" s="6">
        <f>ELC_MG_PC!J78</f>
        <v>450</v>
      </c>
      <c r="G113" s="7"/>
      <c r="H113" s="6" t="s">
        <v>1644</v>
      </c>
      <c r="I113" s="369">
        <f>ELC_MG_PC!H78</f>
        <v>1</v>
      </c>
      <c r="J113" s="368"/>
      <c r="K113" s="367">
        <f t="shared" si="3"/>
        <v>450</v>
      </c>
      <c r="L113" s="367">
        <f>$F113-ELC_MG_PC!I78</f>
        <v>450</v>
      </c>
      <c r="M113" s="367">
        <f>IFERROR(ELC_MG_PC!I78*ELC_MG_PC!H78,0)</f>
        <v>0</v>
      </c>
    </row>
    <row r="114" spans="2:13" ht="34.5" customHeight="1" x14ac:dyDescent="0.3">
      <c r="B114" s="4" t="s">
        <v>147</v>
      </c>
      <c r="C114" s="4" t="s">
        <v>138</v>
      </c>
      <c r="D114" s="4" t="s">
        <v>69</v>
      </c>
      <c r="E114" s="5" t="s">
        <v>23</v>
      </c>
      <c r="F114" s="6">
        <f>ELC_MG_PC!J79</f>
        <v>520</v>
      </c>
      <c r="G114" s="7"/>
      <c r="H114" s="6" t="s">
        <v>1644</v>
      </c>
      <c r="I114" s="369">
        <f>ELC_MG_PC!H79</f>
        <v>1</v>
      </c>
      <c r="J114" s="368"/>
      <c r="K114" s="367">
        <f t="shared" si="3"/>
        <v>520</v>
      </c>
      <c r="L114" s="367">
        <f>$F114-ELC_MG_PC!I79</f>
        <v>520</v>
      </c>
      <c r="M114" s="367">
        <f>IFERROR(ELC_MG_PC!I79*ELC_MG_PC!H79,0)</f>
        <v>0</v>
      </c>
    </row>
    <row r="115" spans="2:13" ht="34.5" customHeight="1" x14ac:dyDescent="0.3">
      <c r="B115" s="4" t="s">
        <v>148</v>
      </c>
      <c r="C115" s="4" t="s">
        <v>138</v>
      </c>
      <c r="D115" s="4" t="s">
        <v>69</v>
      </c>
      <c r="E115" s="5" t="s">
        <v>24</v>
      </c>
      <c r="F115" s="6">
        <f>ELC_MG_PC!J80</f>
        <v>750</v>
      </c>
      <c r="G115" s="7"/>
      <c r="H115" s="6" t="s">
        <v>1644</v>
      </c>
      <c r="I115" s="369">
        <f>ELC_MG_PC!H80</f>
        <v>1</v>
      </c>
      <c r="J115" s="368"/>
      <c r="K115" s="367">
        <f t="shared" si="3"/>
        <v>750</v>
      </c>
      <c r="L115" s="367">
        <f>$F115-ELC_MG_PC!I80</f>
        <v>750</v>
      </c>
      <c r="M115" s="367">
        <f>IFERROR(ELC_MG_PC!I80*ELC_MG_PC!H80,0)</f>
        <v>0</v>
      </c>
    </row>
    <row r="116" spans="2:13" ht="34.5" customHeight="1" x14ac:dyDescent="0.3">
      <c r="B116" s="4" t="s">
        <v>149</v>
      </c>
      <c r="C116" s="4" t="s">
        <v>138</v>
      </c>
      <c r="D116" s="4" t="s">
        <v>69</v>
      </c>
      <c r="E116" s="5" t="s">
        <v>25</v>
      </c>
      <c r="F116" s="6">
        <f>ELC_MG_PC!J81</f>
        <v>1300</v>
      </c>
      <c r="G116" s="7"/>
      <c r="H116" s="6" t="s">
        <v>1644</v>
      </c>
      <c r="I116" s="369">
        <f>ELC_MG_PC!H81</f>
        <v>1</v>
      </c>
      <c r="J116" s="368"/>
      <c r="K116" s="367">
        <f t="shared" si="3"/>
        <v>1300</v>
      </c>
      <c r="L116" s="367">
        <f>$F116-ELC_MG_PC!I81</f>
        <v>1300</v>
      </c>
      <c r="M116" s="367">
        <f>IFERROR(ELC_MG_PC!I81*ELC_MG_PC!H81,0)</f>
        <v>0</v>
      </c>
    </row>
    <row r="117" spans="2:13" ht="34.5" customHeight="1" x14ac:dyDescent="0.3">
      <c r="B117" s="4" t="s">
        <v>150</v>
      </c>
      <c r="C117" s="4" t="s">
        <v>138</v>
      </c>
      <c r="D117" s="4" t="s">
        <v>69</v>
      </c>
      <c r="E117" s="5" t="s">
        <v>26</v>
      </c>
      <c r="F117" s="6">
        <f>ELC_MG_PC!J82</f>
        <v>1620</v>
      </c>
      <c r="G117" s="7"/>
      <c r="H117" s="6" t="s">
        <v>1644</v>
      </c>
      <c r="I117" s="369">
        <f>ELC_MG_PC!H82</f>
        <v>1</v>
      </c>
      <c r="J117" s="368"/>
      <c r="K117" s="367">
        <f t="shared" si="3"/>
        <v>1620</v>
      </c>
      <c r="L117" s="367">
        <f>$F117-ELC_MG_PC!I82</f>
        <v>1620</v>
      </c>
      <c r="M117" s="367">
        <f>IFERROR(ELC_MG_PC!I82*ELC_MG_PC!H82,0)</f>
        <v>0</v>
      </c>
    </row>
    <row r="118" spans="2:13" ht="34.5" customHeight="1" x14ac:dyDescent="0.3">
      <c r="B118" s="4" t="s">
        <v>151</v>
      </c>
      <c r="C118" s="4" t="s">
        <v>138</v>
      </c>
      <c r="D118" s="4" t="s">
        <v>69</v>
      </c>
      <c r="E118" s="5" t="s">
        <v>27</v>
      </c>
      <c r="F118" s="6">
        <f>ELC_MG_PC!J83</f>
        <v>2015.63</v>
      </c>
      <c r="G118" s="7"/>
      <c r="H118" s="6" t="s">
        <v>1644</v>
      </c>
      <c r="I118" s="369">
        <f>ELC_MG_PC!H83</f>
        <v>1</v>
      </c>
      <c r="J118" s="368"/>
      <c r="K118" s="367">
        <f t="shared" si="3"/>
        <v>2015.63</v>
      </c>
      <c r="L118" s="367">
        <f>$F118-ELC_MG_PC!I83</f>
        <v>2015.63</v>
      </c>
      <c r="M118" s="367">
        <f>IFERROR(ELC_MG_PC!I83*ELC_MG_PC!H83,0)</f>
        <v>0</v>
      </c>
    </row>
    <row r="119" spans="2:13" ht="34.5" customHeight="1" x14ac:dyDescent="0.3">
      <c r="B119" s="4" t="s">
        <v>152</v>
      </c>
      <c r="C119" s="4" t="s">
        <v>138</v>
      </c>
      <c r="D119" s="4" t="s">
        <v>69</v>
      </c>
      <c r="E119" s="5" t="s">
        <v>28</v>
      </c>
      <c r="F119" s="6">
        <f>ELC_MG_PC!J84</f>
        <v>2300</v>
      </c>
      <c r="G119" s="7"/>
      <c r="H119" s="6" t="s">
        <v>1644</v>
      </c>
      <c r="I119" s="369">
        <f>ELC_MG_PC!H84</f>
        <v>1</v>
      </c>
      <c r="J119" s="368"/>
      <c r="K119" s="367">
        <f t="shared" si="3"/>
        <v>2300</v>
      </c>
      <c r="L119" s="367">
        <f>$F119-ELC_MG_PC!I84</f>
        <v>2300</v>
      </c>
      <c r="M119" s="367">
        <f>IFERROR(ELC_MG_PC!I84*ELC_MG_PC!H84,0)</f>
        <v>0</v>
      </c>
    </row>
    <row r="120" spans="2:13" ht="34.5" customHeight="1" x14ac:dyDescent="0.3">
      <c r="B120" s="4" t="s">
        <v>153</v>
      </c>
      <c r="C120" s="4" t="s">
        <v>138</v>
      </c>
      <c r="D120" s="4" t="s">
        <v>69</v>
      </c>
      <c r="E120" s="5" t="s">
        <v>29</v>
      </c>
      <c r="F120" s="6">
        <f>ELC_MG_PC!J85</f>
        <v>2750.71</v>
      </c>
      <c r="G120" s="7"/>
      <c r="H120" s="6" t="s">
        <v>1644</v>
      </c>
      <c r="I120" s="369">
        <f>ELC_MG_PC!H85</f>
        <v>1</v>
      </c>
      <c r="J120" s="368"/>
      <c r="K120" s="367">
        <f t="shared" si="3"/>
        <v>2750.71</v>
      </c>
      <c r="L120" s="367">
        <f>$F120-ELC_MG_PC!I85</f>
        <v>2750.71</v>
      </c>
      <c r="M120" s="367">
        <f>IFERROR(ELC_MG_PC!I85*ELC_MG_PC!H85,0)</f>
        <v>0</v>
      </c>
    </row>
    <row r="121" spans="2:13" ht="34.5" customHeight="1" x14ac:dyDescent="0.3">
      <c r="B121" s="4" t="s">
        <v>154</v>
      </c>
      <c r="C121" s="4" t="s">
        <v>138</v>
      </c>
      <c r="D121" s="4" t="s">
        <v>69</v>
      </c>
      <c r="E121" s="5" t="s">
        <v>30</v>
      </c>
      <c r="F121" s="6">
        <f>ELC_MG_PC!J86</f>
        <v>3101.93</v>
      </c>
      <c r="G121" s="7"/>
      <c r="H121" s="6" t="s">
        <v>1644</v>
      </c>
      <c r="I121" s="369">
        <f>ELC_MG_PC!H86</f>
        <v>1</v>
      </c>
      <c r="J121" s="368"/>
      <c r="K121" s="367">
        <f t="shared" si="3"/>
        <v>3101.93</v>
      </c>
      <c r="L121" s="367">
        <f>$F121-ELC_MG_PC!I86</f>
        <v>3101.93</v>
      </c>
      <c r="M121" s="367">
        <f>IFERROR(ELC_MG_PC!I86*ELC_MG_PC!H86,0)</f>
        <v>0</v>
      </c>
    </row>
    <row r="122" spans="2:13" ht="34.5" customHeight="1" x14ac:dyDescent="0.3">
      <c r="B122" s="4" t="s">
        <v>155</v>
      </c>
      <c r="C122" s="4" t="s">
        <v>138</v>
      </c>
      <c r="D122" s="4" t="s">
        <v>69</v>
      </c>
      <c r="E122" s="5" t="s">
        <v>31</v>
      </c>
      <c r="F122" s="6">
        <f>ELC_MG_PC!J87</f>
        <v>3546.52</v>
      </c>
      <c r="G122" s="7"/>
      <c r="H122" s="6" t="s">
        <v>1644</v>
      </c>
      <c r="I122" s="369">
        <f>ELC_MG_PC!H87</f>
        <v>1</v>
      </c>
      <c r="J122" s="368"/>
      <c r="K122" s="367">
        <f t="shared" si="3"/>
        <v>3546.52</v>
      </c>
      <c r="L122" s="367">
        <f>$F122-ELC_MG_PC!I87</f>
        <v>3546.52</v>
      </c>
      <c r="M122" s="367">
        <f>IFERROR(ELC_MG_PC!I87*ELC_MG_PC!H87,0)</f>
        <v>0</v>
      </c>
    </row>
    <row r="123" spans="2:13" ht="34.5" customHeight="1" x14ac:dyDescent="0.3">
      <c r="B123" s="4" t="s">
        <v>156</v>
      </c>
      <c r="C123" s="4" t="s">
        <v>138</v>
      </c>
      <c r="D123" s="4" t="s">
        <v>69</v>
      </c>
      <c r="E123" s="5" t="s">
        <v>32</v>
      </c>
      <c r="F123" s="6">
        <f>ELC_MG_PC!J88</f>
        <v>3822.15</v>
      </c>
      <c r="G123" s="7"/>
      <c r="H123" s="6" t="s">
        <v>1644</v>
      </c>
      <c r="I123" s="369">
        <f>ELC_MG_PC!H88</f>
        <v>1</v>
      </c>
      <c r="J123" s="368"/>
      <c r="K123" s="367">
        <f t="shared" si="3"/>
        <v>3822.15</v>
      </c>
      <c r="L123" s="367">
        <f>$F123-ELC_MG_PC!I88</f>
        <v>3822.15</v>
      </c>
      <c r="M123" s="367">
        <f>IFERROR(ELC_MG_PC!I88*ELC_MG_PC!H88,0)</f>
        <v>0</v>
      </c>
    </row>
    <row r="124" spans="2:13" ht="34.5" customHeight="1" x14ac:dyDescent="0.3">
      <c r="B124" s="4" t="s">
        <v>157</v>
      </c>
      <c r="C124" s="4" t="s">
        <v>138</v>
      </c>
      <c r="D124" s="4" t="s">
        <v>69</v>
      </c>
      <c r="E124" s="5" t="s">
        <v>33</v>
      </c>
      <c r="F124" s="6">
        <f>ELC_MG_PC!J89</f>
        <v>4005.36</v>
      </c>
      <c r="G124" s="7"/>
      <c r="H124" s="6" t="s">
        <v>1644</v>
      </c>
      <c r="I124" s="369">
        <f>ELC_MG_PC!H89</f>
        <v>1</v>
      </c>
      <c r="J124" s="368"/>
      <c r="K124" s="367">
        <f t="shared" si="3"/>
        <v>4005.36</v>
      </c>
      <c r="L124" s="367">
        <f>$F124-ELC_MG_PC!I89</f>
        <v>4005.36</v>
      </c>
      <c r="M124" s="367">
        <f>IFERROR(ELC_MG_PC!I89*ELC_MG_PC!H89,0)</f>
        <v>0</v>
      </c>
    </row>
    <row r="125" spans="2:13" ht="34.5" customHeight="1" x14ac:dyDescent="0.3">
      <c r="B125" s="4" t="s">
        <v>158</v>
      </c>
      <c r="C125" s="4" t="s">
        <v>138</v>
      </c>
      <c r="D125" s="4" t="s">
        <v>69</v>
      </c>
      <c r="E125" s="5" t="s">
        <v>34</v>
      </c>
      <c r="F125" s="6">
        <f>ELC_MG_PC!J90</f>
        <v>4852</v>
      </c>
      <c r="G125" s="7"/>
      <c r="H125" s="6" t="s">
        <v>1644</v>
      </c>
      <c r="I125" s="369">
        <f>ELC_MG_PC!H90</f>
        <v>1</v>
      </c>
      <c r="J125" s="368"/>
      <c r="K125" s="367">
        <f t="shared" si="3"/>
        <v>4852</v>
      </c>
      <c r="L125" s="367">
        <f>$F125-ELC_MG_PC!I90</f>
        <v>4852</v>
      </c>
      <c r="M125" s="367">
        <f>IFERROR(ELC_MG_PC!I90*ELC_MG_PC!H90,0)</f>
        <v>0</v>
      </c>
    </row>
    <row r="126" spans="2:13" ht="34.5" customHeight="1" x14ac:dyDescent="0.3">
      <c r="B126" s="4" t="s">
        <v>159</v>
      </c>
      <c r="C126" s="4" t="s">
        <v>138</v>
      </c>
      <c r="D126" s="4" t="s">
        <v>69</v>
      </c>
      <c r="E126" s="5" t="s">
        <v>35</v>
      </c>
      <c r="F126" s="6">
        <f>ELC_MG_PC!J91</f>
        <v>5623.45</v>
      </c>
      <c r="G126" s="7"/>
      <c r="H126" s="6" t="s">
        <v>1644</v>
      </c>
      <c r="I126" s="369">
        <f>ELC_MG_PC!H91</f>
        <v>1</v>
      </c>
      <c r="J126" s="368"/>
      <c r="K126" s="367">
        <f t="shared" si="3"/>
        <v>5623.45</v>
      </c>
      <c r="L126" s="367">
        <f>$F126-ELC_MG_PC!I91</f>
        <v>5623.45</v>
      </c>
      <c r="M126" s="367">
        <f>IFERROR(ELC_MG_PC!I91*ELC_MG_PC!H91,0)</f>
        <v>0</v>
      </c>
    </row>
    <row r="127" spans="2:13" ht="15" customHeight="1" x14ac:dyDescent="0.3">
      <c r="B127" s="4" t="s">
        <v>1651</v>
      </c>
      <c r="C127" s="4" t="s">
        <v>160</v>
      </c>
      <c r="D127" s="4" t="s">
        <v>1650</v>
      </c>
      <c r="E127" s="5" t="s">
        <v>14</v>
      </c>
      <c r="F127" s="6">
        <f>'PU CAST'!AI10</f>
        <v>20.733333333333327</v>
      </c>
      <c r="G127" s="7"/>
      <c r="H127" s="6" t="s">
        <v>1644</v>
      </c>
      <c r="I127" s="369">
        <f>'PU CAST'!AG10</f>
        <v>4</v>
      </c>
      <c r="J127" s="368"/>
      <c r="K127" s="367">
        <f t="shared" si="3"/>
        <v>20.733333333333327</v>
      </c>
      <c r="L127" s="367">
        <f>$F127-'PU CAST'!AH10</f>
        <v>4.8999999999999986</v>
      </c>
      <c r="M127" s="367">
        <f>IFERROR('PU CAST'!AH10*'PU CAST'!AG10,0)</f>
        <v>63.333333333333314</v>
      </c>
    </row>
    <row r="128" spans="2:13" ht="15" customHeight="1" x14ac:dyDescent="0.3">
      <c r="B128" s="4" t="s">
        <v>1652</v>
      </c>
      <c r="C128" s="4" t="s">
        <v>160</v>
      </c>
      <c r="D128" s="4" t="s">
        <v>1650</v>
      </c>
      <c r="E128" s="5" t="s">
        <v>15</v>
      </c>
      <c r="F128" s="6">
        <f>'PU CAST'!AI11</f>
        <v>21.133333333333329</v>
      </c>
      <c r="G128" s="7"/>
      <c r="H128" s="6" t="s">
        <v>1644</v>
      </c>
      <c r="I128" s="369">
        <f>'PU CAST'!AG11</f>
        <v>4</v>
      </c>
      <c r="J128" s="368"/>
      <c r="K128" s="367">
        <f t="shared" si="3"/>
        <v>21.133333333333329</v>
      </c>
      <c r="L128" s="367">
        <f>$F128-'PU CAST'!AH11</f>
        <v>5.3000000000000007</v>
      </c>
      <c r="M128" s="367">
        <f>IFERROR('PU CAST'!AH11*'PU CAST'!AG11,0)</f>
        <v>63.333333333333314</v>
      </c>
    </row>
    <row r="129" spans="2:13" ht="15" customHeight="1" x14ac:dyDescent="0.3">
      <c r="B129" s="4" t="s">
        <v>1653</v>
      </c>
      <c r="C129" s="4" t="s">
        <v>160</v>
      </c>
      <c r="D129" s="4" t="s">
        <v>1650</v>
      </c>
      <c r="E129" s="5" t="s">
        <v>16</v>
      </c>
      <c r="F129" s="6">
        <f>'PU CAST'!AI12</f>
        <v>23.333333333333329</v>
      </c>
      <c r="G129" s="7"/>
      <c r="H129" s="6" t="s">
        <v>1644</v>
      </c>
      <c r="I129" s="369">
        <f>'PU CAST'!AG12</f>
        <v>4</v>
      </c>
      <c r="J129" s="368"/>
      <c r="K129" s="367">
        <f t="shared" si="3"/>
        <v>23.333333333333329</v>
      </c>
      <c r="L129" s="367">
        <f>$F129-'PU CAST'!AH12</f>
        <v>7.5</v>
      </c>
      <c r="M129" s="367">
        <f>IFERROR('PU CAST'!AH12*'PU CAST'!AG12,0)</f>
        <v>63.333333333333314</v>
      </c>
    </row>
    <row r="130" spans="2:13" ht="15" customHeight="1" x14ac:dyDescent="0.3">
      <c r="B130" s="4" t="s">
        <v>1654</v>
      </c>
      <c r="C130" s="4" t="s">
        <v>160</v>
      </c>
      <c r="D130" s="4" t="s">
        <v>1650</v>
      </c>
      <c r="E130" s="5" t="s">
        <v>17</v>
      </c>
      <c r="F130" s="6">
        <f>'PU CAST'!AI13</f>
        <v>28.921045211111103</v>
      </c>
      <c r="G130" s="7"/>
      <c r="H130" s="6" t="s">
        <v>1644</v>
      </c>
      <c r="I130" s="369">
        <f>'PU CAST'!AG13</f>
        <v>3</v>
      </c>
      <c r="J130" s="368"/>
      <c r="K130" s="367">
        <f t="shared" si="3"/>
        <v>28.921045211111103</v>
      </c>
      <c r="L130" s="367">
        <f>$F130-'PU CAST'!AH13</f>
        <v>7.8099340999999995</v>
      </c>
      <c r="M130" s="367">
        <f>IFERROR('PU CAST'!AH13*'PU CAST'!AG13,0)</f>
        <v>63.333333333333314</v>
      </c>
    </row>
    <row r="131" spans="2:13" ht="15" customHeight="1" x14ac:dyDescent="0.3">
      <c r="B131" s="4" t="s">
        <v>1655</v>
      </c>
      <c r="C131" s="4" t="s">
        <v>160</v>
      </c>
      <c r="D131" s="4" t="s">
        <v>1650</v>
      </c>
      <c r="E131" s="5" t="s">
        <v>18</v>
      </c>
      <c r="F131" s="6">
        <f>'PU CAST'!AI14</f>
        <v>38.672908871111105</v>
      </c>
      <c r="G131" s="7"/>
      <c r="H131" s="6" t="s">
        <v>1644</v>
      </c>
      <c r="I131" s="369">
        <f>'PU CAST'!AG14</f>
        <v>3</v>
      </c>
      <c r="J131" s="368"/>
      <c r="K131" s="367">
        <f t="shared" si="3"/>
        <v>38.672908871111105</v>
      </c>
      <c r="L131" s="367">
        <f>$F131-'PU CAST'!AH14</f>
        <v>17.561797760000001</v>
      </c>
      <c r="M131" s="367">
        <f>IFERROR('PU CAST'!AH14*'PU CAST'!AG14,0)</f>
        <v>63.333333333333314</v>
      </c>
    </row>
    <row r="132" spans="2:13" ht="15" customHeight="1" x14ac:dyDescent="0.3">
      <c r="B132" s="4" t="s">
        <v>1656</v>
      </c>
      <c r="C132" s="4" t="s">
        <v>160</v>
      </c>
      <c r="D132" s="4" t="s">
        <v>1650</v>
      </c>
      <c r="E132" s="5" t="s">
        <v>19</v>
      </c>
      <c r="F132" s="6">
        <f>'PU CAST'!AI15</f>
        <v>54.208345351111106</v>
      </c>
      <c r="G132" s="7"/>
      <c r="H132" s="6" t="s">
        <v>1644</v>
      </c>
      <c r="I132" s="369">
        <f>'PU CAST'!AG15</f>
        <v>3</v>
      </c>
      <c r="J132" s="368"/>
      <c r="K132" s="367">
        <f t="shared" si="3"/>
        <v>54.208345351111106</v>
      </c>
      <c r="L132" s="367">
        <f>$F132-'PU CAST'!AH15</f>
        <v>33.097234240000006</v>
      </c>
      <c r="M132" s="367">
        <f>IFERROR('PU CAST'!AH15*'PU CAST'!AG15,0)</f>
        <v>63.333333333333314</v>
      </c>
    </row>
    <row r="133" spans="2:13" ht="15" customHeight="1" x14ac:dyDescent="0.3">
      <c r="B133" s="4" t="s">
        <v>1657</v>
      </c>
      <c r="C133" s="4" t="s">
        <v>160</v>
      </c>
      <c r="D133" s="4" t="s">
        <v>1650</v>
      </c>
      <c r="E133" s="5" t="s">
        <v>20</v>
      </c>
      <c r="F133" s="6">
        <f>'PU CAST'!AI16</f>
        <v>84.22541236666666</v>
      </c>
      <c r="G133" s="7"/>
      <c r="H133" s="6" t="s">
        <v>1644</v>
      </c>
      <c r="I133" s="369">
        <f>'PU CAST'!AG16</f>
        <v>2</v>
      </c>
      <c r="J133" s="368"/>
      <c r="K133" s="367">
        <f t="shared" si="3"/>
        <v>84.22541236666666</v>
      </c>
      <c r="L133" s="367">
        <f>$F133-'PU CAST'!AH16</f>
        <v>52.558745700000003</v>
      </c>
      <c r="M133" s="367">
        <f>IFERROR('PU CAST'!AH16*'PU CAST'!AG16,0)</f>
        <v>63.333333333333314</v>
      </c>
    </row>
    <row r="134" spans="2:13" ht="15" customHeight="1" x14ac:dyDescent="0.3">
      <c r="B134" s="4" t="s">
        <v>1658</v>
      </c>
      <c r="C134" s="4" t="s">
        <v>160</v>
      </c>
      <c r="D134" s="4" t="s">
        <v>1650</v>
      </c>
      <c r="E134" s="5" t="s">
        <v>21</v>
      </c>
      <c r="F134" s="6">
        <f>'PU CAST'!AI17</f>
        <v>100.56295018666665</v>
      </c>
      <c r="G134" s="7"/>
      <c r="H134" s="6" t="s">
        <v>1644</v>
      </c>
      <c r="I134" s="369">
        <f>'PU CAST'!AG17</f>
        <v>2</v>
      </c>
      <c r="J134" s="368"/>
      <c r="K134" s="367">
        <f t="shared" si="3"/>
        <v>100.56295018666665</v>
      </c>
      <c r="L134" s="367">
        <f>$F134-'PU CAST'!AH17</f>
        <v>68.896283519999997</v>
      </c>
      <c r="M134" s="367">
        <f>IFERROR('PU CAST'!AH17*'PU CAST'!AG17,0)</f>
        <v>63.333333333333314</v>
      </c>
    </row>
    <row r="135" spans="2:13" ht="15" customHeight="1" x14ac:dyDescent="0.3">
      <c r="B135" s="4" t="s">
        <v>1659</v>
      </c>
      <c r="C135" s="4" t="s">
        <v>160</v>
      </c>
      <c r="D135" s="4" t="s">
        <v>1650</v>
      </c>
      <c r="E135" s="5" t="s">
        <v>22</v>
      </c>
      <c r="F135" s="6">
        <f>'PU CAST'!AI18</f>
        <v>139.14824622666666</v>
      </c>
      <c r="G135" s="7"/>
      <c r="H135" s="6" t="s">
        <v>1644</v>
      </c>
      <c r="I135" s="369">
        <f>'PU CAST'!AG18</f>
        <v>2</v>
      </c>
      <c r="J135" s="368"/>
      <c r="K135" s="367">
        <f t="shared" si="3"/>
        <v>139.14824622666666</v>
      </c>
      <c r="L135" s="367">
        <f>$F135-'PU CAST'!AH18</f>
        <v>107.48157956</v>
      </c>
      <c r="M135" s="367">
        <f>IFERROR('PU CAST'!AH18*'PU CAST'!AG18,0)</f>
        <v>63.333333333333314</v>
      </c>
    </row>
    <row r="136" spans="2:13" ht="15" customHeight="1" x14ac:dyDescent="0.3">
      <c r="B136" s="4" t="s">
        <v>1660</v>
      </c>
      <c r="C136" s="4" t="s">
        <v>160</v>
      </c>
      <c r="D136" s="4" t="s">
        <v>1650</v>
      </c>
      <c r="E136" s="5" t="s">
        <v>23</v>
      </c>
      <c r="F136" s="6">
        <f>'PU CAST'!AI19</f>
        <v>177.60689468666664</v>
      </c>
      <c r="G136" s="7"/>
      <c r="H136" s="6" t="s">
        <v>1644</v>
      </c>
      <c r="I136" s="369">
        <f>'PU CAST'!AG19</f>
        <v>2</v>
      </c>
      <c r="J136" s="368"/>
      <c r="K136" s="367">
        <f t="shared" si="3"/>
        <v>177.60689468666664</v>
      </c>
      <c r="L136" s="367">
        <f>$F136-'PU CAST'!AH19</f>
        <v>145.94022801999998</v>
      </c>
      <c r="M136" s="367">
        <f>IFERROR('PU CAST'!AH19*'PU CAST'!AG19,0)</f>
        <v>63.333333333333314</v>
      </c>
    </row>
    <row r="137" spans="2:13" ht="15" customHeight="1" x14ac:dyDescent="0.3">
      <c r="B137" s="4" t="s">
        <v>1661</v>
      </c>
      <c r="C137" s="4" t="s">
        <v>160</v>
      </c>
      <c r="D137" s="4" t="s">
        <v>1650</v>
      </c>
      <c r="E137" s="5" t="s">
        <v>24</v>
      </c>
      <c r="F137" s="6">
        <f>'PU CAST'!AI20</f>
        <v>201.66993488666665</v>
      </c>
      <c r="G137" s="7"/>
      <c r="H137" s="6" t="s">
        <v>1644</v>
      </c>
      <c r="I137" s="369">
        <f>'PU CAST'!AG20</f>
        <v>2</v>
      </c>
      <c r="J137" s="368"/>
      <c r="K137" s="367">
        <f t="shared" si="3"/>
        <v>201.66993488666665</v>
      </c>
      <c r="L137" s="367">
        <f>$F137-'PU CAST'!AH20</f>
        <v>170.00326822</v>
      </c>
      <c r="M137" s="367">
        <f>IFERROR('PU CAST'!AH20*'PU CAST'!AG20,0)</f>
        <v>63.333333333333314</v>
      </c>
    </row>
    <row r="138" spans="2:13" ht="15" customHeight="1" x14ac:dyDescent="0.3">
      <c r="B138" s="4" t="s">
        <v>1662</v>
      </c>
      <c r="C138" s="4" t="s">
        <v>160</v>
      </c>
      <c r="D138" s="4" t="s">
        <v>1650</v>
      </c>
      <c r="E138" s="5" t="s">
        <v>25</v>
      </c>
      <c r="F138" s="6">
        <f>'PU CAST'!AI21</f>
        <v>244.89897552666665</v>
      </c>
      <c r="G138" s="7"/>
      <c r="H138" s="6" t="s">
        <v>1644</v>
      </c>
      <c r="I138" s="369">
        <f>'PU CAST'!AG21</f>
        <v>2</v>
      </c>
      <c r="J138" s="368"/>
      <c r="K138" s="367">
        <f t="shared" si="3"/>
        <v>244.89897552666665</v>
      </c>
      <c r="L138" s="367">
        <f>$F138-'PU CAST'!AH21</f>
        <v>213.23230885999999</v>
      </c>
      <c r="M138" s="367">
        <f>IFERROR('PU CAST'!AH21*'PU CAST'!AG21,0)</f>
        <v>63.333333333333314</v>
      </c>
    </row>
    <row r="139" spans="2:13" ht="15" customHeight="1" x14ac:dyDescent="0.3">
      <c r="B139" s="4" t="s">
        <v>1663</v>
      </c>
      <c r="C139" s="4" t="s">
        <v>160</v>
      </c>
      <c r="D139" s="4" t="s">
        <v>1650</v>
      </c>
      <c r="E139" s="5" t="s">
        <v>26</v>
      </c>
      <c r="F139" s="6">
        <f>'PU CAST'!AI22</f>
        <v>332.20137400666658</v>
      </c>
      <c r="G139" s="7"/>
      <c r="H139" s="6" t="s">
        <v>1644</v>
      </c>
      <c r="I139" s="369">
        <f>'PU CAST'!AG22</f>
        <v>2</v>
      </c>
      <c r="J139" s="368"/>
      <c r="K139" s="367">
        <f t="shared" si="3"/>
        <v>332.20137400666658</v>
      </c>
      <c r="L139" s="367">
        <f>$F139-'PU CAST'!AH22</f>
        <v>300.53470733999995</v>
      </c>
      <c r="M139" s="367">
        <f>IFERROR('PU CAST'!AH22*'PU CAST'!AG22,0)</f>
        <v>63.333333333333314</v>
      </c>
    </row>
    <row r="140" spans="2:13" ht="15" customHeight="1" x14ac:dyDescent="0.3">
      <c r="B140" s="4" t="s">
        <v>1664</v>
      </c>
      <c r="C140" s="4" t="s">
        <v>160</v>
      </c>
      <c r="D140" s="4" t="s">
        <v>1650</v>
      </c>
      <c r="E140" s="5" t="s">
        <v>27</v>
      </c>
      <c r="F140" s="6">
        <f>'PU CAST'!AI23</f>
        <v>396.58056050666664</v>
      </c>
      <c r="G140" s="7"/>
      <c r="H140" s="6" t="s">
        <v>1644</v>
      </c>
      <c r="I140" s="369">
        <f>'PU CAST'!AG23</f>
        <v>2</v>
      </c>
      <c r="J140" s="368"/>
      <c r="K140" s="367">
        <f t="shared" si="3"/>
        <v>396.58056050666664</v>
      </c>
      <c r="L140" s="367">
        <f>$F140-'PU CAST'!AH23</f>
        <v>364.91389384000001</v>
      </c>
      <c r="M140" s="367">
        <f>IFERROR('PU CAST'!AH23*'PU CAST'!AG23,0)</f>
        <v>63.333333333333314</v>
      </c>
    </row>
    <row r="141" spans="2:13" ht="15" customHeight="1" x14ac:dyDescent="0.3">
      <c r="B141" s="4" t="s">
        <v>1665</v>
      </c>
      <c r="C141" s="4" t="s">
        <v>160</v>
      </c>
      <c r="D141" s="4" t="s">
        <v>1650</v>
      </c>
      <c r="E141" s="5" t="s">
        <v>28</v>
      </c>
      <c r="F141" s="6">
        <f>'PU CAST'!AI24</f>
        <v>449.81475996666666</v>
      </c>
      <c r="G141" s="7"/>
      <c r="H141" s="6" t="s">
        <v>1644</v>
      </c>
      <c r="I141" s="369">
        <f>'PU CAST'!AG24</f>
        <v>2</v>
      </c>
      <c r="J141" s="368"/>
      <c r="K141" s="367">
        <f t="shared" si="3"/>
        <v>449.81475996666666</v>
      </c>
      <c r="L141" s="367">
        <f>$F141-'PU CAST'!AH24</f>
        <v>418.14809330000003</v>
      </c>
      <c r="M141" s="367">
        <f>IFERROR('PU CAST'!AH24*'PU CAST'!AG24,0)</f>
        <v>63.333333333333314</v>
      </c>
    </row>
    <row r="142" spans="2:13" ht="15" customHeight="1" x14ac:dyDescent="0.3">
      <c r="B142" s="4" t="s">
        <v>1666</v>
      </c>
      <c r="C142" s="4" t="s">
        <v>160</v>
      </c>
      <c r="D142" s="4" t="s">
        <v>1650</v>
      </c>
      <c r="E142" s="5" t="s">
        <v>29</v>
      </c>
      <c r="F142" s="6">
        <f>'PU CAST'!AI25</f>
        <v>557.59662221333338</v>
      </c>
      <c r="G142" s="7"/>
      <c r="H142" s="6" t="s">
        <v>1644</v>
      </c>
      <c r="I142" s="369">
        <f>'PU CAST'!AG25</f>
        <v>1</v>
      </c>
      <c r="J142" s="368"/>
      <c r="K142" s="367">
        <f t="shared" si="3"/>
        <v>557.59662221333338</v>
      </c>
      <c r="L142" s="367">
        <f>$F142-'PU CAST'!AH25</f>
        <v>494.26328888000006</v>
      </c>
      <c r="M142" s="367">
        <f>IFERROR('PU CAST'!AH25*'PU CAST'!AG25,0)</f>
        <v>63.333333333333314</v>
      </c>
    </row>
    <row r="143" spans="2:13" ht="15" customHeight="1" x14ac:dyDescent="0.3">
      <c r="B143" s="4" t="s">
        <v>1667</v>
      </c>
      <c r="C143" s="4" t="s">
        <v>160</v>
      </c>
      <c r="D143" s="4" t="s">
        <v>1650</v>
      </c>
      <c r="E143" s="5" t="s">
        <v>30</v>
      </c>
      <c r="F143" s="6">
        <f>'PU CAST'!AI26</f>
        <v>624.60273536666625</v>
      </c>
      <c r="G143" s="7"/>
      <c r="H143" s="6" t="s">
        <v>1644</v>
      </c>
      <c r="I143" s="369">
        <f>'PU CAST'!AG26</f>
        <v>1</v>
      </c>
      <c r="J143" s="368"/>
      <c r="K143" s="367">
        <f t="shared" si="3"/>
        <v>624.60273536666625</v>
      </c>
      <c r="L143" s="367">
        <f>$F143-'PU CAST'!AH26</f>
        <v>497.93606870000002</v>
      </c>
      <c r="M143" s="367">
        <f>IFERROR('PU CAST'!AH26*'PU CAST'!AG26,0)</f>
        <v>126.66666666666623</v>
      </c>
    </row>
    <row r="144" spans="2:13" ht="15" customHeight="1" x14ac:dyDescent="0.3">
      <c r="B144" s="4" t="s">
        <v>1668</v>
      </c>
      <c r="C144" s="4" t="s">
        <v>160</v>
      </c>
      <c r="D144" s="4" t="s">
        <v>1650</v>
      </c>
      <c r="E144" s="5" t="s">
        <v>31</v>
      </c>
      <c r="F144" s="6">
        <f>'PU CAST'!AI27</f>
        <v>711.22968008666612</v>
      </c>
      <c r="G144" s="7"/>
      <c r="H144" s="6" t="s">
        <v>1644</v>
      </c>
      <c r="I144" s="369">
        <f>'PU CAST'!AG27</f>
        <v>1</v>
      </c>
      <c r="J144" s="368"/>
      <c r="K144" s="367">
        <f t="shared" si="3"/>
        <v>711.22968008666612</v>
      </c>
      <c r="L144" s="367">
        <f>$F144-'PU CAST'!AH27</f>
        <v>584.56301341999983</v>
      </c>
      <c r="M144" s="367">
        <f>IFERROR('PU CAST'!AH27*'PU CAST'!AG27,0)</f>
        <v>126.66666666666623</v>
      </c>
    </row>
    <row r="145" spans="2:13" ht="15" customHeight="1" x14ac:dyDescent="0.3">
      <c r="B145" s="4" t="s">
        <v>1669</v>
      </c>
      <c r="C145" s="4" t="s">
        <v>160</v>
      </c>
      <c r="D145" s="4" t="s">
        <v>1650</v>
      </c>
      <c r="E145" s="5" t="s">
        <v>32</v>
      </c>
      <c r="F145" s="6">
        <f>'PU CAST'!AI28</f>
        <v>943.07918320666613</v>
      </c>
      <c r="G145" s="7"/>
      <c r="H145" s="6" t="s">
        <v>1644</v>
      </c>
      <c r="I145" s="369">
        <f>'PU CAST'!AG28</f>
        <v>1</v>
      </c>
      <c r="J145" s="368"/>
      <c r="K145" s="367">
        <f t="shared" si="3"/>
        <v>943.07918320666613</v>
      </c>
      <c r="L145" s="367">
        <f>$F145-'PU CAST'!AH28</f>
        <v>816.41251653999984</v>
      </c>
      <c r="M145" s="367">
        <f>IFERROR('PU CAST'!AH28*'PU CAST'!AG28,0)</f>
        <v>126.66666666666623</v>
      </c>
    </row>
    <row r="146" spans="2:13" ht="15" customHeight="1" x14ac:dyDescent="0.3">
      <c r="B146" s="4" t="s">
        <v>1670</v>
      </c>
      <c r="C146" s="4" t="s">
        <v>160</v>
      </c>
      <c r="D146" s="4" t="s">
        <v>1650</v>
      </c>
      <c r="E146" s="5" t="s">
        <v>33</v>
      </c>
      <c r="F146" s="6">
        <f>'PU CAST'!AI29</f>
        <v>1079.0986841266663</v>
      </c>
      <c r="G146" s="7"/>
      <c r="H146" s="6" t="s">
        <v>1644</v>
      </c>
      <c r="I146" s="369">
        <f>'PU CAST'!AG29</f>
        <v>1</v>
      </c>
      <c r="J146" s="368"/>
      <c r="K146" s="367">
        <f t="shared" si="3"/>
        <v>1079.0986841266663</v>
      </c>
      <c r="L146" s="367">
        <f>$F146-'PU CAST'!AH29</f>
        <v>952.43201746</v>
      </c>
      <c r="M146" s="367">
        <f>IFERROR('PU CAST'!AH29*'PU CAST'!AG29,0)</f>
        <v>126.66666666666623</v>
      </c>
    </row>
    <row r="147" spans="2:13" ht="15" customHeight="1" x14ac:dyDescent="0.3">
      <c r="B147" s="4" t="s">
        <v>1671</v>
      </c>
      <c r="C147" s="4" t="s">
        <v>160</v>
      </c>
      <c r="D147" s="4" t="s">
        <v>1650</v>
      </c>
      <c r="E147" s="5" t="s">
        <v>34</v>
      </c>
      <c r="F147" s="6">
        <f>'PU CAST'!AI30</f>
        <v>1146.5174125466663</v>
      </c>
      <c r="G147" s="7"/>
      <c r="H147" s="6" t="s">
        <v>1644</v>
      </c>
      <c r="I147" s="369">
        <f>'PU CAST'!AG30</f>
        <v>1</v>
      </c>
      <c r="J147" s="368"/>
      <c r="K147" s="367">
        <f t="shared" si="3"/>
        <v>1146.5174125466663</v>
      </c>
      <c r="L147" s="367">
        <f>$F147-'PU CAST'!AH30</f>
        <v>1019.85074588</v>
      </c>
      <c r="M147" s="367">
        <f>IFERROR('PU CAST'!AH30*'PU CAST'!AG30,0)</f>
        <v>126.66666666666623</v>
      </c>
    </row>
    <row r="148" spans="2:13" ht="15" customHeight="1" x14ac:dyDescent="0.3">
      <c r="B148" s="4" t="s">
        <v>1672</v>
      </c>
      <c r="C148" s="4" t="s">
        <v>160</v>
      </c>
      <c r="D148" s="4" t="s">
        <v>1650</v>
      </c>
      <c r="E148" s="5" t="s">
        <v>35</v>
      </c>
      <c r="F148" s="6">
        <f>'PU CAST'!AI31</f>
        <v>1276.1623186066663</v>
      </c>
      <c r="G148" s="7"/>
      <c r="H148" s="6" t="s">
        <v>1644</v>
      </c>
      <c r="I148" s="369">
        <f>'PU CAST'!AG31</f>
        <v>1</v>
      </c>
      <c r="J148" s="368"/>
      <c r="K148" s="367">
        <f t="shared" si="3"/>
        <v>1276.1623186066663</v>
      </c>
      <c r="L148" s="367">
        <f>$F148-'PU CAST'!AH31</f>
        <v>1149.49565194</v>
      </c>
      <c r="M148" s="367">
        <f>IFERROR('PU CAST'!AH31*'PU CAST'!AG31,0)</f>
        <v>126.66666666666623</v>
      </c>
    </row>
    <row r="149" spans="2:13" ht="15" customHeight="1" x14ac:dyDescent="0.3">
      <c r="B149" s="4" t="s">
        <v>1673</v>
      </c>
      <c r="C149" s="4" t="s">
        <v>161</v>
      </c>
      <c r="D149" s="4" t="s">
        <v>1650</v>
      </c>
      <c r="E149" s="5" t="s">
        <v>14</v>
      </c>
      <c r="F149" s="6">
        <f>'PU CAST'!AI32</f>
        <v>21.173333333333328</v>
      </c>
      <c r="G149" s="7"/>
      <c r="H149" s="6" t="s">
        <v>1644</v>
      </c>
      <c r="I149" s="369">
        <f>'PU CAST'!AG32</f>
        <v>4</v>
      </c>
      <c r="J149" s="368"/>
      <c r="K149" s="367">
        <f t="shared" si="3"/>
        <v>21.173333333333328</v>
      </c>
      <c r="L149" s="367">
        <f>$F149-'PU CAST'!AH32</f>
        <v>5.34</v>
      </c>
      <c r="M149" s="367">
        <f>IFERROR('PU CAST'!AH32*'PU CAST'!AG32,0)</f>
        <v>63.333333333333314</v>
      </c>
    </row>
    <row r="150" spans="2:13" ht="15" customHeight="1" x14ac:dyDescent="0.3">
      <c r="B150" s="4" t="s">
        <v>1674</v>
      </c>
      <c r="C150" s="4" t="s">
        <v>161</v>
      </c>
      <c r="D150" s="4" t="s">
        <v>1650</v>
      </c>
      <c r="E150" s="5" t="s">
        <v>15</v>
      </c>
      <c r="F150" s="6">
        <f>'PU CAST'!AI33</f>
        <v>22.633333333333329</v>
      </c>
      <c r="G150" s="7"/>
      <c r="H150" s="6" t="s">
        <v>1644</v>
      </c>
      <c r="I150" s="369">
        <f>'PU CAST'!AG33</f>
        <v>4</v>
      </c>
      <c r="J150" s="368"/>
      <c r="K150" s="367">
        <f t="shared" si="3"/>
        <v>22.633333333333329</v>
      </c>
      <c r="L150" s="367">
        <f>$F150-'PU CAST'!AH33</f>
        <v>6.8000000000000007</v>
      </c>
      <c r="M150" s="367">
        <f>IFERROR('PU CAST'!AH33*'PU CAST'!AG33,0)</f>
        <v>63.333333333333314</v>
      </c>
    </row>
    <row r="151" spans="2:13" ht="15" customHeight="1" x14ac:dyDescent="0.3">
      <c r="B151" s="4" t="s">
        <v>1675</v>
      </c>
      <c r="C151" s="4" t="s">
        <v>161</v>
      </c>
      <c r="D151" s="4" t="s">
        <v>1650</v>
      </c>
      <c r="E151" s="5" t="s">
        <v>16</v>
      </c>
      <c r="F151" s="6">
        <f>'PU CAST'!AI34</f>
        <v>24.053333333333327</v>
      </c>
      <c r="G151" s="7"/>
      <c r="H151" s="6" t="s">
        <v>1644</v>
      </c>
      <c r="I151" s="369">
        <f>'PU CAST'!AG34</f>
        <v>4</v>
      </c>
      <c r="J151" s="368"/>
      <c r="K151" s="367">
        <f t="shared" si="3"/>
        <v>24.053333333333327</v>
      </c>
      <c r="L151" s="367">
        <f>$F151-'PU CAST'!AH34</f>
        <v>8.2199999999999989</v>
      </c>
      <c r="M151" s="367">
        <f>IFERROR('PU CAST'!AH34*'PU CAST'!AG34,0)</f>
        <v>63.333333333333314</v>
      </c>
    </row>
    <row r="152" spans="2:13" ht="15" customHeight="1" x14ac:dyDescent="0.3">
      <c r="B152" s="4" t="s">
        <v>1676</v>
      </c>
      <c r="C152" s="4" t="s">
        <v>161</v>
      </c>
      <c r="D152" s="4" t="s">
        <v>1650</v>
      </c>
      <c r="E152" s="5" t="s">
        <v>17</v>
      </c>
      <c r="F152" s="6">
        <f>'PU CAST'!AI35</f>
        <v>28.299859111111104</v>
      </c>
      <c r="G152" s="7"/>
      <c r="H152" s="6" t="s">
        <v>1644</v>
      </c>
      <c r="I152" s="369">
        <f>'PU CAST'!AG35</f>
        <v>3</v>
      </c>
      <c r="J152" s="368"/>
      <c r="K152" s="367">
        <f t="shared" si="3"/>
        <v>28.299859111111104</v>
      </c>
      <c r="L152" s="367">
        <f>$F152-'PU CAST'!AH35</f>
        <v>7.1887480000000004</v>
      </c>
      <c r="M152" s="367">
        <f>IFERROR('PU CAST'!AH35*'PU CAST'!AG35,0)</f>
        <v>63.333333333333314</v>
      </c>
    </row>
    <row r="153" spans="2:13" ht="15" customHeight="1" x14ac:dyDescent="0.3">
      <c r="B153" s="4" t="s">
        <v>1677</v>
      </c>
      <c r="C153" s="4" t="s">
        <v>161</v>
      </c>
      <c r="D153" s="4" t="s">
        <v>1650</v>
      </c>
      <c r="E153" s="5" t="s">
        <v>18</v>
      </c>
      <c r="F153" s="6">
        <f>'PU CAST'!AI36</f>
        <v>34.15918111111111</v>
      </c>
      <c r="G153" s="7"/>
      <c r="H153" s="6" t="s">
        <v>1644</v>
      </c>
      <c r="I153" s="369">
        <f>'PU CAST'!AG36</f>
        <v>3</v>
      </c>
      <c r="J153" s="368"/>
      <c r="K153" s="367">
        <f t="shared" si="3"/>
        <v>34.15918111111111</v>
      </c>
      <c r="L153" s="367">
        <f>$F153-'PU CAST'!AH36</f>
        <v>13.048070000000006</v>
      </c>
      <c r="M153" s="367">
        <f>IFERROR('PU CAST'!AH36*'PU CAST'!AG36,0)</f>
        <v>63.333333333333314</v>
      </c>
    </row>
    <row r="154" spans="2:13" ht="15" customHeight="1" x14ac:dyDescent="0.3">
      <c r="B154" s="4" t="s">
        <v>1678</v>
      </c>
      <c r="C154" s="4" t="s">
        <v>161</v>
      </c>
      <c r="D154" s="4" t="s">
        <v>1650</v>
      </c>
      <c r="E154" s="5" t="s">
        <v>19</v>
      </c>
      <c r="F154" s="6">
        <f>'PU CAST'!AI37</f>
        <v>43.834448111111108</v>
      </c>
      <c r="G154" s="7"/>
      <c r="H154" s="6" t="s">
        <v>1644</v>
      </c>
      <c r="I154" s="369">
        <f>'PU CAST'!AG37</f>
        <v>3</v>
      </c>
      <c r="J154" s="368"/>
      <c r="K154" s="367">
        <f t="shared" si="3"/>
        <v>43.834448111111108</v>
      </c>
      <c r="L154" s="367">
        <f>$F154-'PU CAST'!AH37</f>
        <v>22.723337000000004</v>
      </c>
      <c r="M154" s="367">
        <f>IFERROR('PU CAST'!AH37*'PU CAST'!AG37,0)</f>
        <v>63.333333333333314</v>
      </c>
    </row>
    <row r="155" spans="2:13" ht="15" customHeight="1" x14ac:dyDescent="0.3">
      <c r="B155" s="4" t="s">
        <v>1679</v>
      </c>
      <c r="C155" s="4" t="s">
        <v>161</v>
      </c>
      <c r="D155" s="4" t="s">
        <v>1650</v>
      </c>
      <c r="E155" s="5" t="s">
        <v>20</v>
      </c>
      <c r="F155" s="6">
        <f>'PU CAST'!AI38</f>
        <v>66.773360666666662</v>
      </c>
      <c r="G155" s="7"/>
      <c r="H155" s="6" t="s">
        <v>1644</v>
      </c>
      <c r="I155" s="369">
        <f>'PU CAST'!AG38</f>
        <v>2</v>
      </c>
      <c r="J155" s="368"/>
      <c r="K155" s="367">
        <f t="shared" si="3"/>
        <v>66.773360666666662</v>
      </c>
      <c r="L155" s="367">
        <f>$F155-'PU CAST'!AH38</f>
        <v>35.106694000000005</v>
      </c>
      <c r="M155" s="367">
        <f>IFERROR('PU CAST'!AH38*'PU CAST'!AG38,0)</f>
        <v>63.333333333333314</v>
      </c>
    </row>
    <row r="156" spans="2:13" ht="15" customHeight="1" x14ac:dyDescent="0.3">
      <c r="B156" s="4" t="s">
        <v>1680</v>
      </c>
      <c r="C156" s="4" t="s">
        <v>161</v>
      </c>
      <c r="D156" s="4" t="s">
        <v>1650</v>
      </c>
      <c r="E156" s="5" t="s">
        <v>21</v>
      </c>
      <c r="F156" s="6">
        <f>'PU CAST'!AI39</f>
        <v>75.463867666666658</v>
      </c>
      <c r="G156" s="7"/>
      <c r="H156" s="6" t="s">
        <v>1644</v>
      </c>
      <c r="I156" s="369">
        <f>'PU CAST'!AG39</f>
        <v>2</v>
      </c>
      <c r="J156" s="368"/>
      <c r="K156" s="367">
        <f t="shared" si="3"/>
        <v>75.463867666666658</v>
      </c>
      <c r="L156" s="367">
        <f>$F156-'PU CAST'!AH39</f>
        <v>43.797201000000001</v>
      </c>
      <c r="M156" s="367">
        <f>IFERROR('PU CAST'!AH39*'PU CAST'!AG39,0)</f>
        <v>63.333333333333314</v>
      </c>
    </row>
    <row r="157" spans="2:13" ht="15" customHeight="1" x14ac:dyDescent="0.3">
      <c r="B157" s="4" t="s">
        <v>1681</v>
      </c>
      <c r="C157" s="4" t="s">
        <v>161</v>
      </c>
      <c r="D157" s="4" t="s">
        <v>1650</v>
      </c>
      <c r="E157" s="5" t="s">
        <v>22</v>
      </c>
      <c r="F157" s="6">
        <f>'PU CAST'!AI40</f>
        <v>105.44980966666667</v>
      </c>
      <c r="G157" s="7"/>
      <c r="H157" s="6" t="s">
        <v>1644</v>
      </c>
      <c r="I157" s="369">
        <f>'PU CAST'!AG40</f>
        <v>2</v>
      </c>
      <c r="J157" s="368"/>
      <c r="K157" s="367">
        <f t="shared" si="3"/>
        <v>105.44980966666667</v>
      </c>
      <c r="L157" s="367">
        <f>$F157-'PU CAST'!AH40</f>
        <v>73.78314300000001</v>
      </c>
      <c r="M157" s="367">
        <f>IFERROR('PU CAST'!AH40*'PU CAST'!AG40,0)</f>
        <v>63.333333333333314</v>
      </c>
    </row>
    <row r="158" spans="2:13" ht="15" customHeight="1" x14ac:dyDescent="0.3">
      <c r="B158" s="4" t="s">
        <v>1682</v>
      </c>
      <c r="C158" s="4" t="s">
        <v>161</v>
      </c>
      <c r="D158" s="4" t="s">
        <v>1650</v>
      </c>
      <c r="E158" s="5" t="s">
        <v>23</v>
      </c>
      <c r="F158" s="6">
        <f>'PU CAST'!AI41</f>
        <v>119.90116266666666</v>
      </c>
      <c r="G158" s="7"/>
      <c r="H158" s="6" t="s">
        <v>1644</v>
      </c>
      <c r="I158" s="369">
        <f>'PU CAST'!AG41</f>
        <v>2</v>
      </c>
      <c r="J158" s="368"/>
      <c r="K158" s="367">
        <f t="shared" si="3"/>
        <v>119.90116266666666</v>
      </c>
      <c r="L158" s="367">
        <f>$F158-'PU CAST'!AH41</f>
        <v>88.234496000000007</v>
      </c>
      <c r="M158" s="367">
        <f>IFERROR('PU CAST'!AH41*'PU CAST'!AG41,0)</f>
        <v>63.333333333333314</v>
      </c>
    </row>
    <row r="159" spans="2:13" ht="15" customHeight="1" x14ac:dyDescent="0.3">
      <c r="B159" s="4" t="s">
        <v>1683</v>
      </c>
      <c r="C159" s="4" t="s">
        <v>161</v>
      </c>
      <c r="D159" s="4" t="s">
        <v>1650</v>
      </c>
      <c r="E159" s="5" t="s">
        <v>24</v>
      </c>
      <c r="F159" s="6">
        <f>'PU CAST'!AI42</f>
        <v>132.21066266666665</v>
      </c>
      <c r="G159" s="7"/>
      <c r="H159" s="6" t="s">
        <v>1644</v>
      </c>
      <c r="I159" s="369">
        <f>'PU CAST'!AG42</f>
        <v>2</v>
      </c>
      <c r="J159" s="368"/>
      <c r="K159" s="367">
        <f t="shared" si="3"/>
        <v>132.21066266666665</v>
      </c>
      <c r="L159" s="367">
        <f>$F159-'PU CAST'!AH42</f>
        <v>100.54399599999999</v>
      </c>
      <c r="M159" s="367">
        <f>IFERROR('PU CAST'!AH42*'PU CAST'!AG42,0)</f>
        <v>63.333333333333314</v>
      </c>
    </row>
    <row r="160" spans="2:13" ht="15" customHeight="1" x14ac:dyDescent="0.3">
      <c r="B160" s="4" t="s">
        <v>1684</v>
      </c>
      <c r="C160" s="4" t="s">
        <v>161</v>
      </c>
      <c r="D160" s="4" t="s">
        <v>1650</v>
      </c>
      <c r="E160" s="5" t="s">
        <v>25</v>
      </c>
      <c r="F160" s="6">
        <f>'PU CAST'!AI43</f>
        <v>167.44045166666666</v>
      </c>
      <c r="G160" s="7"/>
      <c r="H160" s="6" t="s">
        <v>1644</v>
      </c>
      <c r="I160" s="369">
        <f>'PU CAST'!AG43</f>
        <v>2</v>
      </c>
      <c r="J160" s="368"/>
      <c r="K160" s="367">
        <f t="shared" si="3"/>
        <v>167.44045166666666</v>
      </c>
      <c r="L160" s="367">
        <f>$F160-'PU CAST'!AH43</f>
        <v>135.773785</v>
      </c>
      <c r="M160" s="367">
        <f>IFERROR('PU CAST'!AH43*'PU CAST'!AG43,0)</f>
        <v>63.333333333333314</v>
      </c>
    </row>
    <row r="161" spans="2:13" ht="15" customHeight="1" x14ac:dyDescent="0.3">
      <c r="B161" s="4" t="s">
        <v>1685</v>
      </c>
      <c r="C161" s="4" t="s">
        <v>161</v>
      </c>
      <c r="D161" s="4" t="s">
        <v>1650</v>
      </c>
      <c r="E161" s="5" t="s">
        <v>26</v>
      </c>
      <c r="F161" s="6">
        <f>'PU CAST'!AI44</f>
        <v>288.66386166666666</v>
      </c>
      <c r="G161" s="7"/>
      <c r="H161" s="6" t="s">
        <v>1644</v>
      </c>
      <c r="I161" s="369">
        <f>'PU CAST'!AG44</f>
        <v>2</v>
      </c>
      <c r="J161" s="368"/>
      <c r="K161" s="367">
        <f t="shared" si="3"/>
        <v>288.66386166666666</v>
      </c>
      <c r="L161" s="367">
        <f>$F161-'PU CAST'!AH44</f>
        <v>256.99719500000003</v>
      </c>
      <c r="M161" s="367">
        <f>IFERROR('PU CAST'!AH44*'PU CAST'!AG44,0)</f>
        <v>63.333333333333314</v>
      </c>
    </row>
    <row r="162" spans="2:13" ht="15" customHeight="1" x14ac:dyDescent="0.3">
      <c r="B162" s="4" t="s">
        <v>1686</v>
      </c>
      <c r="C162" s="4" t="s">
        <v>161</v>
      </c>
      <c r="D162" s="4" t="s">
        <v>1650</v>
      </c>
      <c r="E162" s="5" t="s">
        <v>27</v>
      </c>
      <c r="F162" s="6">
        <f>'PU CAST'!AI45</f>
        <v>372.5182686666667</v>
      </c>
      <c r="G162" s="7"/>
      <c r="H162" s="6" t="s">
        <v>1644</v>
      </c>
      <c r="I162" s="369">
        <f>'PU CAST'!AG45</f>
        <v>2</v>
      </c>
      <c r="J162" s="368"/>
      <c r="K162" s="367">
        <f t="shared" si="3"/>
        <v>372.5182686666667</v>
      </c>
      <c r="L162" s="367">
        <f>$F162-'PU CAST'!AH45</f>
        <v>340.85160200000007</v>
      </c>
      <c r="M162" s="367">
        <f>IFERROR('PU CAST'!AH45*'PU CAST'!AG45,0)</f>
        <v>63.333333333333314</v>
      </c>
    </row>
    <row r="163" spans="2:13" ht="15" customHeight="1" x14ac:dyDescent="0.3">
      <c r="B163" s="4" t="s">
        <v>1687</v>
      </c>
      <c r="C163" s="4" t="s">
        <v>161</v>
      </c>
      <c r="D163" s="4" t="s">
        <v>1650</v>
      </c>
      <c r="E163" s="5" t="s">
        <v>28</v>
      </c>
      <c r="F163" s="6">
        <f>'PU CAST'!AI46</f>
        <v>488.30657766666673</v>
      </c>
      <c r="G163" s="7"/>
      <c r="H163" s="6" t="s">
        <v>1644</v>
      </c>
      <c r="I163" s="369">
        <f>'PU CAST'!AG46</f>
        <v>2</v>
      </c>
      <c r="J163" s="368"/>
      <c r="K163" s="367">
        <f t="shared" si="3"/>
        <v>488.30657766666673</v>
      </c>
      <c r="L163" s="367">
        <f>$F163-'PU CAST'!AH46</f>
        <v>456.6399110000001</v>
      </c>
      <c r="M163" s="367">
        <f>IFERROR('PU CAST'!AH46*'PU CAST'!AG46,0)</f>
        <v>63.333333333333314</v>
      </c>
    </row>
    <row r="164" spans="2:13" ht="15" customHeight="1" x14ac:dyDescent="0.3">
      <c r="B164" s="4" t="s">
        <v>1688</v>
      </c>
      <c r="C164" s="4" t="s">
        <v>161</v>
      </c>
      <c r="D164" s="4" t="s">
        <v>1650</v>
      </c>
      <c r="E164" s="5" t="s">
        <v>29</v>
      </c>
      <c r="F164" s="6">
        <f>'PU CAST'!AI47</f>
        <v>606.13522933333343</v>
      </c>
      <c r="G164" s="7"/>
      <c r="H164" s="6" t="s">
        <v>1644</v>
      </c>
      <c r="I164" s="369">
        <f>'PU CAST'!AG47</f>
        <v>1</v>
      </c>
      <c r="J164" s="368"/>
      <c r="K164" s="367">
        <f t="shared" si="3"/>
        <v>606.13522933333343</v>
      </c>
      <c r="L164" s="367">
        <f>$F164-'PU CAST'!AH47</f>
        <v>542.80189600000017</v>
      </c>
      <c r="M164" s="367">
        <f>IFERROR('PU CAST'!AH47*'PU CAST'!AG47,0)</f>
        <v>63.333333333333314</v>
      </c>
    </row>
    <row r="165" spans="2:13" ht="15" customHeight="1" x14ac:dyDescent="0.3">
      <c r="B165" s="4" t="s">
        <v>1689</v>
      </c>
      <c r="C165" s="4" t="s">
        <v>161</v>
      </c>
      <c r="D165" s="4" t="s">
        <v>1650</v>
      </c>
      <c r="E165" s="5" t="s">
        <v>30</v>
      </c>
      <c r="F165" s="6">
        <f>'PU CAST'!AI48</f>
        <v>642.29869266666628</v>
      </c>
      <c r="G165" s="7"/>
      <c r="H165" s="6" t="s">
        <v>1644</v>
      </c>
      <c r="I165" s="369">
        <f>'PU CAST'!AG48</f>
        <v>1</v>
      </c>
      <c r="J165" s="368"/>
      <c r="K165" s="367">
        <f t="shared" si="3"/>
        <v>642.29869266666628</v>
      </c>
      <c r="L165" s="367">
        <f>$F165-'PU CAST'!AH48</f>
        <v>515.632026</v>
      </c>
      <c r="M165" s="367">
        <f>IFERROR('PU CAST'!AH48*'PU CAST'!AG48,0)</f>
        <v>126.66666666666623</v>
      </c>
    </row>
    <row r="166" spans="2:13" ht="15" customHeight="1" x14ac:dyDescent="0.3">
      <c r="B166" s="4" t="s">
        <v>1690</v>
      </c>
      <c r="C166" s="4" t="s">
        <v>161</v>
      </c>
      <c r="D166" s="4" t="s">
        <v>1650</v>
      </c>
      <c r="E166" s="5" t="s">
        <v>31</v>
      </c>
      <c r="F166" s="6">
        <f>'PU CAST'!AI49</f>
        <v>738.80755966666629</v>
      </c>
      <c r="G166" s="7"/>
      <c r="H166" s="6" t="s">
        <v>1644</v>
      </c>
      <c r="I166" s="369">
        <f>'PU CAST'!AG49</f>
        <v>1</v>
      </c>
      <c r="J166" s="368"/>
      <c r="K166" s="367">
        <f t="shared" si="3"/>
        <v>738.80755966666629</v>
      </c>
      <c r="L166" s="367">
        <f>$F166-'PU CAST'!AH49</f>
        <v>612.14089300000001</v>
      </c>
      <c r="M166" s="367">
        <f>IFERROR('PU CAST'!AH49*'PU CAST'!AG49,0)</f>
        <v>126.66666666666623</v>
      </c>
    </row>
    <row r="167" spans="2:13" ht="15" customHeight="1" x14ac:dyDescent="0.3">
      <c r="B167" s="4" t="s">
        <v>1691</v>
      </c>
      <c r="C167" s="4" t="s">
        <v>161</v>
      </c>
      <c r="D167" s="4" t="s">
        <v>1650</v>
      </c>
      <c r="E167" s="5" t="s">
        <v>32</v>
      </c>
      <c r="F167" s="6">
        <f>'PU CAST'!AI50</f>
        <v>808.59318466666628</v>
      </c>
      <c r="G167" s="7"/>
      <c r="H167" s="6" t="s">
        <v>1644</v>
      </c>
      <c r="I167" s="369">
        <f>'PU CAST'!AG50</f>
        <v>1</v>
      </c>
      <c r="J167" s="368"/>
      <c r="K167" s="367">
        <f t="shared" ref="K167:K230" si="4">IF(OR($J167="",$J167&lt;=0),$F167,$L167+$M167/$J167)</f>
        <v>808.59318466666628</v>
      </c>
      <c r="L167" s="367">
        <f>$F167-'PU CAST'!AH50</f>
        <v>681.92651799999999</v>
      </c>
      <c r="M167" s="367">
        <f>IFERROR('PU CAST'!AH50*'PU CAST'!AG50,0)</f>
        <v>126.66666666666623</v>
      </c>
    </row>
    <row r="168" spans="2:13" ht="15" customHeight="1" x14ac:dyDescent="0.3">
      <c r="B168" s="4" t="s">
        <v>1692</v>
      </c>
      <c r="C168" s="4" t="s">
        <v>161</v>
      </c>
      <c r="D168" s="4" t="s">
        <v>1650</v>
      </c>
      <c r="E168" s="5" t="s">
        <v>33</v>
      </c>
      <c r="F168" s="6">
        <f>'PU CAST'!AI51</f>
        <v>986.38834766666628</v>
      </c>
      <c r="G168" s="7"/>
      <c r="H168" s="6" t="s">
        <v>1644</v>
      </c>
      <c r="I168" s="369">
        <f>'PU CAST'!AG51</f>
        <v>1</v>
      </c>
      <c r="J168" s="368"/>
      <c r="K168" s="367">
        <f t="shared" si="4"/>
        <v>986.38834766666628</v>
      </c>
      <c r="L168" s="367">
        <f>$F168-'PU CAST'!AH51</f>
        <v>859.72168099999999</v>
      </c>
      <c r="M168" s="367">
        <f>IFERROR('PU CAST'!AH51*'PU CAST'!AG51,0)</f>
        <v>126.66666666666623</v>
      </c>
    </row>
    <row r="169" spans="2:13" ht="15" customHeight="1" x14ac:dyDescent="0.3">
      <c r="B169" s="4" t="s">
        <v>1693</v>
      </c>
      <c r="C169" s="4" t="s">
        <v>161</v>
      </c>
      <c r="D169" s="4" t="s">
        <v>1650</v>
      </c>
      <c r="E169" s="5" t="s">
        <v>34</v>
      </c>
      <c r="F169" s="6">
        <f>'PU CAST'!AI52</f>
        <v>1157.5585286666662</v>
      </c>
      <c r="G169" s="7"/>
      <c r="H169" s="6" t="s">
        <v>1644</v>
      </c>
      <c r="I169" s="369">
        <f>'PU CAST'!AG52</f>
        <v>1</v>
      </c>
      <c r="J169" s="368"/>
      <c r="K169" s="367">
        <f t="shared" si="4"/>
        <v>1157.5585286666662</v>
      </c>
      <c r="L169" s="367">
        <f>$F169-'PU CAST'!AH52</f>
        <v>1030.8918619999999</v>
      </c>
      <c r="M169" s="367">
        <f>IFERROR('PU CAST'!AH52*'PU CAST'!AG52,0)</f>
        <v>126.66666666666623</v>
      </c>
    </row>
    <row r="170" spans="2:13" ht="15" customHeight="1" x14ac:dyDescent="0.3">
      <c r="B170" s="4" t="s">
        <v>1694</v>
      </c>
      <c r="C170" s="4" t="s">
        <v>161</v>
      </c>
      <c r="D170" s="4" t="s">
        <v>1650</v>
      </c>
      <c r="E170" s="5" t="s">
        <v>35</v>
      </c>
      <c r="F170" s="6">
        <f>'PU CAST'!AI53</f>
        <v>1476.4509206666662</v>
      </c>
      <c r="G170" s="7"/>
      <c r="H170" s="6" t="s">
        <v>1644</v>
      </c>
      <c r="I170" s="369">
        <f>'PU CAST'!AG53</f>
        <v>1</v>
      </c>
      <c r="J170" s="368"/>
      <c r="K170" s="367">
        <f t="shared" si="4"/>
        <v>1476.4509206666662</v>
      </c>
      <c r="L170" s="367">
        <f>$F170-'PU CAST'!AH53</f>
        <v>1349.7842539999999</v>
      </c>
      <c r="M170" s="367">
        <f>IFERROR('PU CAST'!AH53*'PU CAST'!AG53,0)</f>
        <v>126.66666666666623</v>
      </c>
    </row>
    <row r="171" spans="2:13" ht="15" customHeight="1" x14ac:dyDescent="0.3">
      <c r="B171" s="4" t="s">
        <v>1695</v>
      </c>
      <c r="C171" s="4" t="s">
        <v>162</v>
      </c>
      <c r="D171" s="4" t="s">
        <v>1650</v>
      </c>
      <c r="E171" s="5" t="s">
        <v>14</v>
      </c>
      <c r="F171" s="6">
        <f>'PU CAST'!AI54</f>
        <v>19.43333333333333</v>
      </c>
      <c r="G171" s="7"/>
      <c r="H171" s="6" t="s">
        <v>1644</v>
      </c>
      <c r="I171" s="369">
        <f>'PU CAST'!AG54</f>
        <v>4</v>
      </c>
      <c r="J171" s="368"/>
      <c r="K171" s="367">
        <f t="shared" si="4"/>
        <v>19.43333333333333</v>
      </c>
      <c r="L171" s="367">
        <f>$F171-'PU CAST'!AH54</f>
        <v>3.6000000000000014</v>
      </c>
      <c r="M171" s="367">
        <f>IFERROR('PU CAST'!AH54*'PU CAST'!AG54,0)</f>
        <v>63.333333333333314</v>
      </c>
    </row>
    <row r="172" spans="2:13" ht="15" customHeight="1" x14ac:dyDescent="0.3">
      <c r="B172" s="4" t="s">
        <v>1696</v>
      </c>
      <c r="C172" s="4" t="s">
        <v>162</v>
      </c>
      <c r="D172" s="4" t="s">
        <v>1650</v>
      </c>
      <c r="E172" s="5" t="s">
        <v>15</v>
      </c>
      <c r="F172" s="6">
        <f>'PU CAST'!AI55</f>
        <v>19.633333333333329</v>
      </c>
      <c r="G172" s="7"/>
      <c r="H172" s="6" t="s">
        <v>1644</v>
      </c>
      <c r="I172" s="369">
        <f>'PU CAST'!AG55</f>
        <v>4</v>
      </c>
      <c r="J172" s="368"/>
      <c r="K172" s="367">
        <f t="shared" si="4"/>
        <v>19.633333333333329</v>
      </c>
      <c r="L172" s="367">
        <f>$F172-'PU CAST'!AH55</f>
        <v>3.8000000000000007</v>
      </c>
      <c r="M172" s="367">
        <f>IFERROR('PU CAST'!AH55*'PU CAST'!AG55,0)</f>
        <v>63.333333333333314</v>
      </c>
    </row>
    <row r="173" spans="2:13" ht="15" customHeight="1" x14ac:dyDescent="0.3">
      <c r="B173" s="4" t="s">
        <v>1697</v>
      </c>
      <c r="C173" s="4" t="s">
        <v>162</v>
      </c>
      <c r="D173" s="4" t="s">
        <v>1650</v>
      </c>
      <c r="E173" s="5" t="s">
        <v>16</v>
      </c>
      <c r="F173" s="6">
        <f>'PU CAST'!AI56</f>
        <v>19.833333333333329</v>
      </c>
      <c r="G173" s="7"/>
      <c r="H173" s="6" t="s">
        <v>1644</v>
      </c>
      <c r="I173" s="369">
        <f>'PU CAST'!AG56</f>
        <v>4</v>
      </c>
      <c r="J173" s="368"/>
      <c r="K173" s="367">
        <f t="shared" si="4"/>
        <v>19.833333333333329</v>
      </c>
      <c r="L173" s="367">
        <f>$F173-'PU CAST'!AH56</f>
        <v>4</v>
      </c>
      <c r="M173" s="367">
        <f>IFERROR('PU CAST'!AH56*'PU CAST'!AG56,0)</f>
        <v>63.333333333333314</v>
      </c>
    </row>
    <row r="174" spans="2:13" ht="15" customHeight="1" x14ac:dyDescent="0.3">
      <c r="B174" s="4" t="s">
        <v>1698</v>
      </c>
      <c r="C174" s="4" t="s">
        <v>162</v>
      </c>
      <c r="D174" s="4" t="s">
        <v>1650</v>
      </c>
      <c r="E174" s="5" t="s">
        <v>17</v>
      </c>
      <c r="F174" s="6">
        <f>'PU CAST'!AI57</f>
        <v>23.696106111111103</v>
      </c>
      <c r="G174" s="7"/>
      <c r="H174" s="6" t="s">
        <v>1644</v>
      </c>
      <c r="I174" s="369">
        <f>'PU CAST'!AG57</f>
        <v>3</v>
      </c>
      <c r="J174" s="368"/>
      <c r="K174" s="367">
        <f t="shared" si="4"/>
        <v>23.696106111111103</v>
      </c>
      <c r="L174" s="367">
        <f>$F174-'PU CAST'!AH57</f>
        <v>2.5849949999999993</v>
      </c>
      <c r="M174" s="367">
        <f>IFERROR('PU CAST'!AH57*'PU CAST'!AG57,0)</f>
        <v>63.333333333333314</v>
      </c>
    </row>
    <row r="175" spans="2:13" ht="15" customHeight="1" x14ac:dyDescent="0.3">
      <c r="B175" s="4" t="s">
        <v>1699</v>
      </c>
      <c r="C175" s="4" t="s">
        <v>162</v>
      </c>
      <c r="D175" s="4" t="s">
        <v>1650</v>
      </c>
      <c r="E175" s="5" t="s">
        <v>18</v>
      </c>
      <c r="F175" s="6">
        <f>'PU CAST'!AI58</f>
        <v>26.059530111111105</v>
      </c>
      <c r="G175" s="7"/>
      <c r="H175" s="6" t="s">
        <v>1644</v>
      </c>
      <c r="I175" s="369">
        <f>'PU CAST'!AG58</f>
        <v>3</v>
      </c>
      <c r="J175" s="368"/>
      <c r="K175" s="367">
        <f t="shared" si="4"/>
        <v>26.059530111111105</v>
      </c>
      <c r="L175" s="367">
        <f>$F175-'PU CAST'!AH58</f>
        <v>4.9484190000000012</v>
      </c>
      <c r="M175" s="367">
        <f>IFERROR('PU CAST'!AH58*'PU CAST'!AG58,0)</f>
        <v>63.333333333333314</v>
      </c>
    </row>
    <row r="176" spans="2:13" ht="15" customHeight="1" x14ac:dyDescent="0.3">
      <c r="B176" s="4" t="s">
        <v>1700</v>
      </c>
      <c r="C176" s="4" t="s">
        <v>162</v>
      </c>
      <c r="D176" s="4" t="s">
        <v>1650</v>
      </c>
      <c r="E176" s="5" t="s">
        <v>19</v>
      </c>
      <c r="F176" s="6">
        <f>'PU CAST'!AI59</f>
        <v>27.536670111111103</v>
      </c>
      <c r="G176" s="7"/>
      <c r="H176" s="6" t="s">
        <v>1644</v>
      </c>
      <c r="I176" s="369">
        <f>'PU CAST'!AG59</f>
        <v>3</v>
      </c>
      <c r="J176" s="368"/>
      <c r="K176" s="367">
        <f t="shared" si="4"/>
        <v>27.536670111111103</v>
      </c>
      <c r="L176" s="367">
        <f>$F176-'PU CAST'!AH59</f>
        <v>6.4255589999999998</v>
      </c>
      <c r="M176" s="367">
        <f>IFERROR('PU CAST'!AH59*'PU CAST'!AG59,0)</f>
        <v>63.333333333333314</v>
      </c>
    </row>
    <row r="177" spans="2:13" ht="15" customHeight="1" x14ac:dyDescent="0.3">
      <c r="B177" s="4" t="s">
        <v>1701</v>
      </c>
      <c r="C177" s="4" t="s">
        <v>162</v>
      </c>
      <c r="D177" s="4" t="s">
        <v>1650</v>
      </c>
      <c r="E177" s="5" t="s">
        <v>20</v>
      </c>
      <c r="F177" s="6">
        <f>'PU CAST'!AI60</f>
        <v>42.055884666666657</v>
      </c>
      <c r="G177" s="7"/>
      <c r="H177" s="6" t="s">
        <v>1644</v>
      </c>
      <c r="I177" s="369">
        <f>'PU CAST'!AG60</f>
        <v>2</v>
      </c>
      <c r="J177" s="368"/>
      <c r="K177" s="367">
        <f t="shared" si="4"/>
        <v>42.055884666666657</v>
      </c>
      <c r="L177" s="367">
        <f>$F177-'PU CAST'!AH60</f>
        <v>10.389218</v>
      </c>
      <c r="M177" s="367">
        <f>IFERROR('PU CAST'!AH60*'PU CAST'!AG60,0)</f>
        <v>63.333333333333314</v>
      </c>
    </row>
    <row r="178" spans="2:13" ht="15" customHeight="1" x14ac:dyDescent="0.3">
      <c r="B178" s="4" t="s">
        <v>1702</v>
      </c>
      <c r="C178" s="4" t="s">
        <v>162</v>
      </c>
      <c r="D178" s="4" t="s">
        <v>1650</v>
      </c>
      <c r="E178" s="5" t="s">
        <v>21</v>
      </c>
      <c r="F178" s="6">
        <f>'PU CAST'!AI61</f>
        <v>47.693635666666658</v>
      </c>
      <c r="G178" s="7"/>
      <c r="H178" s="6" t="s">
        <v>1644</v>
      </c>
      <c r="I178" s="369">
        <f>'PU CAST'!AG61</f>
        <v>2</v>
      </c>
      <c r="J178" s="368"/>
      <c r="K178" s="367">
        <f t="shared" si="4"/>
        <v>47.693635666666658</v>
      </c>
      <c r="L178" s="367">
        <f>$F178-'PU CAST'!AH61</f>
        <v>16.026969000000001</v>
      </c>
      <c r="M178" s="367">
        <f>IFERROR('PU CAST'!AH61*'PU CAST'!AG61,0)</f>
        <v>63.333333333333314</v>
      </c>
    </row>
    <row r="179" spans="2:13" ht="15" customHeight="1" x14ac:dyDescent="0.3">
      <c r="B179" s="4" t="s">
        <v>1703</v>
      </c>
      <c r="C179" s="4" t="s">
        <v>162</v>
      </c>
      <c r="D179" s="4" t="s">
        <v>1650</v>
      </c>
      <c r="E179" s="5" t="s">
        <v>22</v>
      </c>
      <c r="F179" s="6">
        <f>'PU CAST'!AI62</f>
        <v>56.974998666666657</v>
      </c>
      <c r="G179" s="7"/>
      <c r="H179" s="6" t="s">
        <v>1644</v>
      </c>
      <c r="I179" s="369">
        <f>'PU CAST'!AG62</f>
        <v>2</v>
      </c>
      <c r="J179" s="368"/>
      <c r="K179" s="367">
        <f t="shared" si="4"/>
        <v>56.974998666666657</v>
      </c>
      <c r="L179" s="367">
        <f>$F179-'PU CAST'!AH62</f>
        <v>25.308332</v>
      </c>
      <c r="M179" s="367">
        <f>IFERROR('PU CAST'!AH62*'PU CAST'!AG62,0)</f>
        <v>63.333333333333314</v>
      </c>
    </row>
    <row r="180" spans="2:13" ht="15" customHeight="1" x14ac:dyDescent="0.3">
      <c r="B180" s="4" t="s">
        <v>1704</v>
      </c>
      <c r="C180" s="4" t="s">
        <v>162</v>
      </c>
      <c r="D180" s="4" t="s">
        <v>1650</v>
      </c>
      <c r="E180" s="5" t="s">
        <v>23</v>
      </c>
      <c r="F180" s="6">
        <f>'PU CAST'!AI63</f>
        <v>63.400557666666657</v>
      </c>
      <c r="G180" s="7"/>
      <c r="H180" s="6" t="s">
        <v>1644</v>
      </c>
      <c r="I180" s="369">
        <f>'PU CAST'!AG63</f>
        <v>2</v>
      </c>
      <c r="J180" s="368"/>
      <c r="K180" s="367">
        <f t="shared" si="4"/>
        <v>63.400557666666657</v>
      </c>
      <c r="L180" s="367">
        <f>$F180-'PU CAST'!AH63</f>
        <v>31.733891</v>
      </c>
      <c r="M180" s="367">
        <f>IFERROR('PU CAST'!AH63*'PU CAST'!AG63,0)</f>
        <v>63.333333333333314</v>
      </c>
    </row>
    <row r="181" spans="2:13" ht="15" customHeight="1" x14ac:dyDescent="0.3">
      <c r="B181" s="4" t="s">
        <v>1705</v>
      </c>
      <c r="C181" s="4" t="s">
        <v>162</v>
      </c>
      <c r="D181" s="4" t="s">
        <v>1650</v>
      </c>
      <c r="E181" s="5" t="s">
        <v>24</v>
      </c>
      <c r="F181" s="6">
        <f>'PU CAST'!AI64</f>
        <v>70.195401666666669</v>
      </c>
      <c r="G181" s="7"/>
      <c r="H181" s="6" t="s">
        <v>1644</v>
      </c>
      <c r="I181" s="369">
        <f>'PU CAST'!AG64</f>
        <v>2</v>
      </c>
      <c r="J181" s="368"/>
      <c r="K181" s="367">
        <f t="shared" si="4"/>
        <v>70.195401666666669</v>
      </c>
      <c r="L181" s="367">
        <f>$F181-'PU CAST'!AH64</f>
        <v>38.528735000000012</v>
      </c>
      <c r="M181" s="367">
        <f>IFERROR('PU CAST'!AH64*'PU CAST'!AG64,0)</f>
        <v>63.333333333333314</v>
      </c>
    </row>
    <row r="182" spans="2:13" ht="15" customHeight="1" x14ac:dyDescent="0.3">
      <c r="B182" s="4" t="s">
        <v>1706</v>
      </c>
      <c r="C182" s="4" t="s">
        <v>162</v>
      </c>
      <c r="D182" s="4" t="s">
        <v>1650</v>
      </c>
      <c r="E182" s="5" t="s">
        <v>25</v>
      </c>
      <c r="F182" s="6">
        <f>'PU CAST'!AI65</f>
        <v>95.676066666666657</v>
      </c>
      <c r="G182" s="7"/>
      <c r="H182" s="6" t="s">
        <v>1644</v>
      </c>
      <c r="I182" s="369">
        <f>'PU CAST'!AG65</f>
        <v>2</v>
      </c>
      <c r="J182" s="368"/>
      <c r="K182" s="367">
        <f t="shared" si="4"/>
        <v>95.676066666666657</v>
      </c>
      <c r="L182" s="367">
        <f>$F182-'PU CAST'!AH65</f>
        <v>64.009399999999999</v>
      </c>
      <c r="M182" s="367">
        <f>IFERROR('PU CAST'!AH65*'PU CAST'!AG65,0)</f>
        <v>63.333333333333314</v>
      </c>
    </row>
    <row r="183" spans="2:13" ht="15" customHeight="1" x14ac:dyDescent="0.3">
      <c r="B183" s="4" t="s">
        <v>1707</v>
      </c>
      <c r="C183" s="4" t="s">
        <v>162</v>
      </c>
      <c r="D183" s="4" t="s">
        <v>1650</v>
      </c>
      <c r="E183" s="5" t="s">
        <v>26</v>
      </c>
      <c r="F183" s="6">
        <f>'PU CAST'!AI66</f>
        <v>101.01838966666666</v>
      </c>
      <c r="G183" s="7"/>
      <c r="H183" s="6" t="s">
        <v>1644</v>
      </c>
      <c r="I183" s="369">
        <f>'PU CAST'!AG66</f>
        <v>2</v>
      </c>
      <c r="J183" s="368"/>
      <c r="K183" s="367">
        <f t="shared" si="4"/>
        <v>101.01838966666666</v>
      </c>
      <c r="L183" s="367">
        <f>$F183-'PU CAST'!AH66</f>
        <v>69.351723000000007</v>
      </c>
      <c r="M183" s="367">
        <f>IFERROR('PU CAST'!AH66*'PU CAST'!AG66,0)</f>
        <v>63.333333333333314</v>
      </c>
    </row>
    <row r="184" spans="2:13" ht="15" customHeight="1" x14ac:dyDescent="0.3">
      <c r="B184" s="4" t="s">
        <v>1708</v>
      </c>
      <c r="C184" s="4" t="s">
        <v>162</v>
      </c>
      <c r="D184" s="4" t="s">
        <v>1650</v>
      </c>
      <c r="E184" s="5" t="s">
        <v>27</v>
      </c>
      <c r="F184" s="6">
        <f>'PU CAST'!AI67</f>
        <v>101.01838966666666</v>
      </c>
      <c r="G184" s="7"/>
      <c r="H184" s="6" t="s">
        <v>1644</v>
      </c>
      <c r="I184" s="369">
        <f>'PU CAST'!AG67</f>
        <v>2</v>
      </c>
      <c r="J184" s="368"/>
      <c r="K184" s="367">
        <f t="shared" si="4"/>
        <v>101.01838966666666</v>
      </c>
      <c r="L184" s="367">
        <f>$F184-'PU CAST'!AH67</f>
        <v>69.351723000000007</v>
      </c>
      <c r="M184" s="367">
        <f>IFERROR('PU CAST'!AH67*'PU CAST'!AG67,0)</f>
        <v>63.333333333333314</v>
      </c>
    </row>
    <row r="185" spans="2:13" ht="15" customHeight="1" x14ac:dyDescent="0.3">
      <c r="B185" s="4" t="s">
        <v>1709</v>
      </c>
      <c r="C185" s="4" t="s">
        <v>162</v>
      </c>
      <c r="D185" s="4" t="s">
        <v>1650</v>
      </c>
      <c r="E185" s="5" t="s">
        <v>28</v>
      </c>
      <c r="F185" s="6">
        <f>'PU CAST'!AI68</f>
        <v>112.41698666666665</v>
      </c>
      <c r="G185" s="7"/>
      <c r="H185" s="6" t="s">
        <v>1644</v>
      </c>
      <c r="I185" s="369">
        <f>'PU CAST'!AG68</f>
        <v>2</v>
      </c>
      <c r="J185" s="368"/>
      <c r="K185" s="367">
        <f t="shared" si="4"/>
        <v>112.41698666666665</v>
      </c>
      <c r="L185" s="367">
        <f>$F185-'PU CAST'!AH68</f>
        <v>80.750319999999988</v>
      </c>
      <c r="M185" s="367">
        <f>IFERROR('PU CAST'!AH68*'PU CAST'!AG68,0)</f>
        <v>63.333333333333314</v>
      </c>
    </row>
    <row r="186" spans="2:13" ht="15" customHeight="1" x14ac:dyDescent="0.3">
      <c r="B186" s="4" t="s">
        <v>1710</v>
      </c>
      <c r="C186" s="4" t="s">
        <v>162</v>
      </c>
      <c r="D186" s="4" t="s">
        <v>1650</v>
      </c>
      <c r="E186" s="5" t="s">
        <v>29</v>
      </c>
      <c r="F186" s="6">
        <f>'PU CAST'!AI69</f>
        <v>144.0836533333333</v>
      </c>
      <c r="G186" s="7"/>
      <c r="H186" s="6" t="s">
        <v>1644</v>
      </c>
      <c r="I186" s="369">
        <f>'PU CAST'!AG69</f>
        <v>1</v>
      </c>
      <c r="J186" s="368"/>
      <c r="K186" s="367">
        <f t="shared" si="4"/>
        <v>144.0836533333333</v>
      </c>
      <c r="L186" s="367">
        <f>$F186-'PU CAST'!AH69</f>
        <v>80.750319999999988</v>
      </c>
      <c r="M186" s="367">
        <f>IFERROR('PU CAST'!AH69*'PU CAST'!AG69,0)</f>
        <v>63.333333333333314</v>
      </c>
    </row>
    <row r="187" spans="2:13" ht="15" customHeight="1" x14ac:dyDescent="0.3">
      <c r="B187" s="4" t="s">
        <v>1711</v>
      </c>
      <c r="C187" s="4" t="s">
        <v>162</v>
      </c>
      <c r="D187" s="4" t="s">
        <v>1650</v>
      </c>
      <c r="E187" s="5" t="s">
        <v>30</v>
      </c>
      <c r="F187" s="6">
        <f>'PU CAST'!AI70</f>
        <v>239.93748833333333</v>
      </c>
      <c r="G187" s="7"/>
      <c r="H187" s="6" t="s">
        <v>1644</v>
      </c>
      <c r="I187" s="369">
        <f>'PU CAST'!AG70</f>
        <v>1</v>
      </c>
      <c r="J187" s="368"/>
      <c r="K187" s="367">
        <f t="shared" si="4"/>
        <v>239.93748833333333</v>
      </c>
      <c r="L187" s="367">
        <f>$F187-'PU CAST'!AH70</f>
        <v>176.60415500000002</v>
      </c>
      <c r="M187" s="367">
        <f>IFERROR('PU CAST'!AH70*'PU CAST'!AG70,0)</f>
        <v>63.333333333333314</v>
      </c>
    </row>
    <row r="188" spans="2:13" ht="15" customHeight="1" x14ac:dyDescent="0.3">
      <c r="B188" s="4" t="s">
        <v>1712</v>
      </c>
      <c r="C188" s="4" t="s">
        <v>162</v>
      </c>
      <c r="D188" s="4" t="s">
        <v>1650</v>
      </c>
      <c r="E188" s="5" t="s">
        <v>31</v>
      </c>
      <c r="F188" s="6">
        <f>'PU CAST'!AI71</f>
        <v>239.93748833333333</v>
      </c>
      <c r="G188" s="7"/>
      <c r="H188" s="6" t="s">
        <v>1644</v>
      </c>
      <c r="I188" s="369">
        <f>'PU CAST'!AG71</f>
        <v>1</v>
      </c>
      <c r="J188" s="368"/>
      <c r="K188" s="367">
        <f t="shared" si="4"/>
        <v>239.93748833333333</v>
      </c>
      <c r="L188" s="367">
        <f>$F188-'PU CAST'!AH71</f>
        <v>176.60415500000002</v>
      </c>
      <c r="M188" s="367">
        <f>IFERROR('PU CAST'!AH71*'PU CAST'!AG71,0)</f>
        <v>63.333333333333314</v>
      </c>
    </row>
    <row r="189" spans="2:13" ht="15" customHeight="1" x14ac:dyDescent="0.3">
      <c r="B189" s="4" t="s">
        <v>1713</v>
      </c>
      <c r="C189" s="4" t="s">
        <v>162</v>
      </c>
      <c r="D189" s="4" t="s">
        <v>1650</v>
      </c>
      <c r="E189" s="5" t="s">
        <v>32</v>
      </c>
      <c r="F189" s="6">
        <f>'PU CAST'!AI72</f>
        <v>441.77612533333331</v>
      </c>
      <c r="G189" s="7"/>
      <c r="H189" s="6" t="s">
        <v>1644</v>
      </c>
      <c r="I189" s="369">
        <f>'PU CAST'!AG72</f>
        <v>1</v>
      </c>
      <c r="J189" s="368"/>
      <c r="K189" s="367">
        <f t="shared" si="4"/>
        <v>441.77612533333331</v>
      </c>
      <c r="L189" s="367">
        <f>$F189-'PU CAST'!AH72</f>
        <v>378.442792</v>
      </c>
      <c r="M189" s="367">
        <f>IFERROR('PU CAST'!AH72*'PU CAST'!AG72,0)</f>
        <v>63.333333333333314</v>
      </c>
    </row>
    <row r="190" spans="2:13" ht="15" customHeight="1" x14ac:dyDescent="0.3">
      <c r="B190" s="4" t="s">
        <v>1714</v>
      </c>
      <c r="C190" s="4" t="s">
        <v>162</v>
      </c>
      <c r="D190" s="4" t="s">
        <v>1650</v>
      </c>
      <c r="E190" s="5" t="s">
        <v>33</v>
      </c>
      <c r="F190" s="6">
        <f>'PU CAST'!AI73</f>
        <v>441.77612533333331</v>
      </c>
      <c r="G190" s="7"/>
      <c r="H190" s="6" t="s">
        <v>1644</v>
      </c>
      <c r="I190" s="369">
        <f>'PU CAST'!AG73</f>
        <v>1</v>
      </c>
      <c r="J190" s="368"/>
      <c r="K190" s="367">
        <f t="shared" si="4"/>
        <v>441.77612533333331</v>
      </c>
      <c r="L190" s="367">
        <f>$F190-'PU CAST'!AH73</f>
        <v>378.442792</v>
      </c>
      <c r="M190" s="367">
        <f>IFERROR('PU CAST'!AH73*'PU CAST'!AG73,0)</f>
        <v>63.333333333333314</v>
      </c>
    </row>
    <row r="191" spans="2:13" ht="15" customHeight="1" x14ac:dyDescent="0.3">
      <c r="B191" s="4" t="s">
        <v>1715</v>
      </c>
      <c r="C191" s="4" t="s">
        <v>162</v>
      </c>
      <c r="D191" s="4" t="s">
        <v>1650</v>
      </c>
      <c r="E191" s="5" t="s">
        <v>34</v>
      </c>
      <c r="F191" s="6">
        <f>'PU CAST'!AI74</f>
        <v>523.3973923333333</v>
      </c>
      <c r="G191" s="7"/>
      <c r="H191" s="6" t="s">
        <v>1644</v>
      </c>
      <c r="I191" s="369">
        <f>'PU CAST'!AG74</f>
        <v>1</v>
      </c>
      <c r="J191" s="368"/>
      <c r="K191" s="367">
        <f t="shared" si="4"/>
        <v>523.3973923333333</v>
      </c>
      <c r="L191" s="367">
        <f>$F191-'PU CAST'!AH74</f>
        <v>460.06405899999999</v>
      </c>
      <c r="M191" s="367">
        <f>IFERROR('PU CAST'!AH74*'PU CAST'!AG74,0)</f>
        <v>63.333333333333314</v>
      </c>
    </row>
    <row r="192" spans="2:13" ht="15" customHeight="1" x14ac:dyDescent="0.3">
      <c r="B192" s="4" t="s">
        <v>1716</v>
      </c>
      <c r="C192" s="4" t="s">
        <v>162</v>
      </c>
      <c r="D192" s="4" t="s">
        <v>1650</v>
      </c>
      <c r="E192" s="5" t="s">
        <v>35</v>
      </c>
      <c r="F192" s="6">
        <f>'PU CAST'!AI75</f>
        <v>574.53629833333332</v>
      </c>
      <c r="G192" s="7"/>
      <c r="H192" s="6" t="s">
        <v>1644</v>
      </c>
      <c r="I192" s="369">
        <f>'PU CAST'!AG75</f>
        <v>1</v>
      </c>
      <c r="J192" s="368"/>
      <c r="K192" s="367">
        <f t="shared" si="4"/>
        <v>574.53629833333332</v>
      </c>
      <c r="L192" s="367">
        <f>$F192-'PU CAST'!AH75</f>
        <v>511.20296500000001</v>
      </c>
      <c r="M192" s="367">
        <f>IFERROR('PU CAST'!AH75*'PU CAST'!AG75,0)</f>
        <v>63.333333333333314</v>
      </c>
    </row>
    <row r="193" spans="2:13" ht="23.25" customHeight="1" x14ac:dyDescent="0.3">
      <c r="B193" s="4" t="s">
        <v>1717</v>
      </c>
      <c r="C193" s="4" t="s">
        <v>163</v>
      </c>
      <c r="D193" s="4" t="s">
        <v>1650</v>
      </c>
      <c r="E193" s="5" t="s">
        <v>14</v>
      </c>
      <c r="F193" s="6">
        <f>'PU CAST'!AI76</f>
        <v>142.31925084666653</v>
      </c>
      <c r="G193" s="7"/>
      <c r="H193" s="6" t="s">
        <v>1644</v>
      </c>
      <c r="I193" s="369">
        <f>'PU CAST'!AG76</f>
        <v>1</v>
      </c>
      <c r="J193" s="368"/>
      <c r="K193" s="367">
        <f t="shared" si="4"/>
        <v>142.31925084666653</v>
      </c>
      <c r="L193" s="367">
        <f>$F193-'PU CAST'!AH76</f>
        <v>5.652584179999991</v>
      </c>
      <c r="M193" s="367">
        <f>IFERROR('PU CAST'!AH76*'PU CAST'!AG76,0)</f>
        <v>136.66666666666654</v>
      </c>
    </row>
    <row r="194" spans="2:13" ht="23.25" customHeight="1" x14ac:dyDescent="0.3">
      <c r="B194" s="4" t="s">
        <v>1718</v>
      </c>
      <c r="C194" s="4" t="s">
        <v>163</v>
      </c>
      <c r="D194" s="4" t="s">
        <v>1650</v>
      </c>
      <c r="E194" s="5" t="s">
        <v>15</v>
      </c>
      <c r="F194" s="6">
        <f>'PU CAST'!AI77</f>
        <v>151.68860270666653</v>
      </c>
      <c r="G194" s="7"/>
      <c r="H194" s="6" t="s">
        <v>1644</v>
      </c>
      <c r="I194" s="369">
        <f>'PU CAST'!AG77</f>
        <v>1</v>
      </c>
      <c r="J194" s="368"/>
      <c r="K194" s="367">
        <f t="shared" si="4"/>
        <v>151.68860270666653</v>
      </c>
      <c r="L194" s="367">
        <f>$F194-'PU CAST'!AH77</f>
        <v>15.021936039999986</v>
      </c>
      <c r="M194" s="367">
        <f>IFERROR('PU CAST'!AH77*'PU CAST'!AG77,0)</f>
        <v>136.66666666666654</v>
      </c>
    </row>
    <row r="195" spans="2:13" ht="23.25" customHeight="1" x14ac:dyDescent="0.3">
      <c r="B195" s="4" t="s">
        <v>1719</v>
      </c>
      <c r="C195" s="4" t="s">
        <v>163</v>
      </c>
      <c r="D195" s="4" t="s">
        <v>1650</v>
      </c>
      <c r="E195" s="5" t="s">
        <v>16</v>
      </c>
      <c r="F195" s="6">
        <f>'PU CAST'!AI78</f>
        <v>175.38299666666654</v>
      </c>
      <c r="G195" s="7"/>
      <c r="H195" s="6" t="s">
        <v>1644</v>
      </c>
      <c r="I195" s="369">
        <f>'PU CAST'!AG78</f>
        <v>1</v>
      </c>
      <c r="J195" s="368"/>
      <c r="K195" s="367">
        <f t="shared" si="4"/>
        <v>175.38299666666654</v>
      </c>
      <c r="L195" s="367">
        <f>$F195-'PU CAST'!AH78</f>
        <v>38.716329999999999</v>
      </c>
      <c r="M195" s="367">
        <f>IFERROR('PU CAST'!AH78*'PU CAST'!AG78,0)</f>
        <v>136.66666666666654</v>
      </c>
    </row>
    <row r="196" spans="2:13" ht="23.25" customHeight="1" x14ac:dyDescent="0.3">
      <c r="B196" s="4" t="s">
        <v>1720</v>
      </c>
      <c r="C196" s="4" t="s">
        <v>163</v>
      </c>
      <c r="D196" s="4" t="s">
        <v>1650</v>
      </c>
      <c r="E196" s="5" t="s">
        <v>17</v>
      </c>
      <c r="F196" s="6">
        <f>'PU CAST'!AI79</f>
        <v>272.17382166666653</v>
      </c>
      <c r="G196" s="7"/>
      <c r="H196" s="6" t="s">
        <v>1644</v>
      </c>
      <c r="I196" s="369">
        <f>'PU CAST'!AG79</f>
        <v>1</v>
      </c>
      <c r="J196" s="368"/>
      <c r="K196" s="367">
        <f t="shared" si="4"/>
        <v>272.17382166666653</v>
      </c>
      <c r="L196" s="367">
        <f>$F196-'PU CAST'!AH79</f>
        <v>135.50715499999998</v>
      </c>
      <c r="M196" s="367">
        <f>IFERROR('PU CAST'!AH79*'PU CAST'!AG79,0)</f>
        <v>136.66666666666654</v>
      </c>
    </row>
    <row r="197" spans="2:13" ht="23.25" customHeight="1" x14ac:dyDescent="0.3">
      <c r="B197" s="4" t="s">
        <v>1721</v>
      </c>
      <c r="C197" s="4" t="s">
        <v>163</v>
      </c>
      <c r="D197" s="4" t="s">
        <v>1650</v>
      </c>
      <c r="E197" s="5" t="s">
        <v>18</v>
      </c>
      <c r="F197" s="6">
        <f>'PU CAST'!AI80</f>
        <v>411.55260966666651</v>
      </c>
      <c r="G197" s="7"/>
      <c r="H197" s="6" t="s">
        <v>1644</v>
      </c>
      <c r="I197" s="369">
        <f>'PU CAST'!AG80</f>
        <v>1</v>
      </c>
      <c r="J197" s="368"/>
      <c r="K197" s="367">
        <f t="shared" si="4"/>
        <v>411.55260966666651</v>
      </c>
      <c r="L197" s="367">
        <f>$F197-'PU CAST'!AH80</f>
        <v>274.885943</v>
      </c>
      <c r="M197" s="367">
        <f>IFERROR('PU CAST'!AH80*'PU CAST'!AG80,0)</f>
        <v>136.66666666666654</v>
      </c>
    </row>
    <row r="198" spans="2:13" ht="23.25" customHeight="1" x14ac:dyDescent="0.3">
      <c r="B198" s="4" t="s">
        <v>1722</v>
      </c>
      <c r="C198" s="4" t="s">
        <v>163</v>
      </c>
      <c r="D198" s="4" t="s">
        <v>1650</v>
      </c>
      <c r="E198" s="5" t="s">
        <v>19</v>
      </c>
      <c r="F198" s="6">
        <f>'PU CAST'!AI81</f>
        <v>562.54629666666654</v>
      </c>
      <c r="G198" s="7"/>
      <c r="H198" s="6" t="s">
        <v>1644</v>
      </c>
      <c r="I198" s="369">
        <f>'PU CAST'!AG81</f>
        <v>1</v>
      </c>
      <c r="J198" s="368"/>
      <c r="K198" s="367">
        <f t="shared" si="4"/>
        <v>562.54629666666654</v>
      </c>
      <c r="L198" s="367">
        <f>$F198-'PU CAST'!AH81</f>
        <v>425.87963000000002</v>
      </c>
      <c r="M198" s="367">
        <f>IFERROR('PU CAST'!AH81*'PU CAST'!AG81,0)</f>
        <v>136.66666666666654</v>
      </c>
    </row>
    <row r="199" spans="2:13" ht="23.25" customHeight="1" x14ac:dyDescent="0.3">
      <c r="B199" s="4" t="s">
        <v>1723</v>
      </c>
      <c r="C199" s="4" t="s">
        <v>163</v>
      </c>
      <c r="D199" s="4" t="s">
        <v>1650</v>
      </c>
      <c r="E199" s="5" t="s">
        <v>20</v>
      </c>
      <c r="F199" s="6">
        <f>'PU CAST'!AI82</f>
        <v>751.7180139999997</v>
      </c>
      <c r="G199" s="7"/>
      <c r="H199" s="6" t="s">
        <v>1644</v>
      </c>
      <c r="I199" s="369">
        <f>'PU CAST'!AG82</f>
        <v>1</v>
      </c>
      <c r="J199" s="368"/>
      <c r="K199" s="367">
        <f t="shared" si="4"/>
        <v>751.7180139999997</v>
      </c>
      <c r="L199" s="367">
        <f>$F199-'PU CAST'!AH82</f>
        <v>611.71801400000004</v>
      </c>
      <c r="M199" s="367">
        <f>IFERROR('PU CAST'!AH82*'PU CAST'!AG82,0)</f>
        <v>139.99999999999969</v>
      </c>
    </row>
    <row r="200" spans="2:13" ht="23.25" customHeight="1" x14ac:dyDescent="0.3">
      <c r="B200" s="4" t="s">
        <v>1724</v>
      </c>
      <c r="C200" s="4" t="s">
        <v>163</v>
      </c>
      <c r="D200" s="4" t="s">
        <v>1650</v>
      </c>
      <c r="E200" s="5" t="s">
        <v>21</v>
      </c>
      <c r="F200" s="6">
        <f>'PU CAST'!AI83</f>
        <v>933.99537099999998</v>
      </c>
      <c r="G200" s="7"/>
      <c r="H200" s="6" t="s">
        <v>1644</v>
      </c>
      <c r="I200" s="369">
        <f>'PU CAST'!AG83</f>
        <v>1</v>
      </c>
      <c r="J200" s="368"/>
      <c r="K200" s="367">
        <f t="shared" si="4"/>
        <v>933.99537099999998</v>
      </c>
      <c r="L200" s="367">
        <f>$F200-'PU CAST'!AH83</f>
        <v>723.99537099999998</v>
      </c>
      <c r="M200" s="367">
        <f>IFERROR('PU CAST'!AH83*'PU CAST'!AG83,0)</f>
        <v>210</v>
      </c>
    </row>
    <row r="201" spans="2:13" ht="23.25" customHeight="1" x14ac:dyDescent="0.3">
      <c r="B201" s="4" t="s">
        <v>1725</v>
      </c>
      <c r="C201" s="4" t="s">
        <v>163</v>
      </c>
      <c r="D201" s="4" t="s">
        <v>1650</v>
      </c>
      <c r="E201" s="5" t="s">
        <v>22</v>
      </c>
      <c r="F201" s="6">
        <f>'PU CAST'!AI84</f>
        <v>1440.7445296666672</v>
      </c>
      <c r="G201" s="7"/>
      <c r="H201" s="6" t="s">
        <v>1644</v>
      </c>
      <c r="I201" s="369">
        <f>'PU CAST'!AG84</f>
        <v>1</v>
      </c>
      <c r="J201" s="368"/>
      <c r="K201" s="367">
        <f t="shared" si="4"/>
        <v>1440.7445296666672</v>
      </c>
      <c r="L201" s="367">
        <f>$F201-'PU CAST'!AH84</f>
        <v>1204.0778630000002</v>
      </c>
      <c r="M201" s="367">
        <f>IFERROR('PU CAST'!AH84*'PU CAST'!AG84,0)</f>
        <v>236.66666666666691</v>
      </c>
    </row>
    <row r="202" spans="2:13" ht="23.25" customHeight="1" x14ac:dyDescent="0.3">
      <c r="B202" s="4" t="s">
        <v>1726</v>
      </c>
      <c r="C202" s="4" t="s">
        <v>163</v>
      </c>
      <c r="D202" s="4" t="s">
        <v>1650</v>
      </c>
      <c r="E202" s="5" t="s">
        <v>23</v>
      </c>
      <c r="F202" s="6">
        <f>'PU CAST'!AI85</f>
        <v>1847.3695299999995</v>
      </c>
      <c r="G202" s="7"/>
      <c r="H202" s="6" t="s">
        <v>1644</v>
      </c>
      <c r="I202" s="369">
        <f>'PU CAST'!AG85</f>
        <v>1</v>
      </c>
      <c r="J202" s="368"/>
      <c r="K202" s="367">
        <f t="shared" si="4"/>
        <v>1847.3695299999995</v>
      </c>
      <c r="L202" s="367">
        <f>$F202-'PU CAST'!AH85</f>
        <v>1587.3695299999999</v>
      </c>
      <c r="M202" s="367">
        <f>IFERROR('PU CAST'!AH85*'PU CAST'!AG85,0)</f>
        <v>259.99999999999966</v>
      </c>
    </row>
    <row r="203" spans="2:13" ht="23.25" customHeight="1" x14ac:dyDescent="0.3">
      <c r="B203" s="4" t="s">
        <v>1727</v>
      </c>
      <c r="C203" s="4" t="s">
        <v>163</v>
      </c>
      <c r="D203" s="4" t="s">
        <v>1650</v>
      </c>
      <c r="E203" s="5" t="s">
        <v>24</v>
      </c>
      <c r="F203" s="6">
        <f>'PU CAST'!AI86</f>
        <v>2892.7104399999998</v>
      </c>
      <c r="G203" s="7"/>
      <c r="H203" s="6" t="s">
        <v>1644</v>
      </c>
      <c r="I203" s="369">
        <f>'PU CAST'!AG86</f>
        <v>1</v>
      </c>
      <c r="J203" s="368"/>
      <c r="K203" s="367">
        <f t="shared" si="4"/>
        <v>2892.7104399999998</v>
      </c>
      <c r="L203" s="367">
        <f>$F203-'PU CAST'!AH86</f>
        <v>2632.7104400000003</v>
      </c>
      <c r="M203" s="367">
        <f>IFERROR('PU CAST'!AH86*'PU CAST'!AG86,0)</f>
        <v>259.99999999999966</v>
      </c>
    </row>
    <row r="204" spans="2:13" ht="23.25" customHeight="1" x14ac:dyDescent="0.3">
      <c r="B204" s="4" t="s">
        <v>1728</v>
      </c>
      <c r="C204" s="4" t="s">
        <v>163</v>
      </c>
      <c r="D204" s="4" t="s">
        <v>1650</v>
      </c>
      <c r="E204" s="5" t="s">
        <v>25</v>
      </c>
      <c r="F204" s="6">
        <f>'PU CAST'!AI87</f>
        <v>3163.7247499999999</v>
      </c>
      <c r="G204" s="7"/>
      <c r="H204" s="6" t="s">
        <v>1644</v>
      </c>
      <c r="I204" s="369">
        <f>'PU CAST'!AG87</f>
        <v>1</v>
      </c>
      <c r="J204" s="368"/>
      <c r="K204" s="367">
        <f t="shared" si="4"/>
        <v>3163.7247499999999</v>
      </c>
      <c r="L204" s="367">
        <f>$F204-'PU CAST'!AH87</f>
        <v>2903.7247500000003</v>
      </c>
      <c r="M204" s="367">
        <f>IFERROR('PU CAST'!AH87*'PU CAST'!AG87,0)</f>
        <v>259.99999999999966</v>
      </c>
    </row>
    <row r="205" spans="2:13" ht="23.25" customHeight="1" x14ac:dyDescent="0.3">
      <c r="B205" s="4" t="s">
        <v>1729</v>
      </c>
      <c r="C205" s="4" t="s">
        <v>163</v>
      </c>
      <c r="D205" s="4" t="s">
        <v>1650</v>
      </c>
      <c r="E205" s="5" t="s">
        <v>26</v>
      </c>
      <c r="F205" s="6">
        <f>'PU CAST'!AI88</f>
        <v>4454.6969733333335</v>
      </c>
      <c r="G205" s="7"/>
      <c r="H205" s="6" t="s">
        <v>1644</v>
      </c>
      <c r="I205" s="369">
        <f>'PU CAST'!AG88</f>
        <v>1</v>
      </c>
      <c r="J205" s="368"/>
      <c r="K205" s="367">
        <f t="shared" si="4"/>
        <v>4454.6969733333335</v>
      </c>
      <c r="L205" s="367">
        <f>$F205-'PU CAST'!AH88</f>
        <v>4181.3636400000005</v>
      </c>
      <c r="M205" s="367">
        <f>IFERROR('PU CAST'!AH88*'PU CAST'!AG88,0)</f>
        <v>273.33333333333309</v>
      </c>
    </row>
    <row r="206" spans="2:13" ht="23.25" customHeight="1" x14ac:dyDescent="0.3">
      <c r="B206" s="4" t="s">
        <v>1730</v>
      </c>
      <c r="C206" s="4" t="s">
        <v>163</v>
      </c>
      <c r="D206" s="4" t="s">
        <v>1650</v>
      </c>
      <c r="E206" s="5" t="s">
        <v>27</v>
      </c>
      <c r="F206" s="6">
        <f>'PU CAST'!AI89</f>
        <v>5345.1725633333335</v>
      </c>
      <c r="G206" s="7"/>
      <c r="H206" s="6" t="s">
        <v>1644</v>
      </c>
      <c r="I206" s="369">
        <f>'PU CAST'!AG89</f>
        <v>1</v>
      </c>
      <c r="J206" s="368"/>
      <c r="K206" s="367">
        <f t="shared" si="4"/>
        <v>5345.1725633333335</v>
      </c>
      <c r="L206" s="367">
        <f>$F206-'PU CAST'!AH89</f>
        <v>5071.8392300000005</v>
      </c>
      <c r="M206" s="367">
        <f>IFERROR('PU CAST'!AH89*'PU CAST'!AG89,0)</f>
        <v>273.33333333333309</v>
      </c>
    </row>
    <row r="207" spans="2:13" ht="23.25" customHeight="1" x14ac:dyDescent="0.3">
      <c r="B207" s="4" t="s">
        <v>164</v>
      </c>
      <c r="C207" s="4" t="s">
        <v>165</v>
      </c>
      <c r="D207" s="4" t="s">
        <v>166</v>
      </c>
      <c r="E207" s="5" t="s">
        <v>167</v>
      </c>
      <c r="F207" s="6">
        <f>SILICONE!P6</f>
        <v>167.55088000000032</v>
      </c>
      <c r="G207" s="7"/>
      <c r="H207" s="6" t="s">
        <v>1644</v>
      </c>
      <c r="I207" s="369">
        <f>SILICONE!N6</f>
        <v>1</v>
      </c>
      <c r="J207" s="368"/>
      <c r="K207" s="367">
        <f t="shared" si="4"/>
        <v>167.55088000000032</v>
      </c>
      <c r="L207" s="367">
        <f>$F207-SILICONE!O6</f>
        <v>7.5508800000000065</v>
      </c>
      <c r="M207" s="367">
        <f>IFERROR(SILICONE!O6*SILICONE!N6,0)</f>
        <v>160.00000000000031</v>
      </c>
    </row>
    <row r="208" spans="2:13" ht="23.25" customHeight="1" x14ac:dyDescent="0.3">
      <c r="B208" s="4" t="s">
        <v>168</v>
      </c>
      <c r="C208" s="4" t="s">
        <v>165</v>
      </c>
      <c r="D208" s="4" t="s">
        <v>166</v>
      </c>
      <c r="E208" s="5" t="s">
        <v>169</v>
      </c>
      <c r="F208" s="6">
        <f>SILICONE!P7</f>
        <v>175.64501214697876</v>
      </c>
      <c r="G208" s="7"/>
      <c r="H208" s="6" t="s">
        <v>1644</v>
      </c>
      <c r="I208" s="369">
        <f>SILICONE!N7</f>
        <v>1</v>
      </c>
      <c r="J208" s="368"/>
      <c r="K208" s="367">
        <f t="shared" si="4"/>
        <v>175.64501214697876</v>
      </c>
      <c r="L208" s="367">
        <f>$F208-SILICONE!O7</f>
        <v>15.645012146978445</v>
      </c>
      <c r="M208" s="367">
        <f>IFERROR(SILICONE!O7*SILICONE!N7,0)</f>
        <v>160.00000000000031</v>
      </c>
    </row>
    <row r="209" spans="2:13" ht="23.25" customHeight="1" x14ac:dyDescent="0.3">
      <c r="B209" s="4" t="s">
        <v>170</v>
      </c>
      <c r="C209" s="4" t="s">
        <v>165</v>
      </c>
      <c r="D209" s="4" t="s">
        <v>166</v>
      </c>
      <c r="E209" s="5" t="s">
        <v>171</v>
      </c>
      <c r="F209" s="6">
        <f>SILICONE!P8</f>
        <v>191.05116914667514</v>
      </c>
      <c r="G209" s="7"/>
      <c r="H209" s="6" t="s">
        <v>1644</v>
      </c>
      <c r="I209" s="369">
        <f>SILICONE!N8</f>
        <v>1</v>
      </c>
      <c r="J209" s="368"/>
      <c r="K209" s="367">
        <f t="shared" si="4"/>
        <v>191.05116914667514</v>
      </c>
      <c r="L209" s="367">
        <f>$F209-SILICONE!O8</f>
        <v>31.051169146674823</v>
      </c>
      <c r="M209" s="367">
        <f>IFERROR(SILICONE!O8*SILICONE!N8,0)</f>
        <v>160.00000000000031</v>
      </c>
    </row>
    <row r="210" spans="2:13" ht="23.25" customHeight="1" x14ac:dyDescent="0.3">
      <c r="B210" s="4" t="s">
        <v>172</v>
      </c>
      <c r="C210" s="4" t="s">
        <v>165</v>
      </c>
      <c r="D210" s="4" t="s">
        <v>166</v>
      </c>
      <c r="E210" s="5" t="s">
        <v>173</v>
      </c>
      <c r="F210" s="6">
        <f>SILICONE!P9</f>
        <v>244.58231324020625</v>
      </c>
      <c r="G210" s="7"/>
      <c r="H210" s="6" t="s">
        <v>1644</v>
      </c>
      <c r="I210" s="369">
        <f>SILICONE!N9</f>
        <v>1</v>
      </c>
      <c r="J210" s="368"/>
      <c r="K210" s="367">
        <f t="shared" si="4"/>
        <v>244.58231324020625</v>
      </c>
      <c r="L210" s="367">
        <f>$F210-SILICONE!O9</f>
        <v>44.582313240206588</v>
      </c>
      <c r="M210" s="367">
        <f>IFERROR(SILICONE!O9*SILICONE!N9,0)</f>
        <v>199.99999999999966</v>
      </c>
    </row>
    <row r="211" spans="2:13" ht="23.25" customHeight="1" x14ac:dyDescent="0.3">
      <c r="B211" s="4" t="s">
        <v>172</v>
      </c>
      <c r="C211" s="4" t="s">
        <v>165</v>
      </c>
      <c r="D211" s="4" t="s">
        <v>166</v>
      </c>
      <c r="E211" s="5" t="s">
        <v>173</v>
      </c>
      <c r="F211" s="6">
        <f>SILICONE!P10</f>
        <v>247.11417780139664</v>
      </c>
      <c r="G211" s="7"/>
      <c r="H211" s="6" t="s">
        <v>1644</v>
      </c>
      <c r="I211" s="369">
        <f>SILICONE!N10</f>
        <v>1</v>
      </c>
      <c r="J211" s="368"/>
      <c r="K211" s="367">
        <f t="shared" si="4"/>
        <v>247.11417780139664</v>
      </c>
      <c r="L211" s="367">
        <f>$F211-SILICONE!O10</f>
        <v>47.114177801396977</v>
      </c>
      <c r="M211" s="367">
        <f>IFERROR(SILICONE!O10*SILICONE!N10,0)</f>
        <v>199.99999999999966</v>
      </c>
    </row>
    <row r="212" spans="2:13" ht="23.25" customHeight="1" x14ac:dyDescent="0.3">
      <c r="B212" s="4" t="s">
        <v>174</v>
      </c>
      <c r="C212" s="4" t="s">
        <v>165</v>
      </c>
      <c r="D212" s="4" t="s">
        <v>166</v>
      </c>
      <c r="E212" s="5" t="s">
        <v>175</v>
      </c>
      <c r="F212" s="6">
        <f>SILICONE!P11</f>
        <v>325.27952474946824</v>
      </c>
      <c r="G212" s="7"/>
      <c r="H212" s="6" t="s">
        <v>1644</v>
      </c>
      <c r="I212" s="369">
        <f>SILICONE!N11</f>
        <v>1</v>
      </c>
      <c r="J212" s="368"/>
      <c r="K212" s="367">
        <f t="shared" si="4"/>
        <v>325.27952474946824</v>
      </c>
      <c r="L212" s="367">
        <f>$F212-SILICONE!O11</f>
        <v>125.27952474946858</v>
      </c>
      <c r="M212" s="367">
        <f>IFERROR(SILICONE!O11*SILICONE!N11,0)</f>
        <v>199.99999999999966</v>
      </c>
    </row>
    <row r="213" spans="2:13" ht="23.25" customHeight="1" x14ac:dyDescent="0.3">
      <c r="B213" s="4" t="s">
        <v>176</v>
      </c>
      <c r="C213" s="4" t="s">
        <v>165</v>
      </c>
      <c r="D213" s="4" t="s">
        <v>166</v>
      </c>
      <c r="E213" s="5" t="s">
        <v>177</v>
      </c>
      <c r="F213" s="6">
        <f>SILICONE!P12</f>
        <v>441.83259945338608</v>
      </c>
      <c r="G213" s="7"/>
      <c r="H213" s="6" t="s">
        <v>1644</v>
      </c>
      <c r="I213" s="369">
        <f>SILICONE!N12</f>
        <v>1</v>
      </c>
      <c r="J213" s="368"/>
      <c r="K213" s="367">
        <f t="shared" si="4"/>
        <v>441.83259945338608</v>
      </c>
      <c r="L213" s="367">
        <f>$F213-SILICONE!O12</f>
        <v>201.83259945338608</v>
      </c>
      <c r="M213" s="367">
        <f>IFERROR(SILICONE!O12*SILICONE!N12,0)</f>
        <v>240</v>
      </c>
    </row>
    <row r="214" spans="2:13" ht="23.25" customHeight="1" x14ac:dyDescent="0.3">
      <c r="B214" s="4" t="s">
        <v>178</v>
      </c>
      <c r="C214" s="4" t="s">
        <v>165</v>
      </c>
      <c r="D214" s="4" t="s">
        <v>166</v>
      </c>
      <c r="E214" s="5" t="s">
        <v>179</v>
      </c>
      <c r="F214" s="6">
        <f>SILICONE!P13</f>
        <v>658.91610006073472</v>
      </c>
      <c r="G214" s="7"/>
      <c r="H214" s="6" t="s">
        <v>1644</v>
      </c>
      <c r="I214" s="369">
        <f>SILICONE!N13</f>
        <v>1</v>
      </c>
      <c r="J214" s="368"/>
      <c r="K214" s="367">
        <f t="shared" si="4"/>
        <v>658.91610006073472</v>
      </c>
      <c r="L214" s="367">
        <f>$F214-SILICONE!O13</f>
        <v>418.91610006073472</v>
      </c>
      <c r="M214" s="367">
        <f>IFERROR(SILICONE!O13*SILICONE!N13,0)</f>
        <v>240</v>
      </c>
    </row>
    <row r="215" spans="2:13" ht="23.25" customHeight="1" x14ac:dyDescent="0.3">
      <c r="B215" s="4" t="s">
        <v>180</v>
      </c>
      <c r="C215" s="4" t="s">
        <v>181</v>
      </c>
      <c r="D215" s="4" t="s">
        <v>166</v>
      </c>
      <c r="E215" s="5" t="s">
        <v>167</v>
      </c>
      <c r="F215" s="6">
        <f>SILICONE!P14</f>
        <v>194.33088000000001</v>
      </c>
      <c r="G215" s="7"/>
      <c r="H215" s="6" t="s">
        <v>1644</v>
      </c>
      <c r="I215" s="369">
        <f>SILICONE!N14</f>
        <v>1</v>
      </c>
      <c r="J215" s="368"/>
      <c r="K215" s="367">
        <f t="shared" si="4"/>
        <v>194.33088000000001</v>
      </c>
      <c r="L215" s="367">
        <f>$F215-SILICONE!O14</f>
        <v>14.330880000000008</v>
      </c>
      <c r="M215" s="367">
        <f>IFERROR(SILICONE!O14*SILICONE!N14,0)</f>
        <v>180</v>
      </c>
    </row>
    <row r="216" spans="2:13" ht="23.25" customHeight="1" x14ac:dyDescent="0.3">
      <c r="B216" s="4" t="s">
        <v>182</v>
      </c>
      <c r="C216" s="4" t="s">
        <v>181</v>
      </c>
      <c r="D216" s="4" t="s">
        <v>166</v>
      </c>
      <c r="E216" s="5" t="s">
        <v>171</v>
      </c>
      <c r="F216" s="6">
        <f>SILICONE!P15</f>
        <v>224.61116914667483</v>
      </c>
      <c r="G216" s="7"/>
      <c r="H216" s="6" t="s">
        <v>1644</v>
      </c>
      <c r="I216" s="369">
        <f>SILICONE!N15</f>
        <v>1</v>
      </c>
      <c r="J216" s="368"/>
      <c r="K216" s="367">
        <f t="shared" si="4"/>
        <v>224.61116914667483</v>
      </c>
      <c r="L216" s="367">
        <f>$F216-SILICONE!O15</f>
        <v>44.611169146674825</v>
      </c>
      <c r="M216" s="367">
        <f>IFERROR(SILICONE!O15*SILICONE!N15,0)</f>
        <v>180</v>
      </c>
    </row>
    <row r="217" spans="2:13" ht="39.6" customHeight="1" x14ac:dyDescent="0.3">
      <c r="B217" s="4" t="s">
        <v>183</v>
      </c>
      <c r="C217" s="4" t="s">
        <v>184</v>
      </c>
      <c r="D217" s="4" t="s">
        <v>166</v>
      </c>
      <c r="E217" s="5" t="s">
        <v>185</v>
      </c>
      <c r="F217" s="6">
        <f>SILICONE!P16</f>
        <v>600.47952474946828</v>
      </c>
      <c r="G217" s="7"/>
      <c r="H217" s="6" t="s">
        <v>1644</v>
      </c>
      <c r="I217" s="369">
        <f>SILICONE!N16</f>
        <v>1</v>
      </c>
      <c r="J217" s="368"/>
      <c r="K217" s="367">
        <f t="shared" si="4"/>
        <v>600.47952474946828</v>
      </c>
      <c r="L217" s="367">
        <f>$F217-SILICONE!O16</f>
        <v>340.47952474946862</v>
      </c>
      <c r="M217" s="367">
        <f>IFERROR(SILICONE!O16*SILICONE!N16,0)</f>
        <v>259.99999999999966</v>
      </c>
    </row>
    <row r="218" spans="2:13" ht="42.75" customHeight="1" x14ac:dyDescent="0.3">
      <c r="B218" s="4" t="s">
        <v>186</v>
      </c>
      <c r="C218" s="4" t="s">
        <v>187</v>
      </c>
      <c r="D218" s="4" t="s">
        <v>188</v>
      </c>
      <c r="E218" s="5" t="s">
        <v>189</v>
      </c>
      <c r="F218" s="6">
        <f>H!BS6</f>
        <v>1.7982216166666669</v>
      </c>
      <c r="G218" s="7" t="s">
        <v>190</v>
      </c>
      <c r="H218" s="6" t="s">
        <v>1644</v>
      </c>
      <c r="I218" s="369">
        <f>H!BQ6</f>
        <v>50</v>
      </c>
      <c r="J218" s="368"/>
      <c r="K218" s="367">
        <f t="shared" si="4"/>
        <v>1.7982216166666669</v>
      </c>
      <c r="L218" s="367">
        <f>$F218-H!BR6</f>
        <v>0.25155495000000005</v>
      </c>
      <c r="M218" s="367">
        <f>IFERROR(H!BR6*H!BQ6,0)</f>
        <v>77.333333333333343</v>
      </c>
    </row>
    <row r="219" spans="2:13" ht="42.75" customHeight="1" x14ac:dyDescent="0.3">
      <c r="B219" s="4" t="s">
        <v>191</v>
      </c>
      <c r="C219" s="4" t="s">
        <v>187</v>
      </c>
      <c r="D219" s="4" t="s">
        <v>192</v>
      </c>
      <c r="E219" s="5" t="s">
        <v>189</v>
      </c>
      <c r="F219" s="6">
        <f>H!CA6</f>
        <v>3.1688843309523795</v>
      </c>
      <c r="G219" s="7" t="s">
        <v>190</v>
      </c>
      <c r="H219" s="6" t="s">
        <v>1644</v>
      </c>
      <c r="I219" s="369">
        <f>H!BY6</f>
        <v>35</v>
      </c>
      <c r="J219" s="368"/>
      <c r="K219" s="367">
        <f t="shared" si="4"/>
        <v>3.1688843309523795</v>
      </c>
      <c r="L219" s="367">
        <f>$F219-H!BZ6</f>
        <v>0.38793195000000003</v>
      </c>
      <c r="M219" s="367">
        <f>IFERROR(H!BZ6*H!BY6,0)</f>
        <v>97.333333333333286</v>
      </c>
    </row>
    <row r="220" spans="2:13" ht="42.75" customHeight="1" x14ac:dyDescent="0.3">
      <c r="B220" s="4" t="s">
        <v>193</v>
      </c>
      <c r="C220" s="4" t="s">
        <v>187</v>
      </c>
      <c r="D220" s="4" t="s">
        <v>194</v>
      </c>
      <c r="E220" s="5" t="s">
        <v>189</v>
      </c>
      <c r="F220" s="6">
        <f>H!CI6</f>
        <v>22.087931949999991</v>
      </c>
      <c r="G220" s="7" t="s">
        <v>190</v>
      </c>
      <c r="H220" s="6" t="s">
        <v>1644</v>
      </c>
      <c r="I220" s="369">
        <f>H!CG6</f>
        <v>5</v>
      </c>
      <c r="J220" s="368"/>
      <c r="K220" s="367">
        <f t="shared" si="4"/>
        <v>22.087931949999991</v>
      </c>
      <c r="L220" s="367">
        <f>$F220-H!CH6</f>
        <v>1.2879319500000008</v>
      </c>
      <c r="M220" s="367">
        <f>IFERROR(H!CH6*H!CG6,0)</f>
        <v>103.99999999999994</v>
      </c>
    </row>
    <row r="221" spans="2:13" ht="42.75" customHeight="1" x14ac:dyDescent="0.3">
      <c r="B221" s="4" t="s">
        <v>195</v>
      </c>
      <c r="C221" s="4" t="s">
        <v>187</v>
      </c>
      <c r="D221" s="4" t="s">
        <v>188</v>
      </c>
      <c r="E221" s="5" t="s">
        <v>196</v>
      </c>
      <c r="F221" s="6">
        <f>H!BS7</f>
        <v>1.8900454666666668</v>
      </c>
      <c r="G221" s="7" t="s">
        <v>190</v>
      </c>
      <c r="H221" s="6" t="s">
        <v>1644</v>
      </c>
      <c r="I221" s="369">
        <f>H!BQ7</f>
        <v>50</v>
      </c>
      <c r="J221" s="368"/>
      <c r="K221" s="367">
        <f t="shared" si="4"/>
        <v>1.8900454666666668</v>
      </c>
      <c r="L221" s="367">
        <f>$F221-H!BR7</f>
        <v>0.34337879999999998</v>
      </c>
      <c r="M221" s="367">
        <f>IFERROR(H!BR7*H!BQ7,0)</f>
        <v>77.333333333333343</v>
      </c>
    </row>
    <row r="222" spans="2:13" ht="42.75" customHeight="1" x14ac:dyDescent="0.3">
      <c r="B222" s="4" t="s">
        <v>197</v>
      </c>
      <c r="C222" s="4" t="s">
        <v>187</v>
      </c>
      <c r="D222" s="4" t="s">
        <v>192</v>
      </c>
      <c r="E222" s="5" t="s">
        <v>196</v>
      </c>
      <c r="F222" s="6">
        <f>H!CA7</f>
        <v>3.3970851809523794</v>
      </c>
      <c r="G222" s="7" t="s">
        <v>190</v>
      </c>
      <c r="H222" s="6" t="s">
        <v>1644</v>
      </c>
      <c r="I222" s="369">
        <f>H!BY7</f>
        <v>35</v>
      </c>
      <c r="J222" s="368"/>
      <c r="K222" s="367">
        <f t="shared" si="4"/>
        <v>3.3970851809523794</v>
      </c>
      <c r="L222" s="367">
        <f>$F222-H!BZ7</f>
        <v>0.61613279999999992</v>
      </c>
      <c r="M222" s="367">
        <f>IFERROR(H!BZ7*H!BY7,0)</f>
        <v>97.333333333333286</v>
      </c>
    </row>
    <row r="223" spans="2:13" ht="42.75" customHeight="1" x14ac:dyDescent="0.3">
      <c r="B223" s="4" t="s">
        <v>198</v>
      </c>
      <c r="C223" s="4" t="s">
        <v>187</v>
      </c>
      <c r="D223" s="4" t="s">
        <v>194</v>
      </c>
      <c r="E223" s="5" t="s">
        <v>196</v>
      </c>
      <c r="F223" s="6">
        <f>H!CI7</f>
        <v>6.8661327999999973</v>
      </c>
      <c r="G223" s="7" t="s">
        <v>190</v>
      </c>
      <c r="H223" s="6" t="s">
        <v>1644</v>
      </c>
      <c r="I223" s="369">
        <f>H!CG7</f>
        <v>20</v>
      </c>
      <c r="J223" s="368"/>
      <c r="K223" s="367">
        <f t="shared" si="4"/>
        <v>6.8661327999999973</v>
      </c>
      <c r="L223" s="367">
        <f>$F223-H!CH7</f>
        <v>1.6661327999999997</v>
      </c>
      <c r="M223" s="367">
        <f>IFERROR(H!CH7*H!CG7,0)</f>
        <v>103.99999999999994</v>
      </c>
    </row>
    <row r="224" spans="2:13" ht="42.75" customHeight="1" x14ac:dyDescent="0.3">
      <c r="B224" s="4" t="s">
        <v>199</v>
      </c>
      <c r="C224" s="4" t="s">
        <v>187</v>
      </c>
      <c r="D224" s="4" t="s">
        <v>188</v>
      </c>
      <c r="E224" s="5" t="s">
        <v>200</v>
      </c>
      <c r="F224" s="6">
        <f>H!BS8</f>
        <v>4.1237641177777782</v>
      </c>
      <c r="G224" s="7" t="s">
        <v>190</v>
      </c>
      <c r="H224" s="6" t="s">
        <v>1644</v>
      </c>
      <c r="I224" s="369">
        <f>H!BQ8</f>
        <v>30</v>
      </c>
      <c r="J224" s="368"/>
      <c r="K224" s="367">
        <f t="shared" si="4"/>
        <v>4.1237641177777782</v>
      </c>
      <c r="L224" s="367">
        <f>$F224-H!BR8</f>
        <v>1.5459863400000002</v>
      </c>
      <c r="M224" s="367">
        <f>IFERROR(H!BR8*H!BQ8,0)</f>
        <v>77.333333333333343</v>
      </c>
    </row>
    <row r="225" spans="2:13" ht="42.75" customHeight="1" x14ac:dyDescent="0.3">
      <c r="B225" s="4" t="s">
        <v>201</v>
      </c>
      <c r="C225" s="4" t="s">
        <v>187</v>
      </c>
      <c r="D225" s="4" t="s">
        <v>192</v>
      </c>
      <c r="E225" s="5" t="s">
        <v>200</v>
      </c>
      <c r="F225" s="6">
        <f>H!CA8</f>
        <v>5.8939096733333312</v>
      </c>
      <c r="G225" s="7" t="s">
        <v>190</v>
      </c>
      <c r="H225" s="6" t="s">
        <v>1644</v>
      </c>
      <c r="I225" s="369">
        <f>H!BY8</f>
        <v>25</v>
      </c>
      <c r="J225" s="368"/>
      <c r="K225" s="367">
        <f t="shared" si="4"/>
        <v>5.8939096733333312</v>
      </c>
      <c r="L225" s="367">
        <f>$F225-H!BZ8</f>
        <v>2.0005763399999998</v>
      </c>
      <c r="M225" s="367">
        <f>IFERROR(H!BZ8*H!BY8,0)</f>
        <v>97.333333333333286</v>
      </c>
    </row>
    <row r="226" spans="2:13" ht="42.75" customHeight="1" x14ac:dyDescent="0.3">
      <c r="B226" s="4" t="s">
        <v>202</v>
      </c>
      <c r="C226" s="4" t="s">
        <v>187</v>
      </c>
      <c r="D226" s="4" t="s">
        <v>194</v>
      </c>
      <c r="E226" s="5" t="s">
        <v>200</v>
      </c>
      <c r="F226" s="6">
        <f>H!CI8</f>
        <v>10.073909673333329</v>
      </c>
      <c r="G226" s="7" t="s">
        <v>190</v>
      </c>
      <c r="H226" s="6" t="s">
        <v>1644</v>
      </c>
      <c r="I226" s="369">
        <f>H!CG8</f>
        <v>15</v>
      </c>
      <c r="J226" s="368"/>
      <c r="K226" s="367">
        <f t="shared" si="4"/>
        <v>10.073909673333329</v>
      </c>
      <c r="L226" s="367">
        <f>$F226-H!CH8</f>
        <v>3.14057634</v>
      </c>
      <c r="M226" s="367">
        <f>IFERROR(H!CH8*H!CG8,0)</f>
        <v>103.99999999999994</v>
      </c>
    </row>
    <row r="227" spans="2:13" ht="42.75" customHeight="1" x14ac:dyDescent="0.3">
      <c r="B227" s="4" t="s">
        <v>203</v>
      </c>
      <c r="C227" s="4" t="s">
        <v>187</v>
      </c>
      <c r="D227" s="4" t="s">
        <v>188</v>
      </c>
      <c r="E227" s="5" t="s">
        <v>185</v>
      </c>
      <c r="F227" s="6">
        <f>H!BS9</f>
        <v>5.5196619577777781</v>
      </c>
      <c r="G227" s="7" t="s">
        <v>190</v>
      </c>
      <c r="H227" s="6" t="s">
        <v>1644</v>
      </c>
      <c r="I227" s="369">
        <f>H!BQ9</f>
        <v>30</v>
      </c>
      <c r="J227" s="368"/>
      <c r="K227" s="367">
        <f t="shared" si="4"/>
        <v>5.5196619577777781</v>
      </c>
      <c r="L227" s="367">
        <f>$F227-H!BR9</f>
        <v>2.9418841800000002</v>
      </c>
      <c r="M227" s="367">
        <f>IFERROR(H!BR9*H!BQ9,0)</f>
        <v>77.333333333333343</v>
      </c>
    </row>
    <row r="228" spans="2:13" ht="42.75" customHeight="1" x14ac:dyDescent="0.3">
      <c r="B228" s="4" t="s">
        <v>204</v>
      </c>
      <c r="C228" s="4" t="s">
        <v>187</v>
      </c>
      <c r="D228" s="4" t="s">
        <v>192</v>
      </c>
      <c r="E228" s="5" t="s">
        <v>185</v>
      </c>
      <c r="F228" s="6">
        <f>H!CA9</f>
        <v>7.5625615133333319</v>
      </c>
      <c r="G228" s="7" t="s">
        <v>190</v>
      </c>
      <c r="H228" s="6" t="s">
        <v>1644</v>
      </c>
      <c r="I228" s="369">
        <f>H!BY9</f>
        <v>25</v>
      </c>
      <c r="J228" s="368"/>
      <c r="K228" s="367">
        <f t="shared" si="4"/>
        <v>7.5625615133333319</v>
      </c>
      <c r="L228" s="367">
        <f>$F228-H!BZ9</f>
        <v>3.6692281800000006</v>
      </c>
      <c r="M228" s="367">
        <f>IFERROR(H!BZ9*H!BY9,0)</f>
        <v>97.333333333333286</v>
      </c>
    </row>
    <row r="229" spans="2:13" ht="42.75" customHeight="1" x14ac:dyDescent="0.3">
      <c r="B229" s="4" t="s">
        <v>205</v>
      </c>
      <c r="C229" s="4" t="s">
        <v>187</v>
      </c>
      <c r="D229" s="4" t="s">
        <v>194</v>
      </c>
      <c r="E229" s="5" t="s">
        <v>185</v>
      </c>
      <c r="F229" s="6">
        <f>H!CI9</f>
        <v>11.98256151333333</v>
      </c>
      <c r="G229" s="7" t="s">
        <v>190</v>
      </c>
      <c r="H229" s="6" t="s">
        <v>1644</v>
      </c>
      <c r="I229" s="369">
        <f>H!CG9</f>
        <v>15</v>
      </c>
      <c r="J229" s="368"/>
      <c r="K229" s="367">
        <f t="shared" si="4"/>
        <v>11.98256151333333</v>
      </c>
      <c r="L229" s="367">
        <f>$F229-H!CH9</f>
        <v>5.049228180000001</v>
      </c>
      <c r="M229" s="367">
        <f>IFERROR(H!CH9*H!CG9,0)</f>
        <v>103.99999999999994</v>
      </c>
    </row>
    <row r="230" spans="2:13" ht="42.75" customHeight="1" x14ac:dyDescent="0.3">
      <c r="B230" s="4" t="s">
        <v>206</v>
      </c>
      <c r="C230" s="4" t="s">
        <v>187</v>
      </c>
      <c r="D230" s="4" t="s">
        <v>188</v>
      </c>
      <c r="E230" s="5" t="s">
        <v>39</v>
      </c>
      <c r="F230" s="6">
        <f>H!BS10</f>
        <v>10.353232296666667</v>
      </c>
      <c r="G230" s="7" t="s">
        <v>190</v>
      </c>
      <c r="H230" s="6" t="s">
        <v>1644</v>
      </c>
      <c r="I230" s="369">
        <f>H!BQ10</f>
        <v>30</v>
      </c>
      <c r="J230" s="368"/>
      <c r="K230" s="367">
        <f t="shared" si="4"/>
        <v>10.353232296666667</v>
      </c>
      <c r="L230" s="367">
        <f>$F230-H!BR10</f>
        <v>7.8865656299999998</v>
      </c>
      <c r="M230" s="367">
        <f>IFERROR(H!BR10*H!BQ10,0)</f>
        <v>74</v>
      </c>
    </row>
    <row r="231" spans="2:13" ht="42.75" customHeight="1" x14ac:dyDescent="0.3">
      <c r="B231" s="4" t="s">
        <v>207</v>
      </c>
      <c r="C231" s="4" t="s">
        <v>187</v>
      </c>
      <c r="D231" s="4" t="s">
        <v>192</v>
      </c>
      <c r="E231" s="5" t="s">
        <v>39</v>
      </c>
      <c r="F231" s="6">
        <f>H!CA10</f>
        <v>13.18912796333333</v>
      </c>
      <c r="G231" s="7" t="s">
        <v>190</v>
      </c>
      <c r="H231" s="6" t="s">
        <v>1644</v>
      </c>
      <c r="I231" s="369">
        <f>H!BY10</f>
        <v>25</v>
      </c>
      <c r="J231" s="368"/>
      <c r="K231" s="367">
        <f t="shared" ref="K231:K294" si="5">IF(OR($J231="",$J231&lt;=0),$F231,$L231+$M231/$J231)</f>
        <v>13.18912796333333</v>
      </c>
      <c r="L231" s="367">
        <f>$F231-H!BZ10</f>
        <v>9.2957946299999996</v>
      </c>
      <c r="M231" s="367">
        <f>IFERROR(H!BZ10*H!BY10,0)</f>
        <v>97.333333333333286</v>
      </c>
    </row>
    <row r="232" spans="2:13" ht="42.75" customHeight="1" x14ac:dyDescent="0.3">
      <c r="B232" s="4" t="s">
        <v>208</v>
      </c>
      <c r="C232" s="4" t="s">
        <v>187</v>
      </c>
      <c r="D232" s="4" t="s">
        <v>194</v>
      </c>
      <c r="E232" s="5" t="s">
        <v>39</v>
      </c>
      <c r="F232" s="6">
        <f>H!CI10</f>
        <v>63.875794629999973</v>
      </c>
      <c r="G232" s="7" t="s">
        <v>190</v>
      </c>
      <c r="H232" s="6" t="s">
        <v>1644</v>
      </c>
      <c r="I232" s="369">
        <f>H!CG10</f>
        <v>2</v>
      </c>
      <c r="J232" s="368"/>
      <c r="K232" s="367">
        <f t="shared" si="5"/>
        <v>63.875794629999973</v>
      </c>
      <c r="L232" s="367">
        <f>$F232-H!CH10</f>
        <v>11.875794630000001</v>
      </c>
      <c r="M232" s="367">
        <f>IFERROR(H!CH10*H!CG10,0)</f>
        <v>103.99999999999994</v>
      </c>
    </row>
    <row r="233" spans="2:13" ht="42.75" customHeight="1" x14ac:dyDescent="0.3">
      <c r="B233" s="4" t="s">
        <v>209</v>
      </c>
      <c r="C233" s="4" t="s">
        <v>187</v>
      </c>
      <c r="D233" s="4" t="s">
        <v>188</v>
      </c>
      <c r="E233" s="5" t="s">
        <v>41</v>
      </c>
      <c r="F233" s="6">
        <f>H!BS11</f>
        <v>19.042266816666668</v>
      </c>
      <c r="G233" s="7" t="s">
        <v>190</v>
      </c>
      <c r="H233" s="6" t="s">
        <v>1644</v>
      </c>
      <c r="I233" s="369">
        <f>H!BQ11</f>
        <v>30</v>
      </c>
      <c r="J233" s="368"/>
      <c r="K233" s="367">
        <f t="shared" si="5"/>
        <v>19.042266816666668</v>
      </c>
      <c r="L233" s="367">
        <f>$F233-H!BR11</f>
        <v>16.57560015</v>
      </c>
      <c r="M233" s="367">
        <f>IFERROR(H!BR11*H!BQ11,0)</f>
        <v>74</v>
      </c>
    </row>
    <row r="234" spans="2:13" ht="42.75" customHeight="1" x14ac:dyDescent="0.3">
      <c r="B234" s="4" t="s">
        <v>210</v>
      </c>
      <c r="C234" s="4" t="s">
        <v>187</v>
      </c>
      <c r="D234" s="4" t="s">
        <v>192</v>
      </c>
      <c r="E234" s="5" t="s">
        <v>41</v>
      </c>
      <c r="F234" s="6">
        <f>H!CA11</f>
        <v>25.605120261111111</v>
      </c>
      <c r="G234" s="7" t="s">
        <v>190</v>
      </c>
      <c r="H234" s="6" t="s">
        <v>1644</v>
      </c>
      <c r="I234" s="369">
        <f>H!BY11</f>
        <v>15</v>
      </c>
      <c r="J234" s="368"/>
      <c r="K234" s="367">
        <f t="shared" si="5"/>
        <v>25.605120261111111</v>
      </c>
      <c r="L234" s="367">
        <f>$F234-H!BZ11</f>
        <v>18.894009149999999</v>
      </c>
      <c r="M234" s="367">
        <f>IFERROR(H!BZ11*H!BY11,0)</f>
        <v>100.66666666666667</v>
      </c>
    </row>
    <row r="235" spans="2:13" ht="42.75" customHeight="1" x14ac:dyDescent="0.3">
      <c r="B235" s="4" t="s">
        <v>211</v>
      </c>
      <c r="C235" s="4" t="s">
        <v>187</v>
      </c>
      <c r="D235" s="4" t="s">
        <v>194</v>
      </c>
      <c r="E235" s="5" t="s">
        <v>41</v>
      </c>
      <c r="F235" s="6">
        <f>H!CI11</f>
        <v>32.507342483333332</v>
      </c>
      <c r="G235" s="7" t="s">
        <v>190</v>
      </c>
      <c r="H235" s="6" t="s">
        <v>1644</v>
      </c>
      <c r="I235" s="369">
        <f>H!CG11</f>
        <v>10</v>
      </c>
      <c r="J235" s="368"/>
      <c r="K235" s="367">
        <f t="shared" si="5"/>
        <v>32.507342483333332</v>
      </c>
      <c r="L235" s="367">
        <f>$F235-H!CH11</f>
        <v>21.774009150000001</v>
      </c>
      <c r="M235" s="367">
        <f>IFERROR(H!CH11*H!CG11,0)</f>
        <v>107.33333333333331</v>
      </c>
    </row>
    <row r="236" spans="2:13" ht="42.75" customHeight="1" x14ac:dyDescent="0.3">
      <c r="B236" s="4" t="s">
        <v>212</v>
      </c>
      <c r="C236" s="4" t="s">
        <v>187</v>
      </c>
      <c r="D236" s="4" t="s">
        <v>188</v>
      </c>
      <c r="E236" s="5" t="s">
        <v>43</v>
      </c>
      <c r="F236" s="6">
        <f>H!BS12</f>
        <v>32.524287156666666</v>
      </c>
      <c r="G236" s="7" t="s">
        <v>190</v>
      </c>
      <c r="H236" s="6" t="s">
        <v>1644</v>
      </c>
      <c r="I236" s="369">
        <f>H!BQ12</f>
        <v>30</v>
      </c>
      <c r="J236" s="368"/>
      <c r="K236" s="367">
        <f t="shared" si="5"/>
        <v>32.524287156666666</v>
      </c>
      <c r="L236" s="367">
        <f>$F236-H!BR12</f>
        <v>30.057620489999998</v>
      </c>
      <c r="M236" s="367">
        <f>IFERROR(H!BR12*H!BQ12,0)</f>
        <v>74</v>
      </c>
    </row>
    <row r="237" spans="2:13" ht="42.75" customHeight="1" x14ac:dyDescent="0.3">
      <c r="B237" s="4" t="s">
        <v>213</v>
      </c>
      <c r="C237" s="4" t="s">
        <v>187</v>
      </c>
      <c r="D237" s="4" t="s">
        <v>192</v>
      </c>
      <c r="E237" s="5" t="s">
        <v>43</v>
      </c>
      <c r="F237" s="6">
        <f>H!CA12</f>
        <v>40.178156601111105</v>
      </c>
      <c r="G237" s="7" t="s">
        <v>190</v>
      </c>
      <c r="H237" s="6" t="s">
        <v>1644</v>
      </c>
      <c r="I237" s="369">
        <f>H!BY12</f>
        <v>15</v>
      </c>
      <c r="J237" s="368"/>
      <c r="K237" s="367">
        <f t="shared" si="5"/>
        <v>40.178156601111105</v>
      </c>
      <c r="L237" s="367">
        <f>$F237-H!BZ12</f>
        <v>33.467045489999997</v>
      </c>
      <c r="M237" s="367">
        <f>IFERROR(H!BZ12*H!BY12,0)</f>
        <v>100.66666666666667</v>
      </c>
    </row>
    <row r="238" spans="2:13" ht="42.75" customHeight="1" x14ac:dyDescent="0.3">
      <c r="B238" s="4" t="s">
        <v>214</v>
      </c>
      <c r="C238" s="4" t="s">
        <v>187</v>
      </c>
      <c r="D238" s="4" t="s">
        <v>194</v>
      </c>
      <c r="E238" s="5" t="s">
        <v>43</v>
      </c>
      <c r="F238" s="6">
        <f>H!CI12</f>
        <v>143.9803788233333</v>
      </c>
      <c r="G238" s="7" t="s">
        <v>190</v>
      </c>
      <c r="H238" s="6" t="s">
        <v>1644</v>
      </c>
      <c r="I238" s="369">
        <f>H!CG12</f>
        <v>1</v>
      </c>
      <c r="J238" s="368"/>
      <c r="K238" s="367">
        <f t="shared" si="5"/>
        <v>143.9803788233333</v>
      </c>
      <c r="L238" s="367">
        <f>$F238-H!CH12</f>
        <v>36.647045489999982</v>
      </c>
      <c r="M238" s="367">
        <f>IFERROR(H!CH12*H!CG12,0)</f>
        <v>107.33333333333331</v>
      </c>
    </row>
    <row r="239" spans="2:13" ht="42.75" customHeight="1" x14ac:dyDescent="0.3">
      <c r="B239" s="4" t="s">
        <v>215</v>
      </c>
      <c r="C239" s="4" t="s">
        <v>187</v>
      </c>
      <c r="D239" s="4" t="s">
        <v>188</v>
      </c>
      <c r="E239" s="5" t="s">
        <v>45</v>
      </c>
      <c r="F239" s="6">
        <f>H!BS13</f>
        <v>57.90264706</v>
      </c>
      <c r="G239" s="7" t="s">
        <v>190</v>
      </c>
      <c r="H239" s="6" t="s">
        <v>1644</v>
      </c>
      <c r="I239" s="369">
        <f>H!BQ13</f>
        <v>20</v>
      </c>
      <c r="J239" s="368"/>
      <c r="K239" s="367">
        <f t="shared" si="5"/>
        <v>57.90264706</v>
      </c>
      <c r="L239" s="367">
        <f>$F239-H!BR13</f>
        <v>54.202647059999997</v>
      </c>
      <c r="M239" s="367">
        <f>IFERROR(H!BR13*H!BQ13,0)</f>
        <v>74</v>
      </c>
    </row>
    <row r="240" spans="2:13" ht="42.75" customHeight="1" x14ac:dyDescent="0.3">
      <c r="B240" s="4" t="s">
        <v>216</v>
      </c>
      <c r="C240" s="4" t="s">
        <v>187</v>
      </c>
      <c r="D240" s="4" t="s">
        <v>192</v>
      </c>
      <c r="E240" s="5" t="s">
        <v>45</v>
      </c>
      <c r="F240" s="6">
        <f>H!CA13</f>
        <v>65.686953171111114</v>
      </c>
      <c r="G240" s="7" t="s">
        <v>190</v>
      </c>
      <c r="H240" s="6" t="s">
        <v>1644</v>
      </c>
      <c r="I240" s="369">
        <f>H!BY13</f>
        <v>15</v>
      </c>
      <c r="J240" s="368"/>
      <c r="K240" s="367">
        <f t="shared" si="5"/>
        <v>65.686953171111114</v>
      </c>
      <c r="L240" s="367">
        <f>$F240-H!BZ13</f>
        <v>58.975842060000005</v>
      </c>
      <c r="M240" s="367">
        <f>IFERROR(H!BZ13*H!BY13,0)</f>
        <v>100.66666666666667</v>
      </c>
    </row>
    <row r="241" spans="2:13" ht="42.75" customHeight="1" x14ac:dyDescent="0.3">
      <c r="B241" s="4" t="s">
        <v>217</v>
      </c>
      <c r="C241" s="4" t="s">
        <v>187</v>
      </c>
      <c r="D241" s="4" t="s">
        <v>194</v>
      </c>
      <c r="E241" s="5" t="s">
        <v>45</v>
      </c>
      <c r="F241" s="6">
        <f>H!CI13</f>
        <v>169.78917539333332</v>
      </c>
      <c r="G241" s="7" t="s">
        <v>190</v>
      </c>
      <c r="H241" s="6" t="s">
        <v>1644</v>
      </c>
      <c r="I241" s="369">
        <f>H!CG13</f>
        <v>1</v>
      </c>
      <c r="J241" s="368"/>
      <c r="K241" s="367">
        <f t="shared" si="5"/>
        <v>169.78917539333332</v>
      </c>
      <c r="L241" s="367">
        <f>$F241-H!CH13</f>
        <v>62.455842060000009</v>
      </c>
      <c r="M241" s="367">
        <f>IFERROR(H!CH13*H!CG13,0)</f>
        <v>107.33333333333331</v>
      </c>
    </row>
    <row r="242" spans="2:13" ht="42.75" customHeight="1" x14ac:dyDescent="0.3">
      <c r="B242" s="4" t="s">
        <v>218</v>
      </c>
      <c r="C242" s="4" t="s">
        <v>187</v>
      </c>
      <c r="D242" s="4" t="s">
        <v>188</v>
      </c>
      <c r="E242" s="5" t="s">
        <v>47</v>
      </c>
      <c r="F242" s="6">
        <f>H!BS14</f>
        <v>80.528745943333334</v>
      </c>
      <c r="G242" s="7" t="s">
        <v>190</v>
      </c>
      <c r="H242" s="6" t="s">
        <v>1644</v>
      </c>
      <c r="I242" s="369">
        <f>H!BQ14</f>
        <v>15</v>
      </c>
      <c r="J242" s="368"/>
      <c r="K242" s="367">
        <f t="shared" si="5"/>
        <v>80.528745943333334</v>
      </c>
      <c r="L242" s="367">
        <f>$F242-H!BR14</f>
        <v>75.595412609999997</v>
      </c>
      <c r="M242" s="367">
        <f>IFERROR(H!BR14*H!BQ14,0)</f>
        <v>74</v>
      </c>
    </row>
    <row r="243" spans="2:13" ht="42.75" customHeight="1" x14ac:dyDescent="0.3">
      <c r="B243" s="4" t="s">
        <v>219</v>
      </c>
      <c r="C243" s="4" t="s">
        <v>187</v>
      </c>
      <c r="D243" s="4" t="s">
        <v>192</v>
      </c>
      <c r="E243" s="5" t="s">
        <v>47</v>
      </c>
      <c r="F243" s="6">
        <f>H!CA14</f>
        <v>93.480929276666657</v>
      </c>
      <c r="G243" s="7" t="s">
        <v>190</v>
      </c>
      <c r="H243" s="6" t="s">
        <v>1644</v>
      </c>
      <c r="I243" s="369">
        <f>H!BY14</f>
        <v>10</v>
      </c>
      <c r="J243" s="368"/>
      <c r="K243" s="367">
        <f t="shared" si="5"/>
        <v>93.480929276666657</v>
      </c>
      <c r="L243" s="367">
        <f>$F243-H!BZ14</f>
        <v>82.414262609999994</v>
      </c>
      <c r="M243" s="367">
        <f>IFERROR(H!BZ14*H!BY14,0)</f>
        <v>110.66666666666661</v>
      </c>
    </row>
    <row r="244" spans="2:13" ht="42.75" customHeight="1" x14ac:dyDescent="0.3">
      <c r="B244" s="4" t="s">
        <v>220</v>
      </c>
      <c r="C244" s="4" t="s">
        <v>187</v>
      </c>
      <c r="D244" s="4" t="s">
        <v>194</v>
      </c>
      <c r="E244" s="5" t="s">
        <v>47</v>
      </c>
      <c r="F244" s="6">
        <f>H!CI14</f>
        <v>102.95616737190474</v>
      </c>
      <c r="G244" s="7" t="s">
        <v>190</v>
      </c>
      <c r="H244" s="6" t="s">
        <v>1644</v>
      </c>
      <c r="I244" s="369">
        <f>H!CG14</f>
        <v>7</v>
      </c>
      <c r="J244" s="368"/>
      <c r="K244" s="367">
        <f t="shared" si="5"/>
        <v>102.95616737190474</v>
      </c>
      <c r="L244" s="367">
        <f>$F244-H!CH14</f>
        <v>86.194262609999981</v>
      </c>
      <c r="M244" s="367">
        <f>IFERROR(H!CH14*H!CG14,0)</f>
        <v>117.33333333333326</v>
      </c>
    </row>
    <row r="245" spans="2:13" ht="42.75" customHeight="1" x14ac:dyDescent="0.3">
      <c r="B245" s="4" t="s">
        <v>221</v>
      </c>
      <c r="C245" s="4" t="s">
        <v>187</v>
      </c>
      <c r="D245" s="4" t="s">
        <v>188</v>
      </c>
      <c r="E245" s="5" t="s">
        <v>222</v>
      </c>
      <c r="F245" s="6">
        <f>H!BS15</f>
        <v>115.79293816444444</v>
      </c>
      <c r="G245" s="7" t="s">
        <v>190</v>
      </c>
      <c r="H245" s="6" t="s">
        <v>1644</v>
      </c>
      <c r="I245" s="369">
        <f>H!BQ15</f>
        <v>15</v>
      </c>
      <c r="J245" s="368"/>
      <c r="K245" s="367">
        <f t="shared" si="5"/>
        <v>115.79293816444444</v>
      </c>
      <c r="L245" s="367">
        <f>$F245-H!BR15</f>
        <v>109.74849372</v>
      </c>
      <c r="M245" s="367">
        <f>IFERROR(H!BR15*H!BQ15,0)</f>
        <v>90.666666666666643</v>
      </c>
    </row>
    <row r="246" spans="2:13" ht="42.75" customHeight="1" x14ac:dyDescent="0.3">
      <c r="B246" s="4" t="s">
        <v>223</v>
      </c>
      <c r="C246" s="4" t="s">
        <v>187</v>
      </c>
      <c r="D246" s="4" t="s">
        <v>192</v>
      </c>
      <c r="E246" s="5" t="s">
        <v>222</v>
      </c>
      <c r="F246" s="6">
        <f>H!CA15</f>
        <v>129.63420638666665</v>
      </c>
      <c r="G246" s="7" t="s">
        <v>190</v>
      </c>
      <c r="H246" s="6" t="s">
        <v>1644</v>
      </c>
      <c r="I246" s="369">
        <f>H!BY15</f>
        <v>10</v>
      </c>
      <c r="J246" s="368"/>
      <c r="K246" s="367">
        <f t="shared" si="5"/>
        <v>129.63420638666665</v>
      </c>
      <c r="L246" s="367">
        <f>$F246-H!BZ15</f>
        <v>118.56753971999998</v>
      </c>
      <c r="M246" s="367">
        <f>IFERROR(H!BZ15*H!BY15,0)</f>
        <v>110.66666666666661</v>
      </c>
    </row>
    <row r="247" spans="2:13" ht="42.75" customHeight="1" x14ac:dyDescent="0.3">
      <c r="B247" s="4" t="s">
        <v>224</v>
      </c>
      <c r="C247" s="4" t="s">
        <v>187</v>
      </c>
      <c r="D247" s="4" t="s">
        <v>194</v>
      </c>
      <c r="E247" s="5" t="s">
        <v>222</v>
      </c>
      <c r="F247" s="6">
        <f>H!CI15</f>
        <v>240.04087305333326</v>
      </c>
      <c r="G247" s="7" t="s">
        <v>190</v>
      </c>
      <c r="H247" s="6" t="s">
        <v>1644</v>
      </c>
      <c r="I247" s="369">
        <f>H!CG15</f>
        <v>1</v>
      </c>
      <c r="J247" s="368"/>
      <c r="K247" s="367">
        <f t="shared" si="5"/>
        <v>240.04087305333326</v>
      </c>
      <c r="L247" s="367">
        <f>$F247-H!CH15</f>
        <v>122.70753972</v>
      </c>
      <c r="M247" s="367">
        <f>IFERROR(H!CH15*H!CG15,0)</f>
        <v>117.33333333333326</v>
      </c>
    </row>
    <row r="248" spans="2:13" ht="42.75" customHeight="1" x14ac:dyDescent="0.3">
      <c r="B248" s="4" t="s">
        <v>225</v>
      </c>
      <c r="C248" s="4" t="s">
        <v>187</v>
      </c>
      <c r="D248" s="4" t="s">
        <v>188</v>
      </c>
      <c r="E248" s="5" t="s">
        <v>226</v>
      </c>
      <c r="F248" s="6">
        <f>H!BS16</f>
        <v>165.84164792238096</v>
      </c>
      <c r="G248" s="7" t="s">
        <v>190</v>
      </c>
      <c r="H248" s="6" t="s">
        <v>1644</v>
      </c>
      <c r="I248" s="369">
        <f>H!BQ16</f>
        <v>7</v>
      </c>
      <c r="J248" s="368"/>
      <c r="K248" s="367">
        <f t="shared" si="5"/>
        <v>165.84164792238096</v>
      </c>
      <c r="L248" s="367">
        <f>$F248-H!BR16</f>
        <v>152.88926696999999</v>
      </c>
      <c r="M248" s="367">
        <f>IFERROR(H!BR16*H!BQ16,0)</f>
        <v>90.666666666666643</v>
      </c>
    </row>
    <row r="249" spans="2:13" ht="42.75" customHeight="1" x14ac:dyDescent="0.3">
      <c r="B249" s="4" t="s">
        <v>227</v>
      </c>
      <c r="C249" s="4" t="s">
        <v>187</v>
      </c>
      <c r="D249" s="4" t="s">
        <v>192</v>
      </c>
      <c r="E249" s="5" t="s">
        <v>226</v>
      </c>
      <c r="F249" s="6">
        <f>H!CA16</f>
        <v>185.93276030333334</v>
      </c>
      <c r="G249" s="7" t="s">
        <v>190</v>
      </c>
      <c r="H249" s="6" t="s">
        <v>1644</v>
      </c>
      <c r="I249" s="369">
        <f>H!BY16</f>
        <v>5</v>
      </c>
      <c r="J249" s="368"/>
      <c r="K249" s="367">
        <f t="shared" si="5"/>
        <v>185.93276030333334</v>
      </c>
      <c r="L249" s="367">
        <f>$F249-H!BZ16</f>
        <v>163.79942697000001</v>
      </c>
      <c r="M249" s="367">
        <f>IFERROR(H!BZ16*H!BY16,0)</f>
        <v>110.66666666666661</v>
      </c>
    </row>
    <row r="250" spans="2:13" ht="42.75" customHeight="1" x14ac:dyDescent="0.3">
      <c r="B250" s="4" t="s">
        <v>228</v>
      </c>
      <c r="C250" s="4" t="s">
        <v>187</v>
      </c>
      <c r="D250" s="4" t="s">
        <v>194</v>
      </c>
      <c r="E250" s="5" t="s">
        <v>226</v>
      </c>
      <c r="F250" s="6">
        <f>H!CI16</f>
        <v>197.51276030333332</v>
      </c>
      <c r="G250" s="7" t="s">
        <v>190</v>
      </c>
      <c r="H250" s="6" t="s">
        <v>1644</v>
      </c>
      <c r="I250" s="369">
        <f>H!CG16</f>
        <v>4</v>
      </c>
      <c r="J250" s="368"/>
      <c r="K250" s="367">
        <f t="shared" si="5"/>
        <v>197.51276030333332</v>
      </c>
      <c r="L250" s="367">
        <f>$F250-H!CH16</f>
        <v>168.17942697000001</v>
      </c>
      <c r="M250" s="367">
        <f>IFERROR(H!CH16*H!CG16,0)</f>
        <v>117.33333333333326</v>
      </c>
    </row>
    <row r="251" spans="2:13" ht="42.75" customHeight="1" x14ac:dyDescent="0.3">
      <c r="B251" s="4" t="s">
        <v>229</v>
      </c>
      <c r="C251" s="4" t="s">
        <v>187</v>
      </c>
      <c r="D251" s="4" t="s">
        <v>188</v>
      </c>
      <c r="E251" s="5" t="s">
        <v>230</v>
      </c>
      <c r="F251" s="6">
        <f>H!BS17</f>
        <v>219.01874606238096</v>
      </c>
      <c r="G251" s="7" t="s">
        <v>190</v>
      </c>
      <c r="H251" s="6" t="s">
        <v>1644</v>
      </c>
      <c r="I251" s="369">
        <f>H!BQ17</f>
        <v>7</v>
      </c>
      <c r="J251" s="368"/>
      <c r="K251" s="367">
        <f t="shared" si="5"/>
        <v>219.01874606238096</v>
      </c>
      <c r="L251" s="367">
        <f>$F251-H!BR17</f>
        <v>206.06636510999999</v>
      </c>
      <c r="M251" s="367">
        <f>IFERROR(H!BR17*H!BQ17,0)</f>
        <v>90.666666666666643</v>
      </c>
    </row>
    <row r="252" spans="2:13" ht="42.75" customHeight="1" x14ac:dyDescent="0.3">
      <c r="B252" s="4" t="s">
        <v>231</v>
      </c>
      <c r="C252" s="4" t="s">
        <v>187</v>
      </c>
      <c r="D252" s="4" t="s">
        <v>192</v>
      </c>
      <c r="E252" s="5" t="s">
        <v>230</v>
      </c>
      <c r="F252" s="6">
        <f>H!CA17</f>
        <v>241.42826744333334</v>
      </c>
      <c r="G252" s="7" t="s">
        <v>190</v>
      </c>
      <c r="H252" s="6" t="s">
        <v>1644</v>
      </c>
      <c r="I252" s="369">
        <f>H!BY17</f>
        <v>5</v>
      </c>
      <c r="J252" s="368"/>
      <c r="K252" s="367">
        <f t="shared" si="5"/>
        <v>241.42826744333334</v>
      </c>
      <c r="L252" s="367">
        <f>$F252-H!BZ17</f>
        <v>219.29493411000001</v>
      </c>
      <c r="M252" s="367">
        <f>IFERROR(H!BZ17*H!BY17,0)</f>
        <v>110.66666666666661</v>
      </c>
    </row>
    <row r="253" spans="2:13" ht="42.75" customHeight="1" x14ac:dyDescent="0.3">
      <c r="B253" s="4" t="s">
        <v>232</v>
      </c>
      <c r="C253" s="4" t="s">
        <v>187</v>
      </c>
      <c r="D253" s="4" t="s">
        <v>194</v>
      </c>
      <c r="E253" s="5" t="s">
        <v>230</v>
      </c>
      <c r="F253" s="6">
        <f>H!CI17</f>
        <v>253.30826744333334</v>
      </c>
      <c r="G253" s="7" t="s">
        <v>190</v>
      </c>
      <c r="H253" s="6" t="s">
        <v>1644</v>
      </c>
      <c r="I253" s="369">
        <f>H!CG17</f>
        <v>4</v>
      </c>
      <c r="J253" s="368"/>
      <c r="K253" s="367">
        <f t="shared" si="5"/>
        <v>253.30826744333334</v>
      </c>
      <c r="L253" s="367">
        <f>$F253-H!CH17</f>
        <v>223.97493411000002</v>
      </c>
      <c r="M253" s="367">
        <f>IFERROR(H!CH17*H!CG17,0)</f>
        <v>117.33333333333326</v>
      </c>
    </row>
    <row r="254" spans="2:13" ht="42.75" customHeight="1" x14ac:dyDescent="0.3">
      <c r="B254" s="4" t="s">
        <v>233</v>
      </c>
      <c r="C254" s="4" t="s">
        <v>187</v>
      </c>
      <c r="D254" s="4" t="s">
        <v>188</v>
      </c>
      <c r="E254" s="5" t="s">
        <v>234</v>
      </c>
      <c r="F254" s="6">
        <f>H!BS18</f>
        <v>300.55073077222221</v>
      </c>
      <c r="G254" s="7" t="s">
        <v>190</v>
      </c>
      <c r="H254" s="6" t="s">
        <v>1644</v>
      </c>
      <c r="I254" s="369">
        <f>H!BQ18</f>
        <v>3</v>
      </c>
      <c r="J254" s="368"/>
      <c r="K254" s="367">
        <f t="shared" si="5"/>
        <v>300.55073077222221</v>
      </c>
      <c r="L254" s="367">
        <f>$F254-H!BR18</f>
        <v>270.32850854999998</v>
      </c>
      <c r="M254" s="367">
        <f>IFERROR(H!BR18*H!BQ18,0)</f>
        <v>90.666666666666643</v>
      </c>
    </row>
    <row r="255" spans="2:13" ht="42.75" customHeight="1" x14ac:dyDescent="0.3">
      <c r="B255" s="4" t="s">
        <v>235</v>
      </c>
      <c r="C255" s="4" t="s">
        <v>187</v>
      </c>
      <c r="D255" s="4" t="s">
        <v>192</v>
      </c>
      <c r="E255" s="5" t="s">
        <v>234</v>
      </c>
      <c r="F255" s="6">
        <f>H!CA18</f>
        <v>322.94621143888884</v>
      </c>
      <c r="G255" s="7" t="s">
        <v>190</v>
      </c>
      <c r="H255" s="6" t="s">
        <v>1644</v>
      </c>
      <c r="I255" s="369">
        <f>H!BY18</f>
        <v>3</v>
      </c>
      <c r="J255" s="368"/>
      <c r="K255" s="367">
        <f t="shared" si="5"/>
        <v>322.94621143888884</v>
      </c>
      <c r="L255" s="367">
        <f>$F255-H!BZ18</f>
        <v>286.05732254999998</v>
      </c>
      <c r="M255" s="367">
        <f>IFERROR(H!BZ18*H!BY18,0)</f>
        <v>110.66666666666661</v>
      </c>
    </row>
    <row r="256" spans="2:13" ht="42.75" customHeight="1" x14ac:dyDescent="0.3">
      <c r="B256" s="4" t="s">
        <v>236</v>
      </c>
      <c r="C256" s="4" t="s">
        <v>187</v>
      </c>
      <c r="D256" s="4" t="s">
        <v>194</v>
      </c>
      <c r="E256" s="5" t="s">
        <v>234</v>
      </c>
      <c r="F256" s="6">
        <f>H!CI18</f>
        <v>330.14843366111108</v>
      </c>
      <c r="G256" s="7" t="s">
        <v>190</v>
      </c>
      <c r="H256" s="6" t="s">
        <v>1644</v>
      </c>
      <c r="I256" s="369">
        <f>H!CG18</f>
        <v>3</v>
      </c>
      <c r="J256" s="368"/>
      <c r="K256" s="367">
        <f t="shared" si="5"/>
        <v>330.14843366111108</v>
      </c>
      <c r="L256" s="367">
        <f>$F256-H!CH18</f>
        <v>291.03732255</v>
      </c>
      <c r="M256" s="367">
        <f>IFERROR(H!CH18*H!CG18,0)</f>
        <v>117.33333333333326</v>
      </c>
    </row>
    <row r="257" spans="2:13" ht="42.75" customHeight="1" x14ac:dyDescent="0.3">
      <c r="B257" s="4" t="s">
        <v>237</v>
      </c>
      <c r="C257" s="4" t="s">
        <v>187</v>
      </c>
      <c r="D257" s="4" t="s">
        <v>188</v>
      </c>
      <c r="E257" s="5" t="s">
        <v>238</v>
      </c>
      <c r="F257" s="6">
        <f>H!BS19</f>
        <v>383.39099670666667</v>
      </c>
      <c r="G257" s="7" t="s">
        <v>190</v>
      </c>
      <c r="H257" s="6" t="s">
        <v>1644</v>
      </c>
      <c r="I257" s="369">
        <f>H!BQ19</f>
        <v>3</v>
      </c>
      <c r="J257" s="368"/>
      <c r="K257" s="367">
        <f t="shared" si="5"/>
        <v>383.39099670666667</v>
      </c>
      <c r="L257" s="367">
        <f>$F257-H!BR19</f>
        <v>346.72433004000004</v>
      </c>
      <c r="M257" s="367">
        <f>IFERROR(H!BR19*H!BQ19,0)</f>
        <v>109.99999999999997</v>
      </c>
    </row>
    <row r="258" spans="2:13" ht="42.75" customHeight="1" x14ac:dyDescent="0.3">
      <c r="B258" s="4" t="s">
        <v>239</v>
      </c>
      <c r="C258" s="4" t="s">
        <v>187</v>
      </c>
      <c r="D258" s="4" t="s">
        <v>192</v>
      </c>
      <c r="E258" s="5" t="s">
        <v>238</v>
      </c>
      <c r="F258" s="6">
        <f>H!CA19</f>
        <v>408.51401737333333</v>
      </c>
      <c r="G258" s="7" t="s">
        <v>190</v>
      </c>
      <c r="H258" s="6" t="s">
        <v>1644</v>
      </c>
      <c r="I258" s="369">
        <f>H!BY19</f>
        <v>3</v>
      </c>
      <c r="J258" s="368"/>
      <c r="K258" s="367">
        <f t="shared" si="5"/>
        <v>408.51401737333333</v>
      </c>
      <c r="L258" s="367">
        <f>$F258-H!BZ19</f>
        <v>365.18068404000002</v>
      </c>
      <c r="M258" s="367">
        <f>IFERROR(H!BZ19*H!BY19,0)</f>
        <v>129.99999999999997</v>
      </c>
    </row>
    <row r="259" spans="2:13" ht="42.75" customHeight="1" x14ac:dyDescent="0.3">
      <c r="B259" s="4" t="s">
        <v>240</v>
      </c>
      <c r="C259" s="4" t="s">
        <v>187</v>
      </c>
      <c r="D259" s="4" t="s">
        <v>194</v>
      </c>
      <c r="E259" s="5" t="s">
        <v>238</v>
      </c>
      <c r="F259" s="6">
        <f>H!CI19</f>
        <v>507.24735070666657</v>
      </c>
      <c r="G259" s="7" t="s">
        <v>190</v>
      </c>
      <c r="H259" s="6" t="s">
        <v>1644</v>
      </c>
      <c r="I259" s="369">
        <f>H!CG19</f>
        <v>1</v>
      </c>
      <c r="J259" s="368"/>
      <c r="K259" s="367">
        <f t="shared" si="5"/>
        <v>507.24735070666657</v>
      </c>
      <c r="L259" s="367">
        <f>$F259-H!CH19</f>
        <v>370.58068403999994</v>
      </c>
      <c r="M259" s="367">
        <f>IFERROR(H!CH19*H!CG19,0)</f>
        <v>136.6666666666666</v>
      </c>
    </row>
    <row r="260" spans="2:13" ht="42.75" customHeight="1" x14ac:dyDescent="0.3">
      <c r="B260" s="4" t="s">
        <v>241</v>
      </c>
      <c r="C260" s="4" t="s">
        <v>187</v>
      </c>
      <c r="D260" s="4" t="s">
        <v>188</v>
      </c>
      <c r="E260" s="5" t="s">
        <v>242</v>
      </c>
      <c r="F260" s="6">
        <f>H!BS20</f>
        <v>472.96912899666665</v>
      </c>
      <c r="G260" s="7" t="s">
        <v>190</v>
      </c>
      <c r="H260" s="6" t="s">
        <v>1644</v>
      </c>
      <c r="I260" s="369">
        <f>H!BQ20</f>
        <v>3</v>
      </c>
      <c r="J260" s="368"/>
      <c r="K260" s="367">
        <f t="shared" si="5"/>
        <v>472.96912899666665</v>
      </c>
      <c r="L260" s="367">
        <f>$F260-H!BR20</f>
        <v>436.30246233000003</v>
      </c>
      <c r="M260" s="367">
        <f>IFERROR(H!BR20*H!BQ20,0)</f>
        <v>109.99999999999997</v>
      </c>
    </row>
    <row r="261" spans="2:13" ht="42.75" customHeight="1" x14ac:dyDescent="0.3">
      <c r="B261" s="4" t="s">
        <v>243</v>
      </c>
      <c r="C261" s="4" t="s">
        <v>187</v>
      </c>
      <c r="D261" s="4" t="s">
        <v>192</v>
      </c>
      <c r="E261" s="5" t="s">
        <v>242</v>
      </c>
      <c r="F261" s="6">
        <f>H!CA20</f>
        <v>501.04698466333338</v>
      </c>
      <c r="G261" s="7" t="s">
        <v>190</v>
      </c>
      <c r="H261" s="6" t="s">
        <v>1644</v>
      </c>
      <c r="I261" s="369">
        <f>H!BY20</f>
        <v>3</v>
      </c>
      <c r="J261" s="368"/>
      <c r="K261" s="367">
        <f t="shared" si="5"/>
        <v>501.04698466333338</v>
      </c>
      <c r="L261" s="367">
        <f>$F261-H!BZ20</f>
        <v>457.71365133000006</v>
      </c>
      <c r="M261" s="367">
        <f>IFERROR(H!BZ20*H!BY20,0)</f>
        <v>129.99999999999997</v>
      </c>
    </row>
    <row r="262" spans="2:13" ht="42.75" customHeight="1" x14ac:dyDescent="0.3">
      <c r="B262" s="4" t="s">
        <v>244</v>
      </c>
      <c r="C262" s="4" t="s">
        <v>187</v>
      </c>
      <c r="D262" s="4" t="s">
        <v>194</v>
      </c>
      <c r="E262" s="5" t="s">
        <v>242</v>
      </c>
      <c r="F262" s="6">
        <f>H!CI20</f>
        <v>508.96920688555559</v>
      </c>
      <c r="G262" s="7" t="s">
        <v>190</v>
      </c>
      <c r="H262" s="6" t="s">
        <v>1644</v>
      </c>
      <c r="I262" s="369">
        <f>H!CG20</f>
        <v>3</v>
      </c>
      <c r="J262" s="368"/>
      <c r="K262" s="367">
        <f t="shared" si="5"/>
        <v>508.96920688555559</v>
      </c>
      <c r="L262" s="367">
        <f>$F262-H!CH20</f>
        <v>463.41365133000005</v>
      </c>
      <c r="M262" s="367">
        <f>IFERROR(H!CH20*H!CG20,0)</f>
        <v>136.6666666666666</v>
      </c>
    </row>
    <row r="263" spans="2:13" ht="42.75" customHeight="1" x14ac:dyDescent="0.3">
      <c r="B263" s="4" t="s">
        <v>245</v>
      </c>
      <c r="C263" s="4" t="s">
        <v>187</v>
      </c>
      <c r="D263" s="4" t="s">
        <v>188</v>
      </c>
      <c r="E263" s="5" t="s">
        <v>246</v>
      </c>
      <c r="F263" s="6">
        <f>H!BS21</f>
        <v>595.11162582999998</v>
      </c>
      <c r="G263" s="7" t="s">
        <v>190</v>
      </c>
      <c r="H263" s="6" t="s">
        <v>1644</v>
      </c>
      <c r="I263" s="369">
        <f>H!BQ21</f>
        <v>2</v>
      </c>
      <c r="J263" s="368"/>
      <c r="K263" s="367">
        <f t="shared" si="5"/>
        <v>595.11162582999998</v>
      </c>
      <c r="L263" s="367">
        <f>$F263-H!BR21</f>
        <v>540.11162582999998</v>
      </c>
      <c r="M263" s="367">
        <f>IFERROR(H!BR21*H!BQ21,0)</f>
        <v>109.99999999999997</v>
      </c>
    </row>
    <row r="264" spans="2:13" ht="42.75" customHeight="1" x14ac:dyDescent="0.3">
      <c r="B264" s="4" t="s">
        <v>247</v>
      </c>
      <c r="C264" s="4" t="s">
        <v>187</v>
      </c>
      <c r="D264" s="4" t="s">
        <v>192</v>
      </c>
      <c r="E264" s="5" t="s">
        <v>246</v>
      </c>
      <c r="F264" s="6">
        <f>H!CA21</f>
        <v>630.11407582999993</v>
      </c>
      <c r="G264" s="7" t="s">
        <v>190</v>
      </c>
      <c r="H264" s="6" t="s">
        <v>1644</v>
      </c>
      <c r="I264" s="369">
        <f>H!BY21</f>
        <v>2</v>
      </c>
      <c r="J264" s="368"/>
      <c r="K264" s="367">
        <f t="shared" si="5"/>
        <v>630.11407582999993</v>
      </c>
      <c r="L264" s="367">
        <f>$F264-H!BZ21</f>
        <v>565.11407582999993</v>
      </c>
      <c r="M264" s="367">
        <f>IFERROR(H!BZ21*H!BY21,0)</f>
        <v>129.99999999999997</v>
      </c>
    </row>
    <row r="265" spans="2:13" ht="42.75" customHeight="1" x14ac:dyDescent="0.3">
      <c r="B265" s="4" t="s">
        <v>248</v>
      </c>
      <c r="C265" s="4" t="s">
        <v>187</v>
      </c>
      <c r="D265" s="4" t="s">
        <v>194</v>
      </c>
      <c r="E265" s="5" t="s">
        <v>246</v>
      </c>
      <c r="F265" s="6">
        <f>H!CI21</f>
        <v>639.44740916333319</v>
      </c>
      <c r="G265" s="7" t="s">
        <v>190</v>
      </c>
      <c r="H265" s="6" t="s">
        <v>1644</v>
      </c>
      <c r="I265" s="369">
        <f>H!CG21</f>
        <v>2</v>
      </c>
      <c r="J265" s="368"/>
      <c r="K265" s="367">
        <f t="shared" si="5"/>
        <v>639.44740916333319</v>
      </c>
      <c r="L265" s="367">
        <f>$F265-H!CH21</f>
        <v>571.11407582999993</v>
      </c>
      <c r="M265" s="367">
        <f>IFERROR(H!CH21*H!CG21,0)</f>
        <v>136.6666666666666</v>
      </c>
    </row>
    <row r="266" spans="2:13" ht="42.75" customHeight="1" x14ac:dyDescent="0.3">
      <c r="B266" s="4" t="s">
        <v>249</v>
      </c>
      <c r="C266" s="4" t="s">
        <v>187</v>
      </c>
      <c r="D266" s="4" t="s">
        <v>188</v>
      </c>
      <c r="E266" s="5" t="s">
        <v>250</v>
      </c>
      <c r="F266" s="6">
        <f>H!BS22</f>
        <v>714.20045329000004</v>
      </c>
      <c r="G266" s="7" t="s">
        <v>190</v>
      </c>
      <c r="H266" s="6" t="s">
        <v>1644</v>
      </c>
      <c r="I266" s="369">
        <f>H!BQ22</f>
        <v>2</v>
      </c>
      <c r="J266" s="368"/>
      <c r="K266" s="367">
        <f t="shared" si="5"/>
        <v>714.20045329000004</v>
      </c>
      <c r="L266" s="367">
        <f>$F266-H!BR22</f>
        <v>659.20045329000004</v>
      </c>
      <c r="M266" s="367">
        <f>IFERROR(H!BR22*H!BQ22,0)</f>
        <v>109.99999999999997</v>
      </c>
    </row>
    <row r="267" spans="2:13" ht="42.75" customHeight="1" x14ac:dyDescent="0.3">
      <c r="B267" s="4" t="s">
        <v>251</v>
      </c>
      <c r="C267" s="4" t="s">
        <v>187</v>
      </c>
      <c r="D267" s="4" t="s">
        <v>192</v>
      </c>
      <c r="E267" s="5" t="s">
        <v>250</v>
      </c>
      <c r="F267" s="6">
        <f>H!CA22</f>
        <v>752.83962328999996</v>
      </c>
      <c r="G267" s="7" t="s">
        <v>190</v>
      </c>
      <c r="H267" s="6" t="s">
        <v>1644</v>
      </c>
      <c r="I267" s="369">
        <f>H!BY22</f>
        <v>2</v>
      </c>
      <c r="J267" s="368"/>
      <c r="K267" s="367">
        <f t="shared" si="5"/>
        <v>752.83962328999996</v>
      </c>
      <c r="L267" s="367">
        <f>$F267-H!BZ22</f>
        <v>687.83962328999996</v>
      </c>
      <c r="M267" s="367">
        <f>IFERROR(H!BZ22*H!BY22,0)</f>
        <v>129.99999999999997</v>
      </c>
    </row>
    <row r="268" spans="2:13" ht="42.75" customHeight="1" x14ac:dyDescent="0.3">
      <c r="B268" s="4" t="s">
        <v>252</v>
      </c>
      <c r="C268" s="4" t="s">
        <v>187</v>
      </c>
      <c r="D268" s="4" t="s">
        <v>194</v>
      </c>
      <c r="E268" s="5" t="s">
        <v>250</v>
      </c>
      <c r="F268" s="6">
        <f>H!CI22</f>
        <v>762.47295662333318</v>
      </c>
      <c r="G268" s="7" t="s">
        <v>190</v>
      </c>
      <c r="H268" s="6" t="s">
        <v>1644</v>
      </c>
      <c r="I268" s="369">
        <f>H!CG22</f>
        <v>2</v>
      </c>
      <c r="J268" s="368"/>
      <c r="K268" s="367">
        <f t="shared" si="5"/>
        <v>762.47295662333318</v>
      </c>
      <c r="L268" s="367">
        <f>$F268-H!CH22</f>
        <v>694.13962328999992</v>
      </c>
      <c r="M268" s="367">
        <f>IFERROR(H!CH22*H!CG22,0)</f>
        <v>136.6666666666666</v>
      </c>
    </row>
    <row r="269" spans="2:13" ht="42.75" customHeight="1" x14ac:dyDescent="0.3">
      <c r="B269" s="4" t="s">
        <v>253</v>
      </c>
      <c r="C269" s="4" t="s">
        <v>187</v>
      </c>
      <c r="D269" s="4" t="s">
        <v>188</v>
      </c>
      <c r="E269" s="5" t="s">
        <v>254</v>
      </c>
      <c r="F269" s="6">
        <f>H!BS23</f>
        <v>849.61766511999997</v>
      </c>
      <c r="G269" s="7" t="s">
        <v>190</v>
      </c>
      <c r="H269" s="6" t="s">
        <v>1644</v>
      </c>
      <c r="I269" s="369">
        <f>H!BQ23</f>
        <v>2</v>
      </c>
      <c r="J269" s="368"/>
      <c r="K269" s="367">
        <f t="shared" si="5"/>
        <v>849.61766511999997</v>
      </c>
      <c r="L269" s="367">
        <f>$F269-H!BR23</f>
        <v>794.61766511999997</v>
      </c>
      <c r="M269" s="367">
        <f>IFERROR(H!BR23*H!BQ23,0)</f>
        <v>109.99999999999997</v>
      </c>
    </row>
    <row r="270" spans="2:13" ht="42.75" customHeight="1" x14ac:dyDescent="0.3">
      <c r="B270" s="4" t="s">
        <v>255</v>
      </c>
      <c r="C270" s="4" t="s">
        <v>187</v>
      </c>
      <c r="D270" s="4" t="s">
        <v>192</v>
      </c>
      <c r="E270" s="5" t="s">
        <v>254</v>
      </c>
      <c r="F270" s="6">
        <f>H!CA23</f>
        <v>891.43896511999992</v>
      </c>
      <c r="G270" s="7" t="s">
        <v>190</v>
      </c>
      <c r="H270" s="6" t="s">
        <v>1644</v>
      </c>
      <c r="I270" s="369">
        <f>H!BY23</f>
        <v>2</v>
      </c>
      <c r="J270" s="368"/>
      <c r="K270" s="367">
        <f t="shared" si="5"/>
        <v>891.43896511999992</v>
      </c>
      <c r="L270" s="367">
        <f>$F270-H!BZ23</f>
        <v>826.43896511999992</v>
      </c>
      <c r="M270" s="367">
        <f>IFERROR(H!BZ23*H!BY23,0)</f>
        <v>129.99999999999997</v>
      </c>
    </row>
    <row r="271" spans="2:13" ht="42.75" customHeight="1" x14ac:dyDescent="0.3">
      <c r="B271" s="4" t="s">
        <v>256</v>
      </c>
      <c r="C271" s="4" t="s">
        <v>187</v>
      </c>
      <c r="D271" s="4" t="s">
        <v>194</v>
      </c>
      <c r="E271" s="5" t="s">
        <v>254</v>
      </c>
      <c r="F271" s="6">
        <f>H!CI23</f>
        <v>901.3722984533332</v>
      </c>
      <c r="G271" s="7" t="s">
        <v>190</v>
      </c>
      <c r="H271" s="6" t="s">
        <v>1644</v>
      </c>
      <c r="I271" s="369">
        <f>H!CG23</f>
        <v>2</v>
      </c>
      <c r="J271" s="368"/>
      <c r="K271" s="367">
        <f t="shared" si="5"/>
        <v>901.3722984533332</v>
      </c>
      <c r="L271" s="367">
        <f>$F271-H!CH23</f>
        <v>833.03896511999994</v>
      </c>
      <c r="M271" s="367">
        <f>IFERROR(H!CH23*H!CG23,0)</f>
        <v>136.6666666666666</v>
      </c>
    </row>
    <row r="272" spans="2:13" ht="42.75" customHeight="1" x14ac:dyDescent="0.3">
      <c r="B272" s="4" t="s">
        <v>257</v>
      </c>
      <c r="C272" s="4" t="s">
        <v>187</v>
      </c>
      <c r="D272" s="4" t="s">
        <v>188</v>
      </c>
      <c r="E272" s="5" t="s">
        <v>258</v>
      </c>
      <c r="F272" s="6">
        <f>H!BS24</f>
        <v>1057.4118502399999</v>
      </c>
      <c r="G272" s="7" t="s">
        <v>190</v>
      </c>
      <c r="H272" s="6" t="s">
        <v>1644</v>
      </c>
      <c r="I272" s="369">
        <f>H!BQ24</f>
        <v>1</v>
      </c>
      <c r="J272" s="368"/>
      <c r="K272" s="367">
        <f t="shared" si="5"/>
        <v>1057.4118502399999</v>
      </c>
      <c r="L272" s="367">
        <f>$F272-H!BR24</f>
        <v>947.41185023999992</v>
      </c>
      <c r="M272" s="367">
        <f>IFERROR(H!BR24*H!BQ24,0)</f>
        <v>109.99999999999997</v>
      </c>
    </row>
    <row r="273" spans="2:13" ht="42.75" customHeight="1" x14ac:dyDescent="0.3">
      <c r="B273" s="4" t="s">
        <v>259</v>
      </c>
      <c r="C273" s="4" t="s">
        <v>187</v>
      </c>
      <c r="D273" s="4" t="s">
        <v>192</v>
      </c>
      <c r="E273" s="5" t="s">
        <v>258</v>
      </c>
      <c r="F273" s="6">
        <f>H!CA24</f>
        <v>1112.86987024</v>
      </c>
      <c r="G273" s="7" t="s">
        <v>190</v>
      </c>
      <c r="H273" s="6" t="s">
        <v>1644</v>
      </c>
      <c r="I273" s="369">
        <f>H!BY24</f>
        <v>1</v>
      </c>
      <c r="J273" s="368"/>
      <c r="K273" s="367">
        <f t="shared" si="5"/>
        <v>1112.86987024</v>
      </c>
      <c r="L273" s="367">
        <f>$F273-H!BZ24</f>
        <v>982.86987023999995</v>
      </c>
      <c r="M273" s="367">
        <f>IFERROR(H!BZ24*H!BY24,0)</f>
        <v>129.99999999999997</v>
      </c>
    </row>
    <row r="274" spans="2:13" ht="42.75" customHeight="1" x14ac:dyDescent="0.3">
      <c r="B274" s="4" t="s">
        <v>260</v>
      </c>
      <c r="C274" s="4" t="s">
        <v>187</v>
      </c>
      <c r="D274" s="4" t="s">
        <v>194</v>
      </c>
      <c r="E274" s="5" t="s">
        <v>258</v>
      </c>
      <c r="F274" s="6">
        <f>H!CI24</f>
        <v>1126.4365369066666</v>
      </c>
      <c r="G274" s="7" t="s">
        <v>190</v>
      </c>
      <c r="H274" s="6" t="s">
        <v>1644</v>
      </c>
      <c r="I274" s="369">
        <f>H!CG24</f>
        <v>1</v>
      </c>
      <c r="J274" s="368"/>
      <c r="K274" s="367">
        <f t="shared" si="5"/>
        <v>1126.4365369066666</v>
      </c>
      <c r="L274" s="367">
        <f>$F274-H!CH24</f>
        <v>989.76987023999993</v>
      </c>
      <c r="M274" s="367">
        <f>IFERROR(H!CH24*H!CG24,0)</f>
        <v>136.6666666666666</v>
      </c>
    </row>
    <row r="275" spans="2:13" ht="42.75" customHeight="1" x14ac:dyDescent="0.3">
      <c r="B275" s="4" t="s">
        <v>261</v>
      </c>
      <c r="C275" s="4" t="s">
        <v>187</v>
      </c>
      <c r="D275" s="4" t="s">
        <v>188</v>
      </c>
      <c r="E275" s="5" t="s">
        <v>262</v>
      </c>
      <c r="F275" s="6">
        <f>H!BS25</f>
        <v>1228.63172906</v>
      </c>
      <c r="G275" s="7" t="s">
        <v>190</v>
      </c>
      <c r="H275" s="6" t="s">
        <v>1644</v>
      </c>
      <c r="I275" s="369">
        <f>H!BQ25</f>
        <v>1</v>
      </c>
      <c r="J275" s="368"/>
      <c r="K275" s="367">
        <f t="shared" si="5"/>
        <v>1228.63172906</v>
      </c>
      <c r="L275" s="367">
        <f>$F275-H!BR25</f>
        <v>1118.63172906</v>
      </c>
      <c r="M275" s="367">
        <f>IFERROR(H!BR25*H!BQ25,0)</f>
        <v>109.99999999999997</v>
      </c>
    </row>
    <row r="276" spans="2:13" ht="42.75" customHeight="1" x14ac:dyDescent="0.3">
      <c r="B276" s="4" t="s">
        <v>263</v>
      </c>
      <c r="C276" s="4" t="s">
        <v>187</v>
      </c>
      <c r="D276" s="4" t="s">
        <v>192</v>
      </c>
      <c r="E276" s="5" t="s">
        <v>262</v>
      </c>
      <c r="F276" s="6">
        <f>H!CA25</f>
        <v>1288.04468206</v>
      </c>
      <c r="G276" s="7" t="s">
        <v>190</v>
      </c>
      <c r="H276" s="6" t="s">
        <v>1644</v>
      </c>
      <c r="I276" s="369">
        <f>H!BY25</f>
        <v>1</v>
      </c>
      <c r="J276" s="368"/>
      <c r="K276" s="367">
        <f t="shared" si="5"/>
        <v>1288.04468206</v>
      </c>
      <c r="L276" s="367">
        <f>$F276-H!BZ25</f>
        <v>1158.04468206</v>
      </c>
      <c r="M276" s="367">
        <f>IFERROR(H!BZ25*H!BY25,0)</f>
        <v>129.99999999999997</v>
      </c>
    </row>
    <row r="277" spans="2:13" ht="42.75" customHeight="1" x14ac:dyDescent="0.3">
      <c r="B277" s="4" t="s">
        <v>264</v>
      </c>
      <c r="C277" s="4" t="s">
        <v>187</v>
      </c>
      <c r="D277" s="4" t="s">
        <v>194</v>
      </c>
      <c r="E277" s="5" t="s">
        <v>262</v>
      </c>
      <c r="F277" s="6">
        <f>H!CI25</f>
        <v>1302.0313487266665</v>
      </c>
      <c r="G277" s="7" t="s">
        <v>190</v>
      </c>
      <c r="H277" s="6" t="s">
        <v>1644</v>
      </c>
      <c r="I277" s="369">
        <f>H!CG25</f>
        <v>1</v>
      </c>
      <c r="J277" s="368"/>
      <c r="K277" s="367">
        <f t="shared" si="5"/>
        <v>1302.0313487266665</v>
      </c>
      <c r="L277" s="367">
        <f>$F277-H!CH25</f>
        <v>1165.36468206</v>
      </c>
      <c r="M277" s="367">
        <f>IFERROR(H!CH25*H!CG25,0)</f>
        <v>136.6666666666666</v>
      </c>
    </row>
    <row r="278" spans="2:13" ht="42.75" customHeight="1" x14ac:dyDescent="0.3">
      <c r="B278" s="4" t="s">
        <v>265</v>
      </c>
      <c r="C278" s="4" t="s">
        <v>187</v>
      </c>
      <c r="D278" s="4" t="s">
        <v>188</v>
      </c>
      <c r="E278" s="5" t="s">
        <v>266</v>
      </c>
      <c r="F278" s="6">
        <f>H!BS26</f>
        <v>1459.32597816</v>
      </c>
      <c r="G278" s="7" t="s">
        <v>190</v>
      </c>
      <c r="H278" s="6" t="s">
        <v>1644</v>
      </c>
      <c r="I278" s="369">
        <f>H!BQ26</f>
        <v>1</v>
      </c>
      <c r="J278" s="368"/>
      <c r="K278" s="367">
        <f t="shared" si="5"/>
        <v>1459.32597816</v>
      </c>
      <c r="L278" s="367">
        <f>$F278-H!BR26</f>
        <v>1309.32597816</v>
      </c>
      <c r="M278" s="367">
        <f>IFERROR(H!BR26*H!BQ26,0)</f>
        <v>149.99999999999989</v>
      </c>
    </row>
    <row r="279" spans="2:13" ht="42.75" customHeight="1" x14ac:dyDescent="0.3">
      <c r="B279" s="4" t="s">
        <v>267</v>
      </c>
      <c r="C279" s="4" t="s">
        <v>187</v>
      </c>
      <c r="D279" s="4" t="s">
        <v>192</v>
      </c>
      <c r="E279" s="5" t="s">
        <v>266</v>
      </c>
      <c r="F279" s="6">
        <f>H!CA26</f>
        <v>1524.78497816</v>
      </c>
      <c r="G279" s="7" t="s">
        <v>190</v>
      </c>
      <c r="H279" s="6" t="s">
        <v>1644</v>
      </c>
      <c r="I279" s="369">
        <f>H!BY26</f>
        <v>1</v>
      </c>
      <c r="J279" s="368"/>
      <c r="K279" s="367">
        <f t="shared" si="5"/>
        <v>1524.78497816</v>
      </c>
      <c r="L279" s="367">
        <f>$F279-H!BZ26</f>
        <v>1354.78497816</v>
      </c>
      <c r="M279" s="367">
        <f>IFERROR(H!BZ26*H!BY26,0)</f>
        <v>169.99999999999991</v>
      </c>
    </row>
    <row r="280" spans="2:13" ht="42.75" customHeight="1" x14ac:dyDescent="0.3">
      <c r="B280" s="4" t="s">
        <v>268</v>
      </c>
      <c r="C280" s="4" t="s">
        <v>187</v>
      </c>
      <c r="D280" s="4" t="s">
        <v>194</v>
      </c>
      <c r="E280" s="5" t="s">
        <v>266</v>
      </c>
      <c r="F280" s="6">
        <f>H!CI26</f>
        <v>1539.1316448266666</v>
      </c>
      <c r="G280" s="7" t="s">
        <v>190</v>
      </c>
      <c r="H280" s="6" t="s">
        <v>1644</v>
      </c>
      <c r="I280" s="369">
        <f>H!CG26</f>
        <v>1</v>
      </c>
      <c r="J280" s="368"/>
      <c r="K280" s="367">
        <f t="shared" si="5"/>
        <v>1539.1316448266666</v>
      </c>
      <c r="L280" s="367">
        <f>$F280-H!CH26</f>
        <v>1362.4649781600001</v>
      </c>
      <c r="M280" s="367">
        <f>IFERROR(H!CH26*H!CG26,0)</f>
        <v>176.66666666666657</v>
      </c>
    </row>
    <row r="281" spans="2:13" ht="42.75" customHeight="1" x14ac:dyDescent="0.3">
      <c r="B281" s="4" t="s">
        <v>269</v>
      </c>
      <c r="C281" s="4" t="s">
        <v>187</v>
      </c>
      <c r="D281" s="4" t="s">
        <v>188</v>
      </c>
      <c r="E281" s="5" t="s">
        <v>270</v>
      </c>
      <c r="F281" s="6">
        <f>H!BS27</f>
        <v>1670.54318646</v>
      </c>
      <c r="G281" s="7" t="s">
        <v>190</v>
      </c>
      <c r="H281" s="6" t="s">
        <v>1644</v>
      </c>
      <c r="I281" s="369">
        <f>H!BQ27</f>
        <v>1</v>
      </c>
      <c r="J281" s="368"/>
      <c r="K281" s="367">
        <f t="shared" si="5"/>
        <v>1670.54318646</v>
      </c>
      <c r="L281" s="367">
        <f>$F281-H!BR27</f>
        <v>1520.54318646</v>
      </c>
      <c r="M281" s="367">
        <f>IFERROR(H!BR27*H!BQ27,0)</f>
        <v>149.99999999999989</v>
      </c>
    </row>
    <row r="282" spans="2:13" ht="42.75" customHeight="1" x14ac:dyDescent="0.3">
      <c r="B282" s="4" t="s">
        <v>271</v>
      </c>
      <c r="C282" s="4" t="s">
        <v>187</v>
      </c>
      <c r="D282" s="4" t="s">
        <v>192</v>
      </c>
      <c r="E282" s="5" t="s">
        <v>270</v>
      </c>
      <c r="F282" s="6">
        <f>H!CA27</f>
        <v>1739.6389064600003</v>
      </c>
      <c r="G282" s="7" t="s">
        <v>190</v>
      </c>
      <c r="H282" s="6" t="s">
        <v>1644</v>
      </c>
      <c r="I282" s="369">
        <f>H!BY27</f>
        <v>1</v>
      </c>
      <c r="J282" s="368"/>
      <c r="K282" s="367">
        <f t="shared" si="5"/>
        <v>1739.6389064600003</v>
      </c>
      <c r="L282" s="367">
        <f>$F282-H!BZ27</f>
        <v>1569.6389064600003</v>
      </c>
      <c r="M282" s="367">
        <f>IFERROR(H!BZ27*H!BY27,0)</f>
        <v>169.99999999999991</v>
      </c>
    </row>
    <row r="283" spans="2:13" ht="42.75" customHeight="1" x14ac:dyDescent="0.3">
      <c r="B283" s="4" t="s">
        <v>272</v>
      </c>
      <c r="C283" s="4" t="s">
        <v>187</v>
      </c>
      <c r="D283" s="4" t="s">
        <v>194</v>
      </c>
      <c r="E283" s="5" t="s">
        <v>270</v>
      </c>
      <c r="F283" s="6">
        <f>H!CI27</f>
        <v>1754.3455731266667</v>
      </c>
      <c r="G283" s="7" t="s">
        <v>190</v>
      </c>
      <c r="H283" s="6" t="s">
        <v>1644</v>
      </c>
      <c r="I283" s="369">
        <f>H!CG27</f>
        <v>1</v>
      </c>
      <c r="J283" s="368"/>
      <c r="K283" s="367">
        <f t="shared" si="5"/>
        <v>1754.3455731266667</v>
      </c>
      <c r="L283" s="367">
        <f>$F283-H!CH27</f>
        <v>1577.6789064600002</v>
      </c>
      <c r="M283" s="367">
        <f>IFERROR(H!CH27*H!CG27,0)</f>
        <v>176.66666666666657</v>
      </c>
    </row>
    <row r="284" spans="2:13" ht="42.75" customHeight="1" x14ac:dyDescent="0.3">
      <c r="B284" s="4" t="s">
        <v>273</v>
      </c>
      <c r="C284" s="4" t="s">
        <v>187</v>
      </c>
      <c r="D284" s="4" t="s">
        <v>188</v>
      </c>
      <c r="E284" s="5" t="s">
        <v>274</v>
      </c>
      <c r="F284" s="6">
        <f>H!BS28</f>
        <v>1903.3321182</v>
      </c>
      <c r="G284" s="7" t="s">
        <v>190</v>
      </c>
      <c r="H284" s="6" t="s">
        <v>1644</v>
      </c>
      <c r="I284" s="369">
        <f>H!BQ28</f>
        <v>1</v>
      </c>
      <c r="J284" s="368"/>
      <c r="K284" s="367">
        <f t="shared" si="5"/>
        <v>1903.3321182</v>
      </c>
      <c r="L284" s="367">
        <f>$F284-H!BR28</f>
        <v>1753.3321182</v>
      </c>
      <c r="M284" s="367">
        <f>IFERROR(H!BR28*H!BQ28,0)</f>
        <v>149.99999999999989</v>
      </c>
    </row>
    <row r="285" spans="2:13" ht="42.75" customHeight="1" x14ac:dyDescent="0.3">
      <c r="B285" s="4" t="s">
        <v>275</v>
      </c>
      <c r="C285" s="4" t="s">
        <v>187</v>
      </c>
      <c r="D285" s="4" t="s">
        <v>192</v>
      </c>
      <c r="E285" s="5" t="s">
        <v>274</v>
      </c>
      <c r="F285" s="6">
        <f>H!CA28</f>
        <v>1976.1554762000001</v>
      </c>
      <c r="G285" s="7" t="s">
        <v>190</v>
      </c>
      <c r="H285" s="6" t="s">
        <v>1644</v>
      </c>
      <c r="I285" s="369">
        <f>H!BY28</f>
        <v>1</v>
      </c>
      <c r="J285" s="368"/>
      <c r="K285" s="367">
        <f t="shared" si="5"/>
        <v>1976.1554762000001</v>
      </c>
      <c r="L285" s="367">
        <f>$F285-H!BZ28</f>
        <v>1806.1554762000001</v>
      </c>
      <c r="M285" s="367">
        <f>IFERROR(H!BZ28*H!BY28,0)</f>
        <v>169.99999999999991</v>
      </c>
    </row>
    <row r="286" spans="2:13" ht="42.75" customHeight="1" x14ac:dyDescent="0.3">
      <c r="B286" s="4" t="s">
        <v>276</v>
      </c>
      <c r="C286" s="4" t="s">
        <v>187</v>
      </c>
      <c r="D286" s="4" t="s">
        <v>194</v>
      </c>
      <c r="E286" s="5" t="s">
        <v>274</v>
      </c>
      <c r="F286" s="6">
        <f>H!CI28</f>
        <v>1991.1021428666666</v>
      </c>
      <c r="G286" s="7" t="s">
        <v>190</v>
      </c>
      <c r="H286" s="6" t="s">
        <v>1644</v>
      </c>
      <c r="I286" s="369">
        <f>H!CG28</f>
        <v>1</v>
      </c>
      <c r="J286" s="368"/>
      <c r="K286" s="367">
        <f t="shared" si="5"/>
        <v>1991.1021428666666</v>
      </c>
      <c r="L286" s="367">
        <f>$F286-H!CH28</f>
        <v>1814.4354762</v>
      </c>
      <c r="M286" s="367">
        <f>IFERROR(H!CH28*H!CG28,0)</f>
        <v>176.66666666666657</v>
      </c>
    </row>
    <row r="287" spans="2:13" ht="42.75" customHeight="1" x14ac:dyDescent="0.3">
      <c r="B287" s="4" t="s">
        <v>277</v>
      </c>
      <c r="C287" s="4" t="s">
        <v>187</v>
      </c>
      <c r="D287" s="4" t="s">
        <v>188</v>
      </c>
      <c r="E287" s="5" t="s">
        <v>278</v>
      </c>
      <c r="F287" s="6">
        <f>H!BS29</f>
        <v>2158.7413623000002</v>
      </c>
      <c r="G287" s="7" t="s">
        <v>190</v>
      </c>
      <c r="H287" s="6" t="s">
        <v>1644</v>
      </c>
      <c r="I287" s="369">
        <f>H!BQ29</f>
        <v>1</v>
      </c>
      <c r="J287" s="368"/>
      <c r="K287" s="367">
        <f t="shared" si="5"/>
        <v>2158.7413623000002</v>
      </c>
      <c r="L287" s="367">
        <f>$F287-H!BR29</f>
        <v>2008.7413623000002</v>
      </c>
      <c r="M287" s="367">
        <f>IFERROR(H!BR29*H!BQ29,0)</f>
        <v>149.99999999999989</v>
      </c>
    </row>
    <row r="288" spans="2:13" ht="42.75" customHeight="1" x14ac:dyDescent="0.3">
      <c r="B288" s="4" t="s">
        <v>279</v>
      </c>
      <c r="C288" s="4" t="s">
        <v>187</v>
      </c>
      <c r="D288" s="4" t="s">
        <v>192</v>
      </c>
      <c r="E288" s="5" t="s">
        <v>278</v>
      </c>
      <c r="F288" s="6">
        <f>H!CA29</f>
        <v>2236.4742923000003</v>
      </c>
      <c r="G288" s="7" t="s">
        <v>190</v>
      </c>
      <c r="H288" s="6" t="s">
        <v>1644</v>
      </c>
      <c r="I288" s="369">
        <f>H!BY29</f>
        <v>1</v>
      </c>
      <c r="J288" s="368"/>
      <c r="K288" s="367">
        <f t="shared" si="5"/>
        <v>2236.4742923000003</v>
      </c>
      <c r="L288" s="367">
        <f>$F288-H!BZ29</f>
        <v>2066.4742923000003</v>
      </c>
      <c r="M288" s="367">
        <f>IFERROR(H!BZ29*H!BY29,0)</f>
        <v>169.99999999999991</v>
      </c>
    </row>
    <row r="289" spans="2:13" ht="42.75" customHeight="1" x14ac:dyDescent="0.3">
      <c r="B289" s="4" t="s">
        <v>280</v>
      </c>
      <c r="C289" s="4" t="s">
        <v>187</v>
      </c>
      <c r="D289" s="4" t="s">
        <v>194</v>
      </c>
      <c r="E289" s="5" t="s">
        <v>278</v>
      </c>
      <c r="F289" s="6">
        <f>H!CI29</f>
        <v>2251.5409589666669</v>
      </c>
      <c r="G289" s="7" t="s">
        <v>190</v>
      </c>
      <c r="H289" s="6" t="s">
        <v>1644</v>
      </c>
      <c r="I289" s="369">
        <f>H!CG29</f>
        <v>1</v>
      </c>
      <c r="J289" s="368"/>
      <c r="K289" s="367">
        <f t="shared" si="5"/>
        <v>2251.5409589666669</v>
      </c>
      <c r="L289" s="367">
        <f>$F289-H!CH29</f>
        <v>2074.8742923000004</v>
      </c>
      <c r="M289" s="367">
        <f>IFERROR(H!CH29*H!CG29,0)</f>
        <v>176.66666666666657</v>
      </c>
    </row>
    <row r="290" spans="2:13" ht="42.75" customHeight="1" x14ac:dyDescent="0.3">
      <c r="B290" s="4" t="s">
        <v>281</v>
      </c>
      <c r="C290" s="4" t="s">
        <v>187</v>
      </c>
      <c r="D290" s="4" t="s">
        <v>282</v>
      </c>
      <c r="E290" s="5" t="s">
        <v>189</v>
      </c>
      <c r="F290" s="6">
        <f>H!BS30</f>
        <v>2.0794077466666669</v>
      </c>
      <c r="G290" s="7" t="s">
        <v>190</v>
      </c>
      <c r="H290" s="6" t="s">
        <v>1644</v>
      </c>
      <c r="I290" s="369">
        <f>H!BQ30</f>
        <v>50</v>
      </c>
      <c r="J290" s="368"/>
      <c r="K290" s="367">
        <f t="shared" si="5"/>
        <v>2.0794077466666669</v>
      </c>
      <c r="L290" s="367">
        <f>$F290-H!BR30</f>
        <v>0.53274108000000009</v>
      </c>
      <c r="M290" s="367">
        <f>IFERROR(H!BR30*H!BQ30,0)</f>
        <v>77.333333333333343</v>
      </c>
    </row>
    <row r="291" spans="2:13" ht="42.75" customHeight="1" x14ac:dyDescent="0.3">
      <c r="B291" s="4" t="s">
        <v>283</v>
      </c>
      <c r="C291" s="4" t="s">
        <v>187</v>
      </c>
      <c r="D291" s="4" t="s">
        <v>284</v>
      </c>
      <c r="E291" s="5" t="s">
        <v>189</v>
      </c>
      <c r="F291" s="6">
        <f>H!CA30</f>
        <v>3.4046114609523794</v>
      </c>
      <c r="G291" s="7" t="s">
        <v>190</v>
      </c>
      <c r="H291" s="6" t="s">
        <v>1644</v>
      </c>
      <c r="I291" s="369">
        <f>H!BY30</f>
        <v>35</v>
      </c>
      <c r="J291" s="368"/>
      <c r="K291" s="367">
        <f t="shared" si="5"/>
        <v>3.4046114609523794</v>
      </c>
      <c r="L291" s="367">
        <f>$F291-H!BZ30</f>
        <v>0.62365907999999992</v>
      </c>
      <c r="M291" s="367">
        <f>IFERROR(H!BZ30*H!BY30,0)</f>
        <v>97.333333333333286</v>
      </c>
    </row>
    <row r="292" spans="2:13" ht="42.75" customHeight="1" x14ac:dyDescent="0.3">
      <c r="B292" s="4" t="s">
        <v>285</v>
      </c>
      <c r="C292" s="4" t="s">
        <v>187</v>
      </c>
      <c r="D292" s="4" t="s">
        <v>286</v>
      </c>
      <c r="E292" s="5" t="s">
        <v>189</v>
      </c>
      <c r="F292" s="6">
        <f>H!CI30</f>
        <v>22.323659079999992</v>
      </c>
      <c r="G292" s="7" t="s">
        <v>190</v>
      </c>
      <c r="H292" s="6" t="s">
        <v>1644</v>
      </c>
      <c r="I292" s="369">
        <f>H!CG30</f>
        <v>5</v>
      </c>
      <c r="J292" s="368"/>
      <c r="K292" s="367">
        <f t="shared" si="5"/>
        <v>22.323659079999992</v>
      </c>
      <c r="L292" s="367">
        <f>$F292-H!CH30</f>
        <v>1.5236590800000016</v>
      </c>
      <c r="M292" s="367">
        <f>IFERROR(H!CH30*H!CG30,0)</f>
        <v>103.99999999999994</v>
      </c>
    </row>
    <row r="293" spans="2:13" ht="42.75" customHeight="1" x14ac:dyDescent="0.3">
      <c r="B293" s="4" t="s">
        <v>287</v>
      </c>
      <c r="C293" s="4" t="s">
        <v>187</v>
      </c>
      <c r="D293" s="4" t="s">
        <v>282</v>
      </c>
      <c r="E293" s="5" t="s">
        <v>196</v>
      </c>
      <c r="F293" s="6">
        <f>H!BS31</f>
        <v>3.2932458346666671</v>
      </c>
      <c r="G293" s="7" t="s">
        <v>190</v>
      </c>
      <c r="H293" s="6" t="s">
        <v>1644</v>
      </c>
      <c r="I293" s="369">
        <f>H!BQ31</f>
        <v>50</v>
      </c>
      <c r="J293" s="368"/>
      <c r="K293" s="367">
        <f t="shared" si="5"/>
        <v>3.2932458346666671</v>
      </c>
      <c r="L293" s="367">
        <f>$F293-H!BR31</f>
        <v>1.7465791680000002</v>
      </c>
      <c r="M293" s="367">
        <f>IFERROR(H!BR31*H!BQ31,0)</f>
        <v>77.333333333333343</v>
      </c>
    </row>
    <row r="294" spans="2:13" ht="42.75" customHeight="1" x14ac:dyDescent="0.3">
      <c r="B294" s="4" t="s">
        <v>288</v>
      </c>
      <c r="C294" s="4" t="s">
        <v>187</v>
      </c>
      <c r="D294" s="4" t="s">
        <v>284</v>
      </c>
      <c r="E294" s="5" t="s">
        <v>196</v>
      </c>
      <c r="F294" s="6">
        <f>H!CA31</f>
        <v>4.8002855489523792</v>
      </c>
      <c r="G294" s="7" t="s">
        <v>190</v>
      </c>
      <c r="H294" s="6" t="s">
        <v>1644</v>
      </c>
      <c r="I294" s="369">
        <f>H!BY31</f>
        <v>35</v>
      </c>
      <c r="J294" s="368"/>
      <c r="K294" s="367">
        <f t="shared" si="5"/>
        <v>4.8002855489523792</v>
      </c>
      <c r="L294" s="367">
        <f>$F294-H!BZ31</f>
        <v>2.0193331679999997</v>
      </c>
      <c r="M294" s="367">
        <f>IFERROR(H!BZ31*H!BY31,0)</f>
        <v>97.333333333333286</v>
      </c>
    </row>
    <row r="295" spans="2:13" ht="42.75" customHeight="1" x14ac:dyDescent="0.3">
      <c r="B295" s="4" t="s">
        <v>289</v>
      </c>
      <c r="C295" s="4" t="s">
        <v>187</v>
      </c>
      <c r="D295" s="4" t="s">
        <v>286</v>
      </c>
      <c r="E295" s="5" t="s">
        <v>196</v>
      </c>
      <c r="F295" s="6">
        <f>H!CI31</f>
        <v>5.1493331679999983</v>
      </c>
      <c r="G295" s="7" t="s">
        <v>190</v>
      </c>
      <c r="H295" s="6" t="s">
        <v>1644</v>
      </c>
      <c r="I295" s="369">
        <f>H!CG31</f>
        <v>50</v>
      </c>
      <c r="J295" s="368"/>
      <c r="K295" s="367">
        <f t="shared" ref="K295:K358" si="6">IF(OR($J295="",$J295&lt;=0),$F295,$L295+$M295/$J295)</f>
        <v>5.1493331679999983</v>
      </c>
      <c r="L295" s="367">
        <f>$F295-H!CH31</f>
        <v>3.0693331679999996</v>
      </c>
      <c r="M295" s="367">
        <f>IFERROR(H!CH31*H!CG31,0)</f>
        <v>103.99999999999994</v>
      </c>
    </row>
    <row r="296" spans="2:13" ht="42.75" customHeight="1" x14ac:dyDescent="0.3">
      <c r="B296" s="4" t="s">
        <v>290</v>
      </c>
      <c r="C296" s="4" t="s">
        <v>187</v>
      </c>
      <c r="D296" s="4" t="s">
        <v>282</v>
      </c>
      <c r="E296" s="5" t="s">
        <v>200</v>
      </c>
      <c r="F296" s="6">
        <f>H!BS32</f>
        <v>6.6707810737777784</v>
      </c>
      <c r="G296" s="7" t="s">
        <v>190</v>
      </c>
      <c r="H296" s="6" t="s">
        <v>1644</v>
      </c>
      <c r="I296" s="369">
        <f>H!BQ32</f>
        <v>30</v>
      </c>
      <c r="J296" s="368"/>
      <c r="K296" s="367">
        <f t="shared" si="6"/>
        <v>6.6707810737777784</v>
      </c>
      <c r="L296" s="367">
        <f>$F296-H!BR32</f>
        <v>4.0930032960000009</v>
      </c>
      <c r="M296" s="367">
        <f>IFERROR(H!BR32*H!BQ32,0)</f>
        <v>77.333333333333343</v>
      </c>
    </row>
    <row r="297" spans="2:13" ht="42.75" customHeight="1" x14ac:dyDescent="0.3">
      <c r="B297" s="4" t="s">
        <v>291</v>
      </c>
      <c r="C297" s="4" t="s">
        <v>187</v>
      </c>
      <c r="D297" s="4" t="s">
        <v>284</v>
      </c>
      <c r="E297" s="5" t="s">
        <v>200</v>
      </c>
      <c r="F297" s="6">
        <f>H!CA32</f>
        <v>8.4409266293333314</v>
      </c>
      <c r="G297" s="7" t="s">
        <v>190</v>
      </c>
      <c r="H297" s="6" t="s">
        <v>1644</v>
      </c>
      <c r="I297" s="369">
        <f>H!BY32</f>
        <v>25</v>
      </c>
      <c r="J297" s="368"/>
      <c r="K297" s="367">
        <f t="shared" si="6"/>
        <v>8.4409266293333314</v>
      </c>
      <c r="L297" s="367">
        <f>$F297-H!BZ32</f>
        <v>4.5475932960000005</v>
      </c>
      <c r="M297" s="367">
        <f>IFERROR(H!BZ32*H!BY32,0)</f>
        <v>97.333333333333286</v>
      </c>
    </row>
    <row r="298" spans="2:13" ht="42.75" customHeight="1" x14ac:dyDescent="0.3">
      <c r="B298" s="4" t="s">
        <v>292</v>
      </c>
      <c r="C298" s="4" t="s">
        <v>187</v>
      </c>
      <c r="D298" s="4" t="s">
        <v>286</v>
      </c>
      <c r="E298" s="5" t="s">
        <v>200</v>
      </c>
      <c r="F298" s="6">
        <f>H!CI32</f>
        <v>7.7675932959999994</v>
      </c>
      <c r="G298" s="7" t="s">
        <v>190</v>
      </c>
      <c r="H298" s="6" t="s">
        <v>1644</v>
      </c>
      <c r="I298" s="369">
        <f>H!CG32</f>
        <v>50</v>
      </c>
      <c r="J298" s="368"/>
      <c r="K298" s="367">
        <f t="shared" si="6"/>
        <v>7.7675932959999994</v>
      </c>
      <c r="L298" s="367">
        <f>$F298-H!CH32</f>
        <v>5.6875932960000011</v>
      </c>
      <c r="M298" s="367">
        <f>IFERROR(H!CH32*H!CG32,0)</f>
        <v>103.99999999999994</v>
      </c>
    </row>
    <row r="299" spans="2:13" ht="42.75" customHeight="1" x14ac:dyDescent="0.3">
      <c r="B299" s="4" t="s">
        <v>293</v>
      </c>
      <c r="C299" s="4" t="s">
        <v>187</v>
      </c>
      <c r="D299" s="4" t="s">
        <v>282</v>
      </c>
      <c r="E299" s="5" t="s">
        <v>185</v>
      </c>
      <c r="F299" s="6">
        <f>H!BS33</f>
        <v>27.265676725333336</v>
      </c>
      <c r="G299" s="7" t="s">
        <v>190</v>
      </c>
      <c r="H299" s="6" t="s">
        <v>1644</v>
      </c>
      <c r="I299" s="369">
        <f>H!BQ33</f>
        <v>4</v>
      </c>
      <c r="J299" s="368"/>
      <c r="K299" s="367">
        <f t="shared" si="6"/>
        <v>27.265676725333336</v>
      </c>
      <c r="L299" s="367">
        <f>$F299-H!BR33</f>
        <v>7.9323433919999999</v>
      </c>
      <c r="M299" s="367">
        <f>IFERROR(H!BR33*H!BQ33,0)</f>
        <v>77.333333333333343</v>
      </c>
    </row>
    <row r="300" spans="2:13" ht="42.75" customHeight="1" x14ac:dyDescent="0.3">
      <c r="B300" s="4" t="s">
        <v>294</v>
      </c>
      <c r="C300" s="4" t="s">
        <v>187</v>
      </c>
      <c r="D300" s="4" t="s">
        <v>284</v>
      </c>
      <c r="E300" s="5" t="s">
        <v>185</v>
      </c>
      <c r="F300" s="6">
        <f>H!CA33</f>
        <v>12.553020725333331</v>
      </c>
      <c r="G300" s="7" t="s">
        <v>190</v>
      </c>
      <c r="H300" s="6" t="s">
        <v>1644</v>
      </c>
      <c r="I300" s="369">
        <f>H!BY33</f>
        <v>25</v>
      </c>
      <c r="J300" s="368"/>
      <c r="K300" s="367">
        <f t="shared" si="6"/>
        <v>12.553020725333331</v>
      </c>
      <c r="L300" s="367">
        <f>$F300-H!BZ33</f>
        <v>8.6596873920000004</v>
      </c>
      <c r="M300" s="367">
        <f>IFERROR(H!BZ33*H!BY33,0)</f>
        <v>97.333333333333286</v>
      </c>
    </row>
    <row r="301" spans="2:13" ht="42.75" customHeight="1" x14ac:dyDescent="0.3">
      <c r="B301" s="4" t="s">
        <v>295</v>
      </c>
      <c r="C301" s="4" t="s">
        <v>187</v>
      </c>
      <c r="D301" s="4" t="s">
        <v>286</v>
      </c>
      <c r="E301" s="5" t="s">
        <v>185</v>
      </c>
      <c r="F301" s="6">
        <f>H!CI33</f>
        <v>13.506354058666666</v>
      </c>
      <c r="G301" s="7" t="s">
        <v>190</v>
      </c>
      <c r="H301" s="6" t="s">
        <v>1644</v>
      </c>
      <c r="I301" s="369">
        <f>H!CG33</f>
        <v>30</v>
      </c>
      <c r="J301" s="368"/>
      <c r="K301" s="367">
        <f t="shared" si="6"/>
        <v>13.506354058666666</v>
      </c>
      <c r="L301" s="367">
        <f>$F301-H!CH33</f>
        <v>10.039687392000001</v>
      </c>
      <c r="M301" s="367">
        <f>IFERROR(H!CH33*H!CG33,0)</f>
        <v>103.99999999999994</v>
      </c>
    </row>
    <row r="302" spans="2:13" ht="42.75" customHeight="1" x14ac:dyDescent="0.3">
      <c r="B302" s="4" t="s">
        <v>296</v>
      </c>
      <c r="C302" s="4" t="s">
        <v>187</v>
      </c>
      <c r="D302" s="4" t="s">
        <v>282</v>
      </c>
      <c r="E302" s="5" t="s">
        <v>39</v>
      </c>
      <c r="F302" s="6">
        <f>H!BS34</f>
        <v>24.110195049777776</v>
      </c>
      <c r="G302" s="7" t="s">
        <v>190</v>
      </c>
      <c r="H302" s="6" t="s">
        <v>1644</v>
      </c>
      <c r="I302" s="369">
        <f>H!BQ34</f>
        <v>30</v>
      </c>
      <c r="J302" s="368"/>
      <c r="K302" s="367">
        <f t="shared" si="6"/>
        <v>24.110195049777776</v>
      </c>
      <c r="L302" s="367">
        <f>$F302-H!BR34</f>
        <v>21.532417271999996</v>
      </c>
      <c r="M302" s="367">
        <f>IFERROR(H!BR34*H!BQ34,0)</f>
        <v>77.333333333333343</v>
      </c>
    </row>
    <row r="303" spans="2:13" ht="42.75" customHeight="1" x14ac:dyDescent="0.3">
      <c r="B303" s="4" t="s">
        <v>297</v>
      </c>
      <c r="C303" s="4" t="s">
        <v>187</v>
      </c>
      <c r="D303" s="4" t="s">
        <v>284</v>
      </c>
      <c r="E303" s="5" t="s">
        <v>39</v>
      </c>
      <c r="F303" s="6">
        <f>H!CA34</f>
        <v>26.834979605333327</v>
      </c>
      <c r="G303" s="7" t="s">
        <v>190</v>
      </c>
      <c r="H303" s="6" t="s">
        <v>1644</v>
      </c>
      <c r="I303" s="369">
        <f>H!BY34</f>
        <v>25</v>
      </c>
      <c r="J303" s="368"/>
      <c r="K303" s="367">
        <f t="shared" si="6"/>
        <v>26.834979605333327</v>
      </c>
      <c r="L303" s="367">
        <f>$F303-H!BZ34</f>
        <v>22.941646271999996</v>
      </c>
      <c r="M303" s="367">
        <f>IFERROR(H!BZ34*H!BY34,0)</f>
        <v>97.333333333333286</v>
      </c>
    </row>
    <row r="304" spans="2:13" ht="42.75" customHeight="1" x14ac:dyDescent="0.3">
      <c r="B304" s="4" t="s">
        <v>298</v>
      </c>
      <c r="C304" s="4" t="s">
        <v>187</v>
      </c>
      <c r="D304" s="4" t="s">
        <v>286</v>
      </c>
      <c r="E304" s="5" t="s">
        <v>39</v>
      </c>
      <c r="F304" s="6">
        <f>H!CI34</f>
        <v>30.721646271999994</v>
      </c>
      <c r="G304" s="7" t="s">
        <v>190</v>
      </c>
      <c r="H304" s="6" t="s">
        <v>1644</v>
      </c>
      <c r="I304" s="369">
        <f>H!CG34</f>
        <v>20</v>
      </c>
      <c r="J304" s="368"/>
      <c r="K304" s="367">
        <f t="shared" si="6"/>
        <v>30.721646271999994</v>
      </c>
      <c r="L304" s="367">
        <f>$F304-H!CH34</f>
        <v>25.521646271999998</v>
      </c>
      <c r="M304" s="367">
        <f>IFERROR(H!CH34*H!CG34,0)</f>
        <v>103.99999999999994</v>
      </c>
    </row>
    <row r="305" spans="2:13" ht="42.75" customHeight="1" x14ac:dyDescent="0.3">
      <c r="B305" s="4" t="s">
        <v>299</v>
      </c>
      <c r="C305" s="4" t="s">
        <v>187</v>
      </c>
      <c r="D305" s="4" t="s">
        <v>282</v>
      </c>
      <c r="E305" s="5" t="s">
        <v>300</v>
      </c>
      <c r="F305" s="6">
        <f>H!BS35</f>
        <v>34.703061456888889</v>
      </c>
      <c r="G305" s="7" t="s">
        <v>190</v>
      </c>
      <c r="H305" s="6" t="s">
        <v>1644</v>
      </c>
      <c r="I305" s="369">
        <f>H!BQ35</f>
        <v>30</v>
      </c>
      <c r="J305" s="368"/>
      <c r="K305" s="367">
        <f t="shared" si="6"/>
        <v>34.703061456888889</v>
      </c>
      <c r="L305" s="367">
        <f>$F305-H!BR35</f>
        <v>32.014172567999999</v>
      </c>
      <c r="M305" s="367">
        <f>IFERROR(H!BR35*H!BQ35,0)</f>
        <v>80.6666666666667</v>
      </c>
    </row>
    <row r="306" spans="2:13" ht="42.75" customHeight="1" x14ac:dyDescent="0.3">
      <c r="B306" s="4" t="s">
        <v>301</v>
      </c>
      <c r="C306" s="4" t="s">
        <v>187</v>
      </c>
      <c r="D306" s="4" t="s">
        <v>284</v>
      </c>
      <c r="E306" s="5" t="s">
        <v>300</v>
      </c>
      <c r="F306" s="6">
        <f>H!CA35</f>
        <v>37.722822234666666</v>
      </c>
      <c r="G306" s="7" t="s">
        <v>190</v>
      </c>
      <c r="H306" s="6" t="s">
        <v>1644</v>
      </c>
      <c r="I306" s="369">
        <f>H!BY35</f>
        <v>25</v>
      </c>
      <c r="J306" s="368"/>
      <c r="K306" s="367">
        <f t="shared" si="6"/>
        <v>37.722822234666666</v>
      </c>
      <c r="L306" s="367">
        <f>$F306-H!BZ35</f>
        <v>33.696155567999995</v>
      </c>
      <c r="M306" s="367">
        <f>IFERROR(H!BZ35*H!BY35,0)</f>
        <v>100.66666666666669</v>
      </c>
    </row>
    <row r="307" spans="2:13" ht="42.75" customHeight="1" x14ac:dyDescent="0.3">
      <c r="B307" s="4" t="s">
        <v>302</v>
      </c>
      <c r="C307" s="4" t="s">
        <v>187</v>
      </c>
      <c r="D307" s="4" t="s">
        <v>286</v>
      </c>
      <c r="E307" s="5" t="s">
        <v>300</v>
      </c>
      <c r="F307" s="6">
        <f>H!CI35</f>
        <v>41.762822234666672</v>
      </c>
      <c r="G307" s="7" t="s">
        <v>190</v>
      </c>
      <c r="H307" s="6" t="s">
        <v>1644</v>
      </c>
      <c r="I307" s="369">
        <f>H!CG35</f>
        <v>20</v>
      </c>
      <c r="J307" s="368"/>
      <c r="K307" s="367">
        <f t="shared" si="6"/>
        <v>41.762822234666672</v>
      </c>
      <c r="L307" s="367">
        <f>$F307-H!CH35</f>
        <v>36.396155568000005</v>
      </c>
      <c r="M307" s="367">
        <f>IFERROR(H!CH35*H!CG35,0)</f>
        <v>107.33333333333331</v>
      </c>
    </row>
    <row r="308" spans="2:13" ht="42.75" customHeight="1" x14ac:dyDescent="0.3">
      <c r="B308" s="4" t="s">
        <v>303</v>
      </c>
      <c r="C308" s="4" t="s">
        <v>187</v>
      </c>
      <c r="D308" s="4" t="s">
        <v>282</v>
      </c>
      <c r="E308" s="5" t="s">
        <v>41</v>
      </c>
      <c r="F308" s="6">
        <f>H!BS36</f>
        <v>49.464461293333329</v>
      </c>
      <c r="G308" s="7" t="s">
        <v>190</v>
      </c>
      <c r="H308" s="6" t="s">
        <v>1644</v>
      </c>
      <c r="I308" s="369">
        <f>H!BQ36</f>
        <v>20</v>
      </c>
      <c r="J308" s="368"/>
      <c r="K308" s="367">
        <f t="shared" si="6"/>
        <v>49.464461293333329</v>
      </c>
      <c r="L308" s="367">
        <f>$F308-H!BR36</f>
        <v>45.431127959999998</v>
      </c>
      <c r="M308" s="367">
        <f>IFERROR(H!BR36*H!BQ36,0)</f>
        <v>80.6666666666667</v>
      </c>
    </row>
    <row r="309" spans="2:13" ht="42.75" customHeight="1" x14ac:dyDescent="0.3">
      <c r="B309" s="4" t="s">
        <v>304</v>
      </c>
      <c r="C309" s="4" t="s">
        <v>187</v>
      </c>
      <c r="D309" s="4" t="s">
        <v>284</v>
      </c>
      <c r="E309" s="5" t="s">
        <v>41</v>
      </c>
      <c r="F309" s="6">
        <f>H!CA36</f>
        <v>54.460648071111102</v>
      </c>
      <c r="G309" s="7" t="s">
        <v>190</v>
      </c>
      <c r="H309" s="6" t="s">
        <v>1644</v>
      </c>
      <c r="I309" s="369">
        <f>H!BY36</f>
        <v>15</v>
      </c>
      <c r="J309" s="368"/>
      <c r="K309" s="367">
        <f t="shared" si="6"/>
        <v>54.460648071111102</v>
      </c>
      <c r="L309" s="367">
        <f>$F309-H!BZ36</f>
        <v>47.749536959999993</v>
      </c>
      <c r="M309" s="367">
        <f>IFERROR(H!BZ36*H!BY36,0)</f>
        <v>100.66666666666667</v>
      </c>
    </row>
    <row r="310" spans="2:13" ht="42.75" customHeight="1" x14ac:dyDescent="0.3">
      <c r="B310" s="4" t="s">
        <v>305</v>
      </c>
      <c r="C310" s="4" t="s">
        <v>187</v>
      </c>
      <c r="D310" s="4" t="s">
        <v>286</v>
      </c>
      <c r="E310" s="5" t="s">
        <v>41</v>
      </c>
      <c r="F310" s="6">
        <f>H!CI36</f>
        <v>57.785092515555547</v>
      </c>
      <c r="G310" s="7" t="s">
        <v>190</v>
      </c>
      <c r="H310" s="6" t="s">
        <v>1644</v>
      </c>
      <c r="I310" s="369">
        <f>H!CG36</f>
        <v>15</v>
      </c>
      <c r="J310" s="368"/>
      <c r="K310" s="367">
        <f t="shared" si="6"/>
        <v>57.785092515555547</v>
      </c>
      <c r="L310" s="367">
        <f>$F310-H!CH36</f>
        <v>50.629536959999996</v>
      </c>
      <c r="M310" s="367">
        <f>IFERROR(H!CH36*H!CG36,0)</f>
        <v>107.33333333333331</v>
      </c>
    </row>
    <row r="311" spans="2:13" ht="42.75" customHeight="1" x14ac:dyDescent="0.3">
      <c r="B311" s="4" t="s">
        <v>306</v>
      </c>
      <c r="C311" s="4" t="s">
        <v>187</v>
      </c>
      <c r="D311" s="4" t="s">
        <v>282</v>
      </c>
      <c r="E311" s="5" t="s">
        <v>43</v>
      </c>
      <c r="F311" s="6">
        <f>H!BS37</f>
        <v>86.54601538933332</v>
      </c>
      <c r="G311" s="7" t="s">
        <v>190</v>
      </c>
      <c r="H311" s="6" t="s">
        <v>1644</v>
      </c>
      <c r="I311" s="369">
        <f>H!BQ37</f>
        <v>20</v>
      </c>
      <c r="J311" s="368"/>
      <c r="K311" s="367">
        <f t="shared" si="6"/>
        <v>86.54601538933332</v>
      </c>
      <c r="L311" s="367">
        <f>$F311-H!BR37</f>
        <v>82.512682055999989</v>
      </c>
      <c r="M311" s="367">
        <f>IFERROR(H!BR37*H!BQ37,0)</f>
        <v>80.6666666666667</v>
      </c>
    </row>
    <row r="312" spans="2:13" ht="42.75" customHeight="1" x14ac:dyDescent="0.3">
      <c r="B312" s="4" t="s">
        <v>307</v>
      </c>
      <c r="C312" s="4" t="s">
        <v>187</v>
      </c>
      <c r="D312" s="4" t="s">
        <v>284</v>
      </c>
      <c r="E312" s="5" t="s">
        <v>43</v>
      </c>
      <c r="F312" s="6">
        <f>H!CA37</f>
        <v>92.633218167111096</v>
      </c>
      <c r="G312" s="7" t="s">
        <v>190</v>
      </c>
      <c r="H312" s="6" t="s">
        <v>1644</v>
      </c>
      <c r="I312" s="369">
        <f>H!BY37</f>
        <v>15</v>
      </c>
      <c r="J312" s="368"/>
      <c r="K312" s="367">
        <f t="shared" si="6"/>
        <v>92.633218167111096</v>
      </c>
      <c r="L312" s="367">
        <f>$F312-H!BZ37</f>
        <v>85.922107055999987</v>
      </c>
      <c r="M312" s="367">
        <f>IFERROR(H!BZ37*H!BY37,0)</f>
        <v>100.66666666666667</v>
      </c>
    </row>
    <row r="313" spans="2:13" ht="42.75" customHeight="1" x14ac:dyDescent="0.3">
      <c r="B313" s="4" t="s">
        <v>308</v>
      </c>
      <c r="C313" s="4" t="s">
        <v>187</v>
      </c>
      <c r="D313" s="4" t="s">
        <v>286</v>
      </c>
      <c r="E313" s="5" t="s">
        <v>43</v>
      </c>
      <c r="F313" s="6">
        <f>H!CI37</f>
        <v>96.257662611555546</v>
      </c>
      <c r="G313" s="7" t="s">
        <v>190</v>
      </c>
      <c r="H313" s="6" t="s">
        <v>1644</v>
      </c>
      <c r="I313" s="369">
        <f>H!CG37</f>
        <v>15</v>
      </c>
      <c r="J313" s="368"/>
      <c r="K313" s="367">
        <f t="shared" si="6"/>
        <v>96.257662611555546</v>
      </c>
      <c r="L313" s="367">
        <f>$F313-H!CH37</f>
        <v>89.102107055999994</v>
      </c>
      <c r="M313" s="367">
        <f>IFERROR(H!CH37*H!CG37,0)</f>
        <v>107.33333333333331</v>
      </c>
    </row>
    <row r="314" spans="2:13" ht="42.75" customHeight="1" x14ac:dyDescent="0.3">
      <c r="B314" s="4" t="s">
        <v>309</v>
      </c>
      <c r="C314" s="4" t="s">
        <v>187</v>
      </c>
      <c r="D314" s="4" t="s">
        <v>282</v>
      </c>
      <c r="E314" s="5" t="s">
        <v>45</v>
      </c>
      <c r="F314" s="6">
        <f>H!BS38</f>
        <v>152.95558059733335</v>
      </c>
      <c r="G314" s="7" t="s">
        <v>190</v>
      </c>
      <c r="H314" s="6" t="s">
        <v>1644</v>
      </c>
      <c r="I314" s="369">
        <f>H!BQ38</f>
        <v>20</v>
      </c>
      <c r="J314" s="368"/>
      <c r="K314" s="367">
        <f t="shared" si="6"/>
        <v>152.95558059733335</v>
      </c>
      <c r="L314" s="367">
        <f>$F314-H!BR38</f>
        <v>148.92224726400002</v>
      </c>
      <c r="M314" s="367">
        <f>IFERROR(H!BR38*H!BQ38,0)</f>
        <v>80.6666666666667</v>
      </c>
    </row>
    <row r="315" spans="2:13" ht="42.75" customHeight="1" x14ac:dyDescent="0.3">
      <c r="B315" s="4" t="s">
        <v>310</v>
      </c>
      <c r="C315" s="4" t="s">
        <v>187</v>
      </c>
      <c r="D315" s="4" t="s">
        <v>284</v>
      </c>
      <c r="E315" s="5" t="s">
        <v>45</v>
      </c>
      <c r="F315" s="6">
        <f>H!CA38</f>
        <v>160.40655337511112</v>
      </c>
      <c r="G315" s="7" t="s">
        <v>190</v>
      </c>
      <c r="H315" s="6" t="s">
        <v>1644</v>
      </c>
      <c r="I315" s="369">
        <f>H!BY38</f>
        <v>15</v>
      </c>
      <c r="J315" s="368"/>
      <c r="K315" s="367">
        <f t="shared" si="6"/>
        <v>160.40655337511112</v>
      </c>
      <c r="L315" s="367">
        <f>$F315-H!BZ38</f>
        <v>153.69544226400001</v>
      </c>
      <c r="M315" s="367">
        <f>IFERROR(H!BZ38*H!BY38,0)</f>
        <v>100.66666666666667</v>
      </c>
    </row>
    <row r="316" spans="2:13" ht="42.75" customHeight="1" x14ac:dyDescent="0.3">
      <c r="B316" s="4" t="s">
        <v>311</v>
      </c>
      <c r="C316" s="4" t="s">
        <v>187</v>
      </c>
      <c r="D316" s="4" t="s">
        <v>286</v>
      </c>
      <c r="E316" s="5" t="s">
        <v>45</v>
      </c>
      <c r="F316" s="6">
        <f>H!CI38</f>
        <v>167.90877559733332</v>
      </c>
      <c r="G316" s="7" t="s">
        <v>190</v>
      </c>
      <c r="H316" s="6" t="s">
        <v>1644</v>
      </c>
      <c r="I316" s="369">
        <f>H!CG38</f>
        <v>10</v>
      </c>
      <c r="J316" s="368"/>
      <c r="K316" s="367">
        <f t="shared" si="6"/>
        <v>167.90877559733332</v>
      </c>
      <c r="L316" s="367">
        <f>$F316-H!CH38</f>
        <v>157.175442264</v>
      </c>
      <c r="M316" s="367">
        <f>IFERROR(H!CH38*H!CG38,0)</f>
        <v>107.33333333333331</v>
      </c>
    </row>
    <row r="317" spans="2:13" ht="42.75" customHeight="1" x14ac:dyDescent="0.3">
      <c r="B317" s="4" t="s">
        <v>312</v>
      </c>
      <c r="C317" s="4" t="s">
        <v>187</v>
      </c>
      <c r="D317" s="4" t="s">
        <v>282</v>
      </c>
      <c r="E317" s="5" t="s">
        <v>47</v>
      </c>
      <c r="F317" s="6">
        <f>H!BS39</f>
        <v>213.42853685066666</v>
      </c>
      <c r="G317" s="7" t="s">
        <v>190</v>
      </c>
      <c r="H317" s="6" t="s">
        <v>1644</v>
      </c>
      <c r="I317" s="369">
        <f>H!BQ39</f>
        <v>16</v>
      </c>
      <c r="J317" s="368"/>
      <c r="K317" s="367">
        <f t="shared" si="6"/>
        <v>213.42853685066666</v>
      </c>
      <c r="L317" s="367">
        <f>$F317-H!BR39</f>
        <v>207.761870184</v>
      </c>
      <c r="M317" s="367">
        <f>IFERROR(H!BR39*H!BQ39,0)</f>
        <v>90.666666666666643</v>
      </c>
    </row>
    <row r="318" spans="2:13" ht="42.75" customHeight="1" x14ac:dyDescent="0.3">
      <c r="B318" s="4" t="s">
        <v>313</v>
      </c>
      <c r="C318" s="4" t="s">
        <v>187</v>
      </c>
      <c r="D318" s="4" t="s">
        <v>284</v>
      </c>
      <c r="E318" s="5" t="s">
        <v>47</v>
      </c>
      <c r="F318" s="6">
        <f>H!CA39</f>
        <v>225.64738685066666</v>
      </c>
      <c r="G318" s="7" t="s">
        <v>190</v>
      </c>
      <c r="H318" s="6" t="s">
        <v>1644</v>
      </c>
      <c r="I318" s="369">
        <f>H!BY39</f>
        <v>10</v>
      </c>
      <c r="J318" s="368"/>
      <c r="K318" s="367">
        <f t="shared" si="6"/>
        <v>225.64738685066666</v>
      </c>
      <c r="L318" s="367">
        <f>$F318-H!BZ39</f>
        <v>214.580720184</v>
      </c>
      <c r="M318" s="367">
        <f>IFERROR(H!BZ39*H!BY39,0)</f>
        <v>110.66666666666661</v>
      </c>
    </row>
    <row r="319" spans="2:13" ht="42.75" customHeight="1" x14ac:dyDescent="0.3">
      <c r="B319" s="4" t="s">
        <v>314</v>
      </c>
      <c r="C319" s="4" t="s">
        <v>187</v>
      </c>
      <c r="D319" s="4" t="s">
        <v>286</v>
      </c>
      <c r="E319" s="5" t="s">
        <v>47</v>
      </c>
      <c r="F319" s="6">
        <f>H!CI39</f>
        <v>241.82738685066664</v>
      </c>
      <c r="G319" s="7" t="s">
        <v>190</v>
      </c>
      <c r="H319" s="6" t="s">
        <v>1644</v>
      </c>
      <c r="I319" s="369">
        <f>H!CG39</f>
        <v>5</v>
      </c>
      <c r="J319" s="368"/>
      <c r="K319" s="367">
        <f t="shared" si="6"/>
        <v>241.82738685066664</v>
      </c>
      <c r="L319" s="367">
        <f>$F319-H!CH39</f>
        <v>218.360720184</v>
      </c>
      <c r="M319" s="367">
        <f>IFERROR(H!CH39*H!CG39,0)</f>
        <v>117.33333333333326</v>
      </c>
    </row>
    <row r="320" spans="2:13" ht="42.75" customHeight="1" x14ac:dyDescent="0.3">
      <c r="B320" s="4" t="s">
        <v>315</v>
      </c>
      <c r="C320" s="4" t="s">
        <v>187</v>
      </c>
      <c r="D320" s="4" t="s">
        <v>282</v>
      </c>
      <c r="E320" s="5" t="s">
        <v>222</v>
      </c>
      <c r="F320" s="6">
        <f>H!BS40</f>
        <v>307.74248241244436</v>
      </c>
      <c r="G320" s="7" t="s">
        <v>190</v>
      </c>
      <c r="H320" s="6" t="s">
        <v>1644</v>
      </c>
      <c r="I320" s="369">
        <f>H!BQ40</f>
        <v>15</v>
      </c>
      <c r="J320" s="368"/>
      <c r="K320" s="367">
        <f t="shared" si="6"/>
        <v>307.74248241244436</v>
      </c>
      <c r="L320" s="367">
        <f>$F320-H!BR40</f>
        <v>301.69803796799994</v>
      </c>
      <c r="M320" s="367">
        <f>IFERROR(H!BR40*H!BQ40,0)</f>
        <v>90.666666666666643</v>
      </c>
    </row>
    <row r="321" spans="2:13" ht="42.75" customHeight="1" x14ac:dyDescent="0.3">
      <c r="B321" s="4" t="s">
        <v>316</v>
      </c>
      <c r="C321" s="4" t="s">
        <v>187</v>
      </c>
      <c r="D321" s="4" t="s">
        <v>284</v>
      </c>
      <c r="E321" s="5" t="s">
        <v>222</v>
      </c>
      <c r="F321" s="6">
        <f>H!CA40</f>
        <v>321.58375063466661</v>
      </c>
      <c r="G321" s="7" t="s">
        <v>190</v>
      </c>
      <c r="H321" s="6" t="s">
        <v>1644</v>
      </c>
      <c r="I321" s="369">
        <f>H!BY40</f>
        <v>10</v>
      </c>
      <c r="J321" s="368"/>
      <c r="K321" s="367">
        <f t="shared" si="6"/>
        <v>321.58375063466661</v>
      </c>
      <c r="L321" s="367">
        <f>$F321-H!BZ40</f>
        <v>310.51708396799995</v>
      </c>
      <c r="M321" s="367">
        <f>IFERROR(H!BZ40*H!BY40,0)</f>
        <v>110.66666666666661</v>
      </c>
    </row>
    <row r="322" spans="2:13" ht="42.75" customHeight="1" x14ac:dyDescent="0.3">
      <c r="B322" s="4" t="s">
        <v>317</v>
      </c>
      <c r="C322" s="4" t="s">
        <v>187</v>
      </c>
      <c r="D322" s="4" t="s">
        <v>286</v>
      </c>
      <c r="E322" s="5" t="s">
        <v>222</v>
      </c>
      <c r="F322" s="6">
        <f>H!CI40</f>
        <v>338.12375063466658</v>
      </c>
      <c r="G322" s="7" t="s">
        <v>190</v>
      </c>
      <c r="H322" s="6" t="s">
        <v>1644</v>
      </c>
      <c r="I322" s="369">
        <f>H!CG40</f>
        <v>5</v>
      </c>
      <c r="J322" s="368"/>
      <c r="K322" s="367">
        <f t="shared" si="6"/>
        <v>338.12375063466658</v>
      </c>
      <c r="L322" s="367">
        <f>$F322-H!CH40</f>
        <v>314.65708396799994</v>
      </c>
      <c r="M322" s="367">
        <f>IFERROR(H!CH40*H!CG40,0)</f>
        <v>117.33333333333326</v>
      </c>
    </row>
    <row r="323" spans="2:13" ht="42.75" customHeight="1" x14ac:dyDescent="0.3">
      <c r="B323" s="4" t="s">
        <v>318</v>
      </c>
      <c r="C323" s="4" t="s">
        <v>187</v>
      </c>
      <c r="D323" s="4" t="s">
        <v>282</v>
      </c>
      <c r="E323" s="5" t="s">
        <v>226</v>
      </c>
      <c r="F323" s="6">
        <f>H!BS41</f>
        <v>433.30673872038091</v>
      </c>
      <c r="G323" s="7" t="s">
        <v>190</v>
      </c>
      <c r="H323" s="6" t="s">
        <v>1644</v>
      </c>
      <c r="I323" s="369">
        <f>H!BQ41</f>
        <v>7</v>
      </c>
      <c r="J323" s="368"/>
      <c r="K323" s="367">
        <f t="shared" si="6"/>
        <v>433.30673872038091</v>
      </c>
      <c r="L323" s="367">
        <f>$F323-H!BR41</f>
        <v>420.35435776799994</v>
      </c>
      <c r="M323" s="367">
        <f>IFERROR(H!BR41*H!BQ41,0)</f>
        <v>90.666666666666643</v>
      </c>
    </row>
    <row r="324" spans="2:13" ht="42.75" customHeight="1" x14ac:dyDescent="0.3">
      <c r="B324" s="4" t="s">
        <v>319</v>
      </c>
      <c r="C324" s="4" t="s">
        <v>187</v>
      </c>
      <c r="D324" s="4" t="s">
        <v>284</v>
      </c>
      <c r="E324" s="5" t="s">
        <v>226</v>
      </c>
      <c r="F324" s="6">
        <f>H!CA41</f>
        <v>453.39785110133323</v>
      </c>
      <c r="G324" s="7" t="s">
        <v>190</v>
      </c>
      <c r="H324" s="6" t="s">
        <v>1644</v>
      </c>
      <c r="I324" s="369">
        <f>H!BY41</f>
        <v>5</v>
      </c>
      <c r="J324" s="368"/>
      <c r="K324" s="367">
        <f t="shared" si="6"/>
        <v>453.39785110133323</v>
      </c>
      <c r="L324" s="367">
        <f>$F324-H!BZ41</f>
        <v>431.26451776799991</v>
      </c>
      <c r="M324" s="367">
        <f>IFERROR(H!BZ41*H!BY41,0)</f>
        <v>110.66666666666661</v>
      </c>
    </row>
    <row r="325" spans="2:13" ht="42.75" customHeight="1" x14ac:dyDescent="0.3">
      <c r="B325" s="4" t="s">
        <v>320</v>
      </c>
      <c r="C325" s="4" t="s">
        <v>187</v>
      </c>
      <c r="D325" s="4" t="s">
        <v>286</v>
      </c>
      <c r="E325" s="5" t="s">
        <v>226</v>
      </c>
      <c r="F325" s="6">
        <f>H!CI41</f>
        <v>459.11118443466654</v>
      </c>
      <c r="G325" s="7" t="s">
        <v>190</v>
      </c>
      <c r="H325" s="6" t="s">
        <v>1644</v>
      </c>
      <c r="I325" s="369">
        <f>H!CG41</f>
        <v>5</v>
      </c>
      <c r="J325" s="368"/>
      <c r="K325" s="367">
        <f t="shared" si="6"/>
        <v>459.11118443466654</v>
      </c>
      <c r="L325" s="367">
        <f>$F325-H!CH41</f>
        <v>435.6445177679999</v>
      </c>
      <c r="M325" s="367">
        <f>IFERROR(H!CH41*H!CG41,0)</f>
        <v>117.33333333333326</v>
      </c>
    </row>
    <row r="326" spans="2:13" ht="42.75" customHeight="1" x14ac:dyDescent="0.3">
      <c r="B326" s="4" t="s">
        <v>321</v>
      </c>
      <c r="C326" s="4" t="s">
        <v>187</v>
      </c>
      <c r="D326" s="4" t="s">
        <v>282</v>
      </c>
      <c r="E326" s="5" t="s">
        <v>230</v>
      </c>
      <c r="F326" s="6">
        <f>H!BS42</f>
        <v>579.56741713638098</v>
      </c>
      <c r="G326" s="7" t="s">
        <v>190</v>
      </c>
      <c r="H326" s="6" t="s">
        <v>1644</v>
      </c>
      <c r="I326" s="369">
        <f>H!BQ42</f>
        <v>7</v>
      </c>
      <c r="J326" s="368"/>
      <c r="K326" s="367">
        <f t="shared" si="6"/>
        <v>579.56741713638098</v>
      </c>
      <c r="L326" s="367">
        <f>$F326-H!BR42</f>
        <v>566.61503618400002</v>
      </c>
      <c r="M326" s="367">
        <f>IFERROR(H!BR42*H!BQ42,0)</f>
        <v>90.666666666666643</v>
      </c>
    </row>
    <row r="327" spans="2:13" ht="42.75" customHeight="1" x14ac:dyDescent="0.3">
      <c r="B327" s="4" t="s">
        <v>322</v>
      </c>
      <c r="C327" s="4" t="s">
        <v>187</v>
      </c>
      <c r="D327" s="4" t="s">
        <v>284</v>
      </c>
      <c r="E327" s="5" t="s">
        <v>230</v>
      </c>
      <c r="F327" s="6">
        <f>H!CA42</f>
        <v>601.97693851733334</v>
      </c>
      <c r="G327" s="7" t="s">
        <v>190</v>
      </c>
      <c r="H327" s="6" t="s">
        <v>1644</v>
      </c>
      <c r="I327" s="369">
        <f>H!BY42</f>
        <v>5</v>
      </c>
      <c r="J327" s="368"/>
      <c r="K327" s="367">
        <f t="shared" si="6"/>
        <v>601.97693851733334</v>
      </c>
      <c r="L327" s="367">
        <f>$F327-H!BZ42</f>
        <v>579.84360518400001</v>
      </c>
      <c r="M327" s="367">
        <f>IFERROR(H!BZ42*H!BY42,0)</f>
        <v>110.66666666666661</v>
      </c>
    </row>
    <row r="328" spans="2:13" ht="42.75" customHeight="1" x14ac:dyDescent="0.3">
      <c r="B328" s="4" t="s">
        <v>323</v>
      </c>
      <c r="C328" s="4" t="s">
        <v>187</v>
      </c>
      <c r="D328" s="4" t="s">
        <v>286</v>
      </c>
      <c r="E328" s="5" t="s">
        <v>230</v>
      </c>
      <c r="F328" s="6">
        <f>H!CI42</f>
        <v>623.63471629511105</v>
      </c>
      <c r="G328" s="7" t="s">
        <v>190</v>
      </c>
      <c r="H328" s="6" t="s">
        <v>1644</v>
      </c>
      <c r="I328" s="369">
        <f>H!CG42</f>
        <v>3</v>
      </c>
      <c r="J328" s="368"/>
      <c r="K328" s="367">
        <f t="shared" si="6"/>
        <v>623.63471629511105</v>
      </c>
      <c r="L328" s="367">
        <f>$F328-H!CH42</f>
        <v>584.52360518399996</v>
      </c>
      <c r="M328" s="367">
        <f>IFERROR(H!CH42*H!CG42,0)</f>
        <v>117.33333333333326</v>
      </c>
    </row>
    <row r="329" spans="2:13" ht="42.75" customHeight="1" x14ac:dyDescent="0.3">
      <c r="B329" s="4" t="s">
        <v>324</v>
      </c>
      <c r="C329" s="4" t="s">
        <v>187</v>
      </c>
      <c r="D329" s="4" t="s">
        <v>282</v>
      </c>
      <c r="E329" s="5" t="s">
        <v>234</v>
      </c>
      <c r="F329" s="6">
        <f>H!BS43</f>
        <v>773.58674314222219</v>
      </c>
      <c r="G329" s="7" t="s">
        <v>190</v>
      </c>
      <c r="H329" s="6" t="s">
        <v>1644</v>
      </c>
      <c r="I329" s="369">
        <f>H!BQ43</f>
        <v>3</v>
      </c>
      <c r="J329" s="368"/>
      <c r="K329" s="367">
        <f t="shared" si="6"/>
        <v>773.58674314222219</v>
      </c>
      <c r="L329" s="367">
        <f>$F329-H!BR43</f>
        <v>743.36452092000002</v>
      </c>
      <c r="M329" s="367">
        <f>IFERROR(H!BR43*H!BQ43,0)</f>
        <v>90.666666666666643</v>
      </c>
    </row>
    <row r="330" spans="2:13" ht="42.75" customHeight="1" x14ac:dyDescent="0.3">
      <c r="B330" s="4" t="s">
        <v>325</v>
      </c>
      <c r="C330" s="4" t="s">
        <v>187</v>
      </c>
      <c r="D330" s="4" t="s">
        <v>284</v>
      </c>
      <c r="E330" s="5" t="s">
        <v>234</v>
      </c>
      <c r="F330" s="6">
        <f>H!CA43</f>
        <v>795.98222380888899</v>
      </c>
      <c r="G330" s="7" t="s">
        <v>190</v>
      </c>
      <c r="H330" s="6" t="s">
        <v>1644</v>
      </c>
      <c r="I330" s="369">
        <f>H!BY43</f>
        <v>3</v>
      </c>
      <c r="J330" s="368"/>
      <c r="K330" s="367">
        <f t="shared" si="6"/>
        <v>795.98222380888899</v>
      </c>
      <c r="L330" s="367">
        <f>$F330-H!BZ43</f>
        <v>759.09333492000007</v>
      </c>
      <c r="M330" s="367">
        <f>IFERROR(H!BZ43*H!BY43,0)</f>
        <v>110.66666666666661</v>
      </c>
    </row>
    <row r="331" spans="2:13" ht="42.75" customHeight="1" x14ac:dyDescent="0.3">
      <c r="B331" s="4" t="s">
        <v>326</v>
      </c>
      <c r="C331" s="4" t="s">
        <v>187</v>
      </c>
      <c r="D331" s="4" t="s">
        <v>286</v>
      </c>
      <c r="E331" s="5" t="s">
        <v>234</v>
      </c>
      <c r="F331" s="6">
        <f>H!CI43</f>
        <v>803.18444603111118</v>
      </c>
      <c r="G331" s="7" t="s">
        <v>190</v>
      </c>
      <c r="H331" s="6" t="s">
        <v>1644</v>
      </c>
      <c r="I331" s="369">
        <f>H!CG43</f>
        <v>3</v>
      </c>
      <c r="J331" s="368"/>
      <c r="K331" s="367">
        <f t="shared" si="6"/>
        <v>803.18444603111118</v>
      </c>
      <c r="L331" s="367">
        <f>$F331-H!CH43</f>
        <v>764.07333492000009</v>
      </c>
      <c r="M331" s="367">
        <f>IFERROR(H!CH43*H!CG43,0)</f>
        <v>117.33333333333326</v>
      </c>
    </row>
    <row r="332" spans="2:13" ht="42.75" customHeight="1" x14ac:dyDescent="0.3">
      <c r="B332" s="4" t="s">
        <v>327</v>
      </c>
      <c r="C332" s="4" t="s">
        <v>187</v>
      </c>
      <c r="D332" s="4" t="s">
        <v>282</v>
      </c>
      <c r="E332" s="5" t="s">
        <v>238</v>
      </c>
      <c r="F332" s="6">
        <f>H!BS44</f>
        <v>990.1536852426666</v>
      </c>
      <c r="G332" s="7" t="s">
        <v>190</v>
      </c>
      <c r="H332" s="6" t="s">
        <v>1644</v>
      </c>
      <c r="I332" s="369">
        <f>H!BQ44</f>
        <v>3</v>
      </c>
      <c r="J332" s="368"/>
      <c r="K332" s="367">
        <f t="shared" si="6"/>
        <v>990.1536852426666</v>
      </c>
      <c r="L332" s="367">
        <f>$F332-H!BR44</f>
        <v>953.48701857599997</v>
      </c>
      <c r="M332" s="367">
        <f>IFERROR(H!BR44*H!BQ44,0)</f>
        <v>109.99999999999997</v>
      </c>
    </row>
    <row r="333" spans="2:13" ht="42.75" customHeight="1" x14ac:dyDescent="0.3">
      <c r="B333" s="4" t="s">
        <v>328</v>
      </c>
      <c r="C333" s="4" t="s">
        <v>187</v>
      </c>
      <c r="D333" s="4" t="s">
        <v>284</v>
      </c>
      <c r="E333" s="5" t="s">
        <v>238</v>
      </c>
      <c r="F333" s="6">
        <f>H!CA44</f>
        <v>1015.2767059093334</v>
      </c>
      <c r="G333" s="7" t="s">
        <v>190</v>
      </c>
      <c r="H333" s="6" t="s">
        <v>1644</v>
      </c>
      <c r="I333" s="369">
        <f>H!BY44</f>
        <v>3</v>
      </c>
      <c r="J333" s="368"/>
      <c r="K333" s="367">
        <f t="shared" si="6"/>
        <v>1015.2767059093334</v>
      </c>
      <c r="L333" s="367">
        <f>$F333-H!BZ44</f>
        <v>971.943372576</v>
      </c>
      <c r="M333" s="367">
        <f>IFERROR(H!BZ44*H!BY44,0)</f>
        <v>129.99999999999997</v>
      </c>
    </row>
    <row r="334" spans="2:13" ht="42.75" customHeight="1" x14ac:dyDescent="0.3">
      <c r="B334" s="4" t="s">
        <v>329</v>
      </c>
      <c r="C334" s="4" t="s">
        <v>187</v>
      </c>
      <c r="D334" s="4" t="s">
        <v>286</v>
      </c>
      <c r="E334" s="5" t="s">
        <v>238</v>
      </c>
      <c r="F334" s="6">
        <f>H!CI44</f>
        <v>1022.8989281315555</v>
      </c>
      <c r="G334" s="7" t="s">
        <v>190</v>
      </c>
      <c r="H334" s="6" t="s">
        <v>1644</v>
      </c>
      <c r="I334" s="369">
        <f>H!CG44</f>
        <v>3</v>
      </c>
      <c r="J334" s="368"/>
      <c r="K334" s="367">
        <f t="shared" si="6"/>
        <v>1022.8989281315555</v>
      </c>
      <c r="L334" s="367">
        <f>$F334-H!CH44</f>
        <v>977.34337257599998</v>
      </c>
      <c r="M334" s="367">
        <f>IFERROR(H!CH44*H!CG44,0)</f>
        <v>136.6666666666666</v>
      </c>
    </row>
    <row r="335" spans="2:13" ht="42.75" customHeight="1" x14ac:dyDescent="0.3">
      <c r="B335" s="4" t="s">
        <v>330</v>
      </c>
      <c r="C335" s="4" t="s">
        <v>187</v>
      </c>
      <c r="D335" s="4" t="s">
        <v>282</v>
      </c>
      <c r="E335" s="5" t="s">
        <v>242</v>
      </c>
      <c r="F335" s="6">
        <f>H!BS45</f>
        <v>1236.5334024186668</v>
      </c>
      <c r="G335" s="7" t="s">
        <v>190</v>
      </c>
      <c r="H335" s="6" t="s">
        <v>1644</v>
      </c>
      <c r="I335" s="369">
        <f>H!BQ45</f>
        <v>3</v>
      </c>
      <c r="J335" s="368"/>
      <c r="K335" s="367">
        <f t="shared" si="6"/>
        <v>1236.5334024186668</v>
      </c>
      <c r="L335" s="367">
        <f>$F335-H!BR45</f>
        <v>1199.8667357520001</v>
      </c>
      <c r="M335" s="367">
        <f>IFERROR(H!BR45*H!BQ45,0)</f>
        <v>109.99999999999997</v>
      </c>
    </row>
    <row r="336" spans="2:13" ht="42.75" customHeight="1" x14ac:dyDescent="0.3">
      <c r="B336" s="4" t="s">
        <v>331</v>
      </c>
      <c r="C336" s="4" t="s">
        <v>187</v>
      </c>
      <c r="D336" s="4" t="s">
        <v>284</v>
      </c>
      <c r="E336" s="5" t="s">
        <v>242</v>
      </c>
      <c r="F336" s="6">
        <f>H!CA45</f>
        <v>1264.6112580853332</v>
      </c>
      <c r="G336" s="7" t="s">
        <v>190</v>
      </c>
      <c r="H336" s="6" t="s">
        <v>1644</v>
      </c>
      <c r="I336" s="369">
        <f>H!BY45</f>
        <v>3</v>
      </c>
      <c r="J336" s="368"/>
      <c r="K336" s="367">
        <f t="shared" si="6"/>
        <v>1264.6112580853332</v>
      </c>
      <c r="L336" s="367">
        <f>$F336-H!BZ45</f>
        <v>1221.277924752</v>
      </c>
      <c r="M336" s="367">
        <f>IFERROR(H!BZ45*H!BY45,0)</f>
        <v>129.99999999999997</v>
      </c>
    </row>
    <row r="337" spans="2:13" ht="42.75" customHeight="1" x14ac:dyDescent="0.3">
      <c r="B337" s="4" t="s">
        <v>332</v>
      </c>
      <c r="C337" s="4" t="s">
        <v>187</v>
      </c>
      <c r="D337" s="4" t="s">
        <v>286</v>
      </c>
      <c r="E337" s="5" t="s">
        <v>242</v>
      </c>
      <c r="F337" s="6">
        <f>H!CI45</f>
        <v>1295.3112580853333</v>
      </c>
      <c r="G337" s="7" t="s">
        <v>190</v>
      </c>
      <c r="H337" s="6" t="s">
        <v>1644</v>
      </c>
      <c r="I337" s="369">
        <f>H!CG45</f>
        <v>2</v>
      </c>
      <c r="J337" s="368"/>
      <c r="K337" s="367">
        <f t="shared" si="6"/>
        <v>1295.3112580853333</v>
      </c>
      <c r="L337" s="367">
        <f>$F337-H!CH45</f>
        <v>1226.977924752</v>
      </c>
      <c r="M337" s="367">
        <f>IFERROR(H!CH45*H!CG45,0)</f>
        <v>136.6666666666666</v>
      </c>
    </row>
    <row r="338" spans="2:13" ht="42.75" customHeight="1" x14ac:dyDescent="0.3">
      <c r="B338" s="4" t="s">
        <v>333</v>
      </c>
      <c r="C338" s="4" t="s">
        <v>187</v>
      </c>
      <c r="D338" s="4" t="s">
        <v>282</v>
      </c>
      <c r="E338" s="5" t="s">
        <v>246</v>
      </c>
      <c r="F338" s="6">
        <f>H!BS46</f>
        <v>1540.3881201520001</v>
      </c>
      <c r="G338" s="7" t="s">
        <v>190</v>
      </c>
      <c r="H338" s="6" t="s">
        <v>1644</v>
      </c>
      <c r="I338" s="369">
        <f>H!BQ46</f>
        <v>2</v>
      </c>
      <c r="J338" s="368"/>
      <c r="K338" s="367">
        <f t="shared" si="6"/>
        <v>1540.3881201520001</v>
      </c>
      <c r="L338" s="367">
        <f>$F338-H!BR46</f>
        <v>1485.3881201520001</v>
      </c>
      <c r="M338" s="367">
        <f>IFERROR(H!BR46*H!BQ46,0)</f>
        <v>109.99999999999997</v>
      </c>
    </row>
    <row r="339" spans="2:13" ht="42.75" customHeight="1" x14ac:dyDescent="0.3">
      <c r="B339" s="4" t="s">
        <v>334</v>
      </c>
      <c r="C339" s="4" t="s">
        <v>187</v>
      </c>
      <c r="D339" s="4" t="s">
        <v>284</v>
      </c>
      <c r="E339" s="5" t="s">
        <v>246</v>
      </c>
      <c r="F339" s="6">
        <f>H!CA46</f>
        <v>1575.390570152</v>
      </c>
      <c r="G339" s="7" t="s">
        <v>190</v>
      </c>
      <c r="H339" s="6" t="s">
        <v>1644</v>
      </c>
      <c r="I339" s="369">
        <f>H!BY46</f>
        <v>2</v>
      </c>
      <c r="J339" s="368"/>
      <c r="K339" s="367">
        <f t="shared" si="6"/>
        <v>1575.390570152</v>
      </c>
      <c r="L339" s="367">
        <f>$F339-H!BZ46</f>
        <v>1510.390570152</v>
      </c>
      <c r="M339" s="367">
        <f>IFERROR(H!BZ46*H!BY46,0)</f>
        <v>129.99999999999997</v>
      </c>
    </row>
    <row r="340" spans="2:13" ht="42.75" customHeight="1" x14ac:dyDescent="0.3">
      <c r="B340" s="4" t="s">
        <v>335</v>
      </c>
      <c r="C340" s="4" t="s">
        <v>187</v>
      </c>
      <c r="D340" s="4" t="s">
        <v>286</v>
      </c>
      <c r="E340" s="5" t="s">
        <v>246</v>
      </c>
      <c r="F340" s="6">
        <f>H!CI46</f>
        <v>1584.7239034853333</v>
      </c>
      <c r="G340" s="7" t="s">
        <v>190</v>
      </c>
      <c r="H340" s="6" t="s">
        <v>1644</v>
      </c>
      <c r="I340" s="369">
        <f>H!CG46</f>
        <v>2</v>
      </c>
      <c r="J340" s="368"/>
      <c r="K340" s="367">
        <f t="shared" si="6"/>
        <v>1584.7239034853333</v>
      </c>
      <c r="L340" s="367">
        <f>$F340-H!CH46</f>
        <v>1516.390570152</v>
      </c>
      <c r="M340" s="367">
        <f>IFERROR(H!CH46*H!CG46,0)</f>
        <v>136.6666666666666</v>
      </c>
    </row>
    <row r="341" spans="2:13" ht="42.75" customHeight="1" x14ac:dyDescent="0.3">
      <c r="B341" s="4" t="s">
        <v>336</v>
      </c>
      <c r="C341" s="4" t="s">
        <v>187</v>
      </c>
      <c r="D341" s="4" t="s">
        <v>282</v>
      </c>
      <c r="E341" s="5" t="s">
        <v>250</v>
      </c>
      <c r="F341" s="6">
        <f>H!BS47</f>
        <v>1867.935378376</v>
      </c>
      <c r="G341" s="7" t="s">
        <v>190</v>
      </c>
      <c r="H341" s="6" t="s">
        <v>1644</v>
      </c>
      <c r="I341" s="369">
        <f>H!BQ47</f>
        <v>2</v>
      </c>
      <c r="J341" s="368"/>
      <c r="K341" s="367">
        <f t="shared" si="6"/>
        <v>1867.935378376</v>
      </c>
      <c r="L341" s="367">
        <f>$F341-H!BR47</f>
        <v>1812.935378376</v>
      </c>
      <c r="M341" s="367">
        <f>IFERROR(H!BR47*H!BQ47,0)</f>
        <v>109.99999999999997</v>
      </c>
    </row>
    <row r="342" spans="2:13" ht="42.75" customHeight="1" x14ac:dyDescent="0.3">
      <c r="B342" s="4" t="s">
        <v>337</v>
      </c>
      <c r="C342" s="4" t="s">
        <v>187</v>
      </c>
      <c r="D342" s="4" t="s">
        <v>284</v>
      </c>
      <c r="E342" s="5" t="s">
        <v>250</v>
      </c>
      <c r="F342" s="6">
        <f>H!CA47</f>
        <v>1906.5745483759999</v>
      </c>
      <c r="G342" s="7" t="s">
        <v>190</v>
      </c>
      <c r="H342" s="6" t="s">
        <v>1644</v>
      </c>
      <c r="I342" s="369">
        <f>H!BY47</f>
        <v>2</v>
      </c>
      <c r="J342" s="368"/>
      <c r="K342" s="367">
        <f t="shared" si="6"/>
        <v>1906.5745483759999</v>
      </c>
      <c r="L342" s="367">
        <f>$F342-H!BZ47</f>
        <v>1841.5745483759999</v>
      </c>
      <c r="M342" s="367">
        <f>IFERROR(H!BZ47*H!BY47,0)</f>
        <v>129.99999999999997</v>
      </c>
    </row>
    <row r="343" spans="2:13" ht="42.75" customHeight="1" x14ac:dyDescent="0.3">
      <c r="B343" s="4" t="s">
        <v>338</v>
      </c>
      <c r="C343" s="4" t="s">
        <v>187</v>
      </c>
      <c r="D343" s="4" t="s">
        <v>286</v>
      </c>
      <c r="E343" s="5" t="s">
        <v>250</v>
      </c>
      <c r="F343" s="6">
        <f>H!CI47</f>
        <v>1984.5412150426664</v>
      </c>
      <c r="G343" s="7" t="s">
        <v>190</v>
      </c>
      <c r="H343" s="6" t="s">
        <v>1644</v>
      </c>
      <c r="I343" s="369">
        <f>H!CG47</f>
        <v>1</v>
      </c>
      <c r="J343" s="368"/>
      <c r="K343" s="367">
        <f t="shared" si="6"/>
        <v>1984.5412150426664</v>
      </c>
      <c r="L343" s="367">
        <f>$F343-H!CH47</f>
        <v>1847.8745483759999</v>
      </c>
      <c r="M343" s="367">
        <f>IFERROR(H!CH47*H!CG47,0)</f>
        <v>136.6666666666666</v>
      </c>
    </row>
    <row r="344" spans="2:13" ht="42.75" customHeight="1" x14ac:dyDescent="0.3">
      <c r="B344" s="4" t="s">
        <v>339</v>
      </c>
      <c r="C344" s="4" t="s">
        <v>187</v>
      </c>
      <c r="D344" s="4" t="s">
        <v>282</v>
      </c>
      <c r="E344" s="5" t="s">
        <v>254</v>
      </c>
      <c r="F344" s="6">
        <f>H!BS48</f>
        <v>2240.3929581279999</v>
      </c>
      <c r="G344" s="7" t="s">
        <v>190</v>
      </c>
      <c r="H344" s="6" t="s">
        <v>1644</v>
      </c>
      <c r="I344" s="369">
        <f>H!BQ48</f>
        <v>2</v>
      </c>
      <c r="J344" s="368"/>
      <c r="K344" s="367">
        <f t="shared" si="6"/>
        <v>2240.3929581279999</v>
      </c>
      <c r="L344" s="367">
        <f>$F344-H!BR48</f>
        <v>2185.3929581279999</v>
      </c>
      <c r="M344" s="367">
        <f>IFERROR(H!BR48*H!BQ48,0)</f>
        <v>109.99999999999997</v>
      </c>
    </row>
    <row r="345" spans="2:13" ht="42.75" customHeight="1" x14ac:dyDescent="0.3">
      <c r="B345" s="4" t="s">
        <v>340</v>
      </c>
      <c r="C345" s="4" t="s">
        <v>187</v>
      </c>
      <c r="D345" s="4" t="s">
        <v>284</v>
      </c>
      <c r="E345" s="5" t="s">
        <v>254</v>
      </c>
      <c r="F345" s="6">
        <f>H!CA48</f>
        <v>2282.214258128</v>
      </c>
      <c r="G345" s="7" t="s">
        <v>190</v>
      </c>
      <c r="H345" s="6" t="s">
        <v>1644</v>
      </c>
      <c r="I345" s="369">
        <f>H!BY48</f>
        <v>2</v>
      </c>
      <c r="J345" s="368"/>
      <c r="K345" s="367">
        <f t="shared" si="6"/>
        <v>2282.214258128</v>
      </c>
      <c r="L345" s="367">
        <f>$F345-H!BZ48</f>
        <v>2217.214258128</v>
      </c>
      <c r="M345" s="367">
        <f>IFERROR(H!BZ48*H!BY48,0)</f>
        <v>129.99999999999997</v>
      </c>
    </row>
    <row r="346" spans="2:13" ht="42.75" customHeight="1" x14ac:dyDescent="0.3">
      <c r="B346" s="4" t="s">
        <v>341</v>
      </c>
      <c r="C346" s="4" t="s">
        <v>187</v>
      </c>
      <c r="D346" s="4" t="s">
        <v>286</v>
      </c>
      <c r="E346" s="5" t="s">
        <v>254</v>
      </c>
      <c r="F346" s="6">
        <f>H!CI48</f>
        <v>2360.4809247946664</v>
      </c>
      <c r="G346" s="7" t="s">
        <v>190</v>
      </c>
      <c r="H346" s="6" t="s">
        <v>1644</v>
      </c>
      <c r="I346" s="369">
        <f>H!CG48</f>
        <v>1</v>
      </c>
      <c r="J346" s="368"/>
      <c r="K346" s="367">
        <f t="shared" si="6"/>
        <v>2360.4809247946664</v>
      </c>
      <c r="L346" s="367">
        <f>$F346-H!CH48</f>
        <v>2223.8142581279999</v>
      </c>
      <c r="M346" s="367">
        <f>IFERROR(H!CH48*H!CG48,0)</f>
        <v>136.6666666666666</v>
      </c>
    </row>
    <row r="347" spans="2:13" ht="42.75" customHeight="1" x14ac:dyDescent="0.3">
      <c r="B347" s="4" t="s">
        <v>342</v>
      </c>
      <c r="C347" s="4" t="s">
        <v>187</v>
      </c>
      <c r="D347" s="4" t="s">
        <v>282</v>
      </c>
      <c r="E347" s="5" t="s">
        <v>258</v>
      </c>
      <c r="F347" s="6">
        <f>H!BS49</f>
        <v>2715.6449454559997</v>
      </c>
      <c r="G347" s="7" t="s">
        <v>190</v>
      </c>
      <c r="H347" s="6" t="s">
        <v>1644</v>
      </c>
      <c r="I347" s="369">
        <f>H!BQ49</f>
        <v>1</v>
      </c>
      <c r="J347" s="368"/>
      <c r="K347" s="367">
        <f t="shared" si="6"/>
        <v>2715.6449454559997</v>
      </c>
      <c r="L347" s="367">
        <f>$F347-H!BR49</f>
        <v>2605.6449454559997</v>
      </c>
      <c r="M347" s="367">
        <f>IFERROR(H!BR49*H!BQ49,0)</f>
        <v>109.99999999999997</v>
      </c>
    </row>
    <row r="348" spans="2:13" ht="42.75" customHeight="1" x14ac:dyDescent="0.3">
      <c r="B348" s="4" t="s">
        <v>343</v>
      </c>
      <c r="C348" s="4" t="s">
        <v>187</v>
      </c>
      <c r="D348" s="4" t="s">
        <v>284</v>
      </c>
      <c r="E348" s="5" t="s">
        <v>258</v>
      </c>
      <c r="F348" s="6">
        <f>H!CA49</f>
        <v>2771.1029654559998</v>
      </c>
      <c r="G348" s="7" t="s">
        <v>190</v>
      </c>
      <c r="H348" s="6" t="s">
        <v>1644</v>
      </c>
      <c r="I348" s="369">
        <f>H!BY49</f>
        <v>1</v>
      </c>
      <c r="J348" s="368"/>
      <c r="K348" s="367">
        <f t="shared" si="6"/>
        <v>2771.1029654559998</v>
      </c>
      <c r="L348" s="367">
        <f>$F348-H!BZ49</f>
        <v>2641.1029654559998</v>
      </c>
      <c r="M348" s="367">
        <f>IFERROR(H!BZ49*H!BY49,0)</f>
        <v>129.99999999999997</v>
      </c>
    </row>
    <row r="349" spans="2:13" ht="42.75" customHeight="1" x14ac:dyDescent="0.3">
      <c r="B349" s="4" t="s">
        <v>344</v>
      </c>
      <c r="C349" s="4" t="s">
        <v>187</v>
      </c>
      <c r="D349" s="4" t="s">
        <v>286</v>
      </c>
      <c r="E349" s="5" t="s">
        <v>258</v>
      </c>
      <c r="F349" s="6">
        <f>H!CI49</f>
        <v>2784.6696321226664</v>
      </c>
      <c r="G349" s="7" t="s">
        <v>190</v>
      </c>
      <c r="H349" s="6" t="s">
        <v>1644</v>
      </c>
      <c r="I349" s="369">
        <f>H!CG49</f>
        <v>1</v>
      </c>
      <c r="J349" s="368"/>
      <c r="K349" s="367">
        <f t="shared" si="6"/>
        <v>2784.6696321226664</v>
      </c>
      <c r="L349" s="367">
        <f>$F349-H!CH49</f>
        <v>2648.0029654559999</v>
      </c>
      <c r="M349" s="367">
        <f>IFERROR(H!CH49*H!CG49,0)</f>
        <v>136.6666666666666</v>
      </c>
    </row>
    <row r="350" spans="2:13" ht="42.75" customHeight="1" x14ac:dyDescent="0.3">
      <c r="B350" s="4" t="s">
        <v>345</v>
      </c>
      <c r="C350" s="4" t="s">
        <v>187</v>
      </c>
      <c r="D350" s="4" t="s">
        <v>282</v>
      </c>
      <c r="E350" s="5" t="s">
        <v>262</v>
      </c>
      <c r="F350" s="6">
        <f>H!BS50</f>
        <v>3186.5757880639999</v>
      </c>
      <c r="G350" s="7" t="s">
        <v>190</v>
      </c>
      <c r="H350" s="6" t="s">
        <v>1644</v>
      </c>
      <c r="I350" s="369">
        <f>H!BQ50</f>
        <v>1</v>
      </c>
      <c r="J350" s="368"/>
      <c r="K350" s="367">
        <f t="shared" si="6"/>
        <v>3186.5757880639999</v>
      </c>
      <c r="L350" s="367">
        <f>$F350-H!BR50</f>
        <v>3076.5757880639999</v>
      </c>
      <c r="M350" s="367">
        <f>IFERROR(H!BR50*H!BQ50,0)</f>
        <v>109.99999999999997</v>
      </c>
    </row>
    <row r="351" spans="2:13" ht="42.75" customHeight="1" x14ac:dyDescent="0.3">
      <c r="B351" s="4" t="s">
        <v>346</v>
      </c>
      <c r="C351" s="4" t="s">
        <v>187</v>
      </c>
      <c r="D351" s="4" t="s">
        <v>284</v>
      </c>
      <c r="E351" s="5" t="s">
        <v>262</v>
      </c>
      <c r="F351" s="6">
        <f>H!CA50</f>
        <v>3245.9887410639999</v>
      </c>
      <c r="G351" s="7" t="s">
        <v>190</v>
      </c>
      <c r="H351" s="6" t="s">
        <v>1644</v>
      </c>
      <c r="I351" s="369">
        <f>H!BY50</f>
        <v>1</v>
      </c>
      <c r="J351" s="368"/>
      <c r="K351" s="367">
        <f t="shared" si="6"/>
        <v>3245.9887410639999</v>
      </c>
      <c r="L351" s="367">
        <f>$F351-H!BZ50</f>
        <v>3115.9887410639999</v>
      </c>
      <c r="M351" s="367">
        <f>IFERROR(H!BZ50*H!BY50,0)</f>
        <v>129.99999999999997</v>
      </c>
    </row>
    <row r="352" spans="2:13" ht="42.75" customHeight="1" x14ac:dyDescent="0.3">
      <c r="B352" s="4" t="s">
        <v>347</v>
      </c>
      <c r="C352" s="4" t="s">
        <v>187</v>
      </c>
      <c r="D352" s="4" t="s">
        <v>286</v>
      </c>
      <c r="E352" s="5" t="s">
        <v>262</v>
      </c>
      <c r="F352" s="6">
        <f>H!CI50</f>
        <v>3259.9754077306666</v>
      </c>
      <c r="G352" s="7" t="s">
        <v>190</v>
      </c>
      <c r="H352" s="6" t="s">
        <v>1644</v>
      </c>
      <c r="I352" s="369">
        <f>H!CG50</f>
        <v>1</v>
      </c>
      <c r="J352" s="368"/>
      <c r="K352" s="367">
        <f t="shared" si="6"/>
        <v>3259.9754077306666</v>
      </c>
      <c r="L352" s="367">
        <f>$F352-H!CH50</f>
        <v>3123.3087410640001</v>
      </c>
      <c r="M352" s="367">
        <f>IFERROR(H!CH50*H!CG50,0)</f>
        <v>136.6666666666666</v>
      </c>
    </row>
    <row r="353" spans="2:13" ht="42.75" customHeight="1" x14ac:dyDescent="0.3">
      <c r="B353" s="4" t="s">
        <v>348</v>
      </c>
      <c r="C353" s="4" t="s">
        <v>187</v>
      </c>
      <c r="D353" s="4" t="s">
        <v>282</v>
      </c>
      <c r="E353" s="5" t="s">
        <v>266</v>
      </c>
      <c r="F353" s="6">
        <f>H!BS51</f>
        <v>3751.0698131039999</v>
      </c>
      <c r="G353" s="7" t="s">
        <v>190</v>
      </c>
      <c r="H353" s="6" t="s">
        <v>1644</v>
      </c>
      <c r="I353" s="369">
        <f>H!BQ51</f>
        <v>1</v>
      </c>
      <c r="J353" s="368"/>
      <c r="K353" s="367">
        <f t="shared" si="6"/>
        <v>3751.0698131039999</v>
      </c>
      <c r="L353" s="367">
        <f>$F353-H!BR51</f>
        <v>3601.0698131039999</v>
      </c>
      <c r="M353" s="367">
        <f>IFERROR(H!BR51*H!BQ51,0)</f>
        <v>149.99999999999989</v>
      </c>
    </row>
    <row r="354" spans="2:13" ht="42.75" customHeight="1" x14ac:dyDescent="0.3">
      <c r="B354" s="4" t="s">
        <v>349</v>
      </c>
      <c r="C354" s="4" t="s">
        <v>187</v>
      </c>
      <c r="D354" s="4" t="s">
        <v>284</v>
      </c>
      <c r="E354" s="5" t="s">
        <v>266</v>
      </c>
      <c r="F354" s="6">
        <f>H!CA51</f>
        <v>3816.5288131039997</v>
      </c>
      <c r="G354" s="7" t="s">
        <v>190</v>
      </c>
      <c r="H354" s="6" t="s">
        <v>1644</v>
      </c>
      <c r="I354" s="369">
        <f>H!BY51</f>
        <v>1</v>
      </c>
      <c r="J354" s="368"/>
      <c r="K354" s="367">
        <f t="shared" si="6"/>
        <v>3816.5288131039997</v>
      </c>
      <c r="L354" s="367">
        <f>$F354-H!BZ51</f>
        <v>3646.5288131039997</v>
      </c>
      <c r="M354" s="367">
        <f>IFERROR(H!BZ51*H!BY51,0)</f>
        <v>169.99999999999991</v>
      </c>
    </row>
    <row r="355" spans="2:13" ht="42.75" customHeight="1" x14ac:dyDescent="0.3">
      <c r="B355" s="4" t="s">
        <v>350</v>
      </c>
      <c r="C355" s="4" t="s">
        <v>187</v>
      </c>
      <c r="D355" s="4" t="s">
        <v>286</v>
      </c>
      <c r="E355" s="5" t="s">
        <v>266</v>
      </c>
      <c r="F355" s="6">
        <f>H!CI51</f>
        <v>3830.8754797706661</v>
      </c>
      <c r="G355" s="7" t="s">
        <v>190</v>
      </c>
      <c r="H355" s="6" t="s">
        <v>1644</v>
      </c>
      <c r="I355" s="369">
        <f>H!CG51</f>
        <v>1</v>
      </c>
      <c r="J355" s="368"/>
      <c r="K355" s="367">
        <f t="shared" si="6"/>
        <v>3830.8754797706661</v>
      </c>
      <c r="L355" s="367">
        <f>$F355-H!CH51</f>
        <v>3654.2088131039995</v>
      </c>
      <c r="M355" s="367">
        <f>IFERROR(H!CH51*H!CG51,0)</f>
        <v>176.66666666666657</v>
      </c>
    </row>
    <row r="356" spans="2:13" ht="42.75" customHeight="1" x14ac:dyDescent="0.3">
      <c r="B356" s="4" t="s">
        <v>351</v>
      </c>
      <c r="C356" s="4" t="s">
        <v>187</v>
      </c>
      <c r="D356" s="4" t="s">
        <v>282</v>
      </c>
      <c r="E356" s="5" t="s">
        <v>270</v>
      </c>
      <c r="F356" s="6">
        <f>H!BS52</f>
        <v>4332.0111066239997</v>
      </c>
      <c r="G356" s="7" t="s">
        <v>190</v>
      </c>
      <c r="H356" s="6" t="s">
        <v>1644</v>
      </c>
      <c r="I356" s="369">
        <f>H!BQ52</f>
        <v>1</v>
      </c>
      <c r="J356" s="368"/>
      <c r="K356" s="367">
        <f t="shared" si="6"/>
        <v>4332.0111066239997</v>
      </c>
      <c r="L356" s="367">
        <f>$F356-H!BR52</f>
        <v>4182.0111066239997</v>
      </c>
      <c r="M356" s="367">
        <f>IFERROR(H!BR52*H!BQ52,0)</f>
        <v>149.99999999999989</v>
      </c>
    </row>
    <row r="357" spans="2:13" ht="42.75" customHeight="1" x14ac:dyDescent="0.3">
      <c r="B357" s="4" t="s">
        <v>352</v>
      </c>
      <c r="C357" s="4" t="s">
        <v>187</v>
      </c>
      <c r="D357" s="4" t="s">
        <v>284</v>
      </c>
      <c r="E357" s="5" t="s">
        <v>270</v>
      </c>
      <c r="F357" s="6">
        <f>H!CA52</f>
        <v>4401.106826624</v>
      </c>
      <c r="G357" s="7" t="s">
        <v>190</v>
      </c>
      <c r="H357" s="6" t="s">
        <v>1644</v>
      </c>
      <c r="I357" s="369">
        <f>H!BY52</f>
        <v>1</v>
      </c>
      <c r="J357" s="368"/>
      <c r="K357" s="367">
        <f t="shared" si="6"/>
        <v>4401.106826624</v>
      </c>
      <c r="L357" s="367">
        <f>$F357-H!BZ52</f>
        <v>4231.106826624</v>
      </c>
      <c r="M357" s="367">
        <f>IFERROR(H!BZ52*H!BY52,0)</f>
        <v>169.99999999999991</v>
      </c>
    </row>
    <row r="358" spans="2:13" ht="42.75" customHeight="1" x14ac:dyDescent="0.3">
      <c r="B358" s="4" t="s">
        <v>353</v>
      </c>
      <c r="C358" s="4" t="s">
        <v>187</v>
      </c>
      <c r="D358" s="4" t="s">
        <v>286</v>
      </c>
      <c r="E358" s="5" t="s">
        <v>270</v>
      </c>
      <c r="F358" s="6">
        <f>H!CI52</f>
        <v>4415.8134932906669</v>
      </c>
      <c r="G358" s="7" t="s">
        <v>190</v>
      </c>
      <c r="H358" s="6" t="s">
        <v>1644</v>
      </c>
      <c r="I358" s="369">
        <f>H!CG52</f>
        <v>1</v>
      </c>
      <c r="J358" s="368"/>
      <c r="K358" s="367">
        <f t="shared" si="6"/>
        <v>4415.8134932906669</v>
      </c>
      <c r="L358" s="367">
        <f>$F358-H!CH52</f>
        <v>4239.1468266239999</v>
      </c>
      <c r="M358" s="367">
        <f>IFERROR(H!CH52*H!CG52,0)</f>
        <v>176.66666666666657</v>
      </c>
    </row>
    <row r="359" spans="2:13" ht="42.75" customHeight="1" x14ac:dyDescent="0.3">
      <c r="B359" s="4" t="s">
        <v>354</v>
      </c>
      <c r="C359" s="4" t="s">
        <v>187</v>
      </c>
      <c r="D359" s="4" t="s">
        <v>282</v>
      </c>
      <c r="E359" s="5" t="s">
        <v>274</v>
      </c>
      <c r="F359" s="6">
        <f>H!BS53</f>
        <v>4972.2842368799993</v>
      </c>
      <c r="G359" s="7" t="s">
        <v>190</v>
      </c>
      <c r="H359" s="6" t="s">
        <v>1644</v>
      </c>
      <c r="I359" s="369">
        <f>H!BQ53</f>
        <v>1</v>
      </c>
      <c r="J359" s="368"/>
      <c r="K359" s="367">
        <f t="shared" ref="K359:K422" si="7">IF(OR($J359="",$J359&lt;=0),$F359,$L359+$M359/$J359)</f>
        <v>4972.2842368799993</v>
      </c>
      <c r="L359" s="367">
        <f>$F359-H!BR53</f>
        <v>4822.2842368799993</v>
      </c>
      <c r="M359" s="367">
        <f>IFERROR(H!BR53*H!BQ53,0)</f>
        <v>149.99999999999989</v>
      </c>
    </row>
    <row r="360" spans="2:13" ht="42.75" customHeight="1" x14ac:dyDescent="0.3">
      <c r="B360" s="4" t="s">
        <v>355</v>
      </c>
      <c r="C360" s="4" t="s">
        <v>187</v>
      </c>
      <c r="D360" s="4" t="s">
        <v>284</v>
      </c>
      <c r="E360" s="5" t="s">
        <v>274</v>
      </c>
      <c r="F360" s="6">
        <f>H!CA53</f>
        <v>5045.1075948799989</v>
      </c>
      <c r="G360" s="7" t="s">
        <v>190</v>
      </c>
      <c r="H360" s="6" t="s">
        <v>1644</v>
      </c>
      <c r="I360" s="369">
        <f>H!BY53</f>
        <v>1</v>
      </c>
      <c r="J360" s="368"/>
      <c r="K360" s="367">
        <f t="shared" si="7"/>
        <v>5045.1075948799989</v>
      </c>
      <c r="L360" s="367">
        <f>$F360-H!BZ53</f>
        <v>4875.1075948799989</v>
      </c>
      <c r="M360" s="367">
        <f>IFERROR(H!BZ53*H!BY53,0)</f>
        <v>169.99999999999991</v>
      </c>
    </row>
    <row r="361" spans="2:13" ht="42.75" customHeight="1" x14ac:dyDescent="0.3">
      <c r="B361" s="4" t="s">
        <v>356</v>
      </c>
      <c r="C361" s="4" t="s">
        <v>187</v>
      </c>
      <c r="D361" s="4" t="s">
        <v>286</v>
      </c>
      <c r="E361" s="5" t="s">
        <v>274</v>
      </c>
      <c r="F361" s="6">
        <f>H!CI53</f>
        <v>5060.0542615466657</v>
      </c>
      <c r="G361" s="7" t="s">
        <v>190</v>
      </c>
      <c r="H361" s="6" t="s">
        <v>1644</v>
      </c>
      <c r="I361" s="369">
        <f>H!CG53</f>
        <v>1</v>
      </c>
      <c r="J361" s="368"/>
      <c r="K361" s="367">
        <f t="shared" si="7"/>
        <v>5060.0542615466657</v>
      </c>
      <c r="L361" s="367">
        <f>$F361-H!CH53</f>
        <v>4883.3875948799987</v>
      </c>
      <c r="M361" s="367">
        <f>IFERROR(H!CH53*H!CG53,0)</f>
        <v>176.66666666666657</v>
      </c>
    </row>
    <row r="362" spans="2:13" ht="42.75" customHeight="1" x14ac:dyDescent="0.3">
      <c r="B362" s="4" t="s">
        <v>357</v>
      </c>
      <c r="C362" s="4" t="s">
        <v>187</v>
      </c>
      <c r="D362" s="4" t="s">
        <v>282</v>
      </c>
      <c r="E362" s="5" t="s">
        <v>278</v>
      </c>
      <c r="F362" s="6">
        <f>H!BS54</f>
        <v>5674.77328992</v>
      </c>
      <c r="G362" s="7" t="s">
        <v>190</v>
      </c>
      <c r="H362" s="6" t="s">
        <v>1644</v>
      </c>
      <c r="I362" s="369">
        <f>H!BQ54</f>
        <v>1</v>
      </c>
      <c r="J362" s="368"/>
      <c r="K362" s="367">
        <f t="shared" si="7"/>
        <v>5674.77328992</v>
      </c>
      <c r="L362" s="367">
        <f>$F362-H!BR54</f>
        <v>5524.77328992</v>
      </c>
      <c r="M362" s="367">
        <f>IFERROR(H!BR54*H!BQ54,0)</f>
        <v>149.99999999999989</v>
      </c>
    </row>
    <row r="363" spans="2:13" ht="42.75" customHeight="1" x14ac:dyDescent="0.3">
      <c r="B363" s="4" t="s">
        <v>358</v>
      </c>
      <c r="C363" s="4" t="s">
        <v>187</v>
      </c>
      <c r="D363" s="4" t="s">
        <v>284</v>
      </c>
      <c r="E363" s="5" t="s">
        <v>278</v>
      </c>
      <c r="F363" s="6">
        <f>H!CA54</f>
        <v>5752.5062199200001</v>
      </c>
      <c r="G363" s="7" t="s">
        <v>190</v>
      </c>
      <c r="H363" s="6" t="s">
        <v>1644</v>
      </c>
      <c r="I363" s="369">
        <f>H!BY54</f>
        <v>1</v>
      </c>
      <c r="J363" s="368"/>
      <c r="K363" s="367">
        <f t="shared" si="7"/>
        <v>5752.5062199200001</v>
      </c>
      <c r="L363" s="367">
        <f>$F363-H!BZ54</f>
        <v>5582.5062199200001</v>
      </c>
      <c r="M363" s="367">
        <f>IFERROR(H!BZ54*H!BY54,0)</f>
        <v>169.99999999999991</v>
      </c>
    </row>
    <row r="364" spans="2:13" ht="42.75" customHeight="1" x14ac:dyDescent="0.3">
      <c r="B364" s="4" t="s">
        <v>359</v>
      </c>
      <c r="C364" s="4" t="s">
        <v>187</v>
      </c>
      <c r="D364" s="4" t="s">
        <v>286</v>
      </c>
      <c r="E364" s="5" t="s">
        <v>278</v>
      </c>
      <c r="F364" s="6">
        <f>H!CI54</f>
        <v>5767.5728865866668</v>
      </c>
      <c r="G364" s="7" t="s">
        <v>190</v>
      </c>
      <c r="H364" s="6" t="s">
        <v>1644</v>
      </c>
      <c r="I364" s="369">
        <f>H!CG54</f>
        <v>1</v>
      </c>
      <c r="J364" s="368"/>
      <c r="K364" s="367">
        <f t="shared" si="7"/>
        <v>5767.5728865866668</v>
      </c>
      <c r="L364" s="367">
        <f>$F364-H!CH54</f>
        <v>5590.9062199199998</v>
      </c>
      <c r="M364" s="367">
        <f>IFERROR(H!CH54*H!CG54,0)</f>
        <v>176.66666666666657</v>
      </c>
    </row>
    <row r="365" spans="2:13" ht="42.75" customHeight="1" x14ac:dyDescent="0.3">
      <c r="B365" s="4" t="s">
        <v>360</v>
      </c>
      <c r="C365" s="4" t="s">
        <v>187</v>
      </c>
      <c r="D365" s="4" t="s">
        <v>361</v>
      </c>
      <c r="E365" s="5" t="s">
        <v>189</v>
      </c>
      <c r="F365" s="6">
        <f>H!BS55</f>
        <v>2.2266821066666669</v>
      </c>
      <c r="G365" s="7" t="s">
        <v>190</v>
      </c>
      <c r="H365" s="6" t="s">
        <v>1644</v>
      </c>
      <c r="I365" s="369">
        <f>H!BQ55</f>
        <v>50</v>
      </c>
      <c r="J365" s="368"/>
      <c r="K365" s="367">
        <f t="shared" si="7"/>
        <v>2.2266821066666669</v>
      </c>
      <c r="L365" s="367">
        <f>$F365-H!BR55</f>
        <v>0.68001544000000003</v>
      </c>
      <c r="M365" s="367">
        <f>IFERROR(H!BR55*H!BQ55,0)</f>
        <v>77.333333333333343</v>
      </c>
    </row>
    <row r="366" spans="2:13" ht="42.75" customHeight="1" x14ac:dyDescent="0.3">
      <c r="B366" s="4" t="s">
        <v>362</v>
      </c>
      <c r="C366" s="4" t="s">
        <v>187</v>
      </c>
      <c r="D366" s="4" t="s">
        <v>363</v>
      </c>
      <c r="E366" s="5" t="s">
        <v>189</v>
      </c>
      <c r="F366" s="6">
        <f>H!CA55</f>
        <v>3.5518858209523794</v>
      </c>
      <c r="G366" s="7" t="s">
        <v>190</v>
      </c>
      <c r="H366" s="6" t="s">
        <v>1644</v>
      </c>
      <c r="I366" s="369">
        <f>H!BY55</f>
        <v>35</v>
      </c>
      <c r="J366" s="368"/>
      <c r="K366" s="367">
        <f t="shared" si="7"/>
        <v>3.5518858209523794</v>
      </c>
      <c r="L366" s="367">
        <f>$F366-H!BZ55</f>
        <v>0.77093343999999986</v>
      </c>
      <c r="M366" s="367">
        <f>IFERROR(H!BZ55*H!BY55,0)</f>
        <v>97.333333333333286</v>
      </c>
    </row>
    <row r="367" spans="2:13" ht="42.75" customHeight="1" x14ac:dyDescent="0.3">
      <c r="B367" s="4" t="s">
        <v>364</v>
      </c>
      <c r="C367" s="4" t="s">
        <v>187</v>
      </c>
      <c r="D367" s="4" t="s">
        <v>365</v>
      </c>
      <c r="E367" s="5" t="s">
        <v>189</v>
      </c>
      <c r="F367" s="6">
        <f>H!CI55</f>
        <v>22.470933439999989</v>
      </c>
      <c r="G367" s="7" t="s">
        <v>190</v>
      </c>
      <c r="H367" s="6" t="s">
        <v>1644</v>
      </c>
      <c r="I367" s="369">
        <f>H!CG55</f>
        <v>5</v>
      </c>
      <c r="J367" s="368"/>
      <c r="K367" s="367">
        <f t="shared" si="7"/>
        <v>22.470933439999989</v>
      </c>
      <c r="L367" s="367">
        <f>$F367-H!CH55</f>
        <v>1.6709334399999989</v>
      </c>
      <c r="M367" s="367">
        <f>IFERROR(H!CH55*H!CG55,0)</f>
        <v>103.99999999999994</v>
      </c>
    </row>
    <row r="368" spans="2:13" ht="42.75" customHeight="1" x14ac:dyDescent="0.3">
      <c r="B368" s="4" t="s">
        <v>366</v>
      </c>
      <c r="C368" s="4" t="s">
        <v>187</v>
      </c>
      <c r="D368" s="4" t="s">
        <v>361</v>
      </c>
      <c r="E368" s="5" t="s">
        <v>196</v>
      </c>
      <c r="F368" s="6">
        <f>H!BS56</f>
        <v>3.8451328906666666</v>
      </c>
      <c r="G368" s="7" t="s">
        <v>190</v>
      </c>
      <c r="H368" s="6" t="s">
        <v>1644</v>
      </c>
      <c r="I368" s="369">
        <f>H!BQ56</f>
        <v>50</v>
      </c>
      <c r="J368" s="368"/>
      <c r="K368" s="367">
        <f t="shared" si="7"/>
        <v>3.8451328906666666</v>
      </c>
      <c r="L368" s="367">
        <f>$F368-H!BR56</f>
        <v>2.2984662239999998</v>
      </c>
      <c r="M368" s="367">
        <f>IFERROR(H!BR56*H!BQ56,0)</f>
        <v>77.333333333333343</v>
      </c>
    </row>
    <row r="369" spans="2:13" ht="42.75" customHeight="1" x14ac:dyDescent="0.3">
      <c r="B369" s="4" t="s">
        <v>367</v>
      </c>
      <c r="C369" s="4" t="s">
        <v>187</v>
      </c>
      <c r="D369" s="4" t="s">
        <v>363</v>
      </c>
      <c r="E369" s="5" t="s">
        <v>196</v>
      </c>
      <c r="F369" s="6">
        <f>H!CA56</f>
        <v>5.3521726049523792</v>
      </c>
      <c r="G369" s="7" t="s">
        <v>190</v>
      </c>
      <c r="H369" s="6" t="s">
        <v>1644</v>
      </c>
      <c r="I369" s="369">
        <f>H!BY56</f>
        <v>35</v>
      </c>
      <c r="J369" s="368"/>
      <c r="K369" s="367">
        <f t="shared" si="7"/>
        <v>5.3521726049523792</v>
      </c>
      <c r="L369" s="367">
        <f>$F369-H!BZ56</f>
        <v>2.5712202239999997</v>
      </c>
      <c r="M369" s="367">
        <f>IFERROR(H!BZ56*H!BY56,0)</f>
        <v>97.333333333333286</v>
      </c>
    </row>
    <row r="370" spans="2:13" ht="42.75" customHeight="1" x14ac:dyDescent="0.3">
      <c r="B370" s="4" t="s">
        <v>368</v>
      </c>
      <c r="C370" s="4" t="s">
        <v>187</v>
      </c>
      <c r="D370" s="4" t="s">
        <v>365</v>
      </c>
      <c r="E370" s="5" t="s">
        <v>196</v>
      </c>
      <c r="F370" s="6">
        <f>H!CI56</f>
        <v>5.7012202239999983</v>
      </c>
      <c r="G370" s="7" t="s">
        <v>190</v>
      </c>
      <c r="H370" s="6" t="s">
        <v>1644</v>
      </c>
      <c r="I370" s="369">
        <f>H!CG56</f>
        <v>50</v>
      </c>
      <c r="J370" s="368"/>
      <c r="K370" s="367">
        <f t="shared" si="7"/>
        <v>5.7012202239999983</v>
      </c>
      <c r="L370" s="367">
        <f>$F370-H!CH56</f>
        <v>3.6212202239999995</v>
      </c>
      <c r="M370" s="367">
        <f>IFERROR(H!CH56*H!CG56,0)</f>
        <v>103.99999999999994</v>
      </c>
    </row>
    <row r="371" spans="2:13" ht="42.75" customHeight="1" x14ac:dyDescent="0.3">
      <c r="B371" s="4" t="s">
        <v>369</v>
      </c>
      <c r="C371" s="4" t="s">
        <v>187</v>
      </c>
      <c r="D371" s="4" t="s">
        <v>361</v>
      </c>
      <c r="E371" s="5" t="s">
        <v>200</v>
      </c>
      <c r="F371" s="6">
        <f>H!BS57</f>
        <v>4.8080919377777773</v>
      </c>
      <c r="G371" s="7" t="s">
        <v>190</v>
      </c>
      <c r="H371" s="6" t="s">
        <v>1644</v>
      </c>
      <c r="I371" s="369">
        <f>H!BQ57</f>
        <v>30</v>
      </c>
      <c r="J371" s="368"/>
      <c r="K371" s="367">
        <f t="shared" si="7"/>
        <v>4.8080919377777773</v>
      </c>
      <c r="L371" s="367">
        <f>$F371-H!BR57</f>
        <v>2.2303141599999994</v>
      </c>
      <c r="M371" s="367">
        <f>IFERROR(H!BR57*H!BQ57,0)</f>
        <v>77.333333333333343</v>
      </c>
    </row>
    <row r="372" spans="2:13" ht="42.75" customHeight="1" x14ac:dyDescent="0.3">
      <c r="B372" s="4" t="s">
        <v>370</v>
      </c>
      <c r="C372" s="4" t="s">
        <v>187</v>
      </c>
      <c r="D372" s="4" t="s">
        <v>363</v>
      </c>
      <c r="E372" s="5" t="s">
        <v>200</v>
      </c>
      <c r="F372" s="6">
        <f>H!CA57</f>
        <v>6.5782374933333303</v>
      </c>
      <c r="G372" s="7" t="s">
        <v>190</v>
      </c>
      <c r="H372" s="6" t="s">
        <v>1644</v>
      </c>
      <c r="I372" s="369">
        <f>H!BY57</f>
        <v>25</v>
      </c>
      <c r="J372" s="368"/>
      <c r="K372" s="367">
        <f t="shared" si="7"/>
        <v>6.5782374933333303</v>
      </c>
      <c r="L372" s="367">
        <f>$F372-H!BZ57</f>
        <v>2.684904159999999</v>
      </c>
      <c r="M372" s="367">
        <f>IFERROR(H!BZ57*H!BY57,0)</f>
        <v>97.333333333333286</v>
      </c>
    </row>
    <row r="373" spans="2:13" ht="42.75" customHeight="1" x14ac:dyDescent="0.3">
      <c r="B373" s="4" t="s">
        <v>371</v>
      </c>
      <c r="C373" s="4" t="s">
        <v>187</v>
      </c>
      <c r="D373" s="4" t="s">
        <v>365</v>
      </c>
      <c r="E373" s="5" t="s">
        <v>200</v>
      </c>
      <c r="F373" s="6">
        <f>H!CI57</f>
        <v>5.9049041599999974</v>
      </c>
      <c r="G373" s="7" t="s">
        <v>190</v>
      </c>
      <c r="H373" s="6" t="s">
        <v>1644</v>
      </c>
      <c r="I373" s="369">
        <f>H!CG57</f>
        <v>50</v>
      </c>
      <c r="J373" s="368"/>
      <c r="K373" s="367">
        <f t="shared" si="7"/>
        <v>5.9049041599999974</v>
      </c>
      <c r="L373" s="367">
        <f>$F373-H!CH57</f>
        <v>3.8249041599999987</v>
      </c>
      <c r="M373" s="367">
        <f>IFERROR(H!CH57*H!CG57,0)</f>
        <v>103.99999999999994</v>
      </c>
    </row>
    <row r="374" spans="2:13" ht="42.75" customHeight="1" x14ac:dyDescent="0.3">
      <c r="B374" s="4" t="s">
        <v>372</v>
      </c>
      <c r="C374" s="4" t="s">
        <v>187</v>
      </c>
      <c r="D374" s="4" t="s">
        <v>361</v>
      </c>
      <c r="E374" s="5" t="s">
        <v>185</v>
      </c>
      <c r="F374" s="6">
        <f>H!BS58</f>
        <v>13.123929633777777</v>
      </c>
      <c r="G374" s="7" t="s">
        <v>190</v>
      </c>
      <c r="H374" s="6" t="s">
        <v>1644</v>
      </c>
      <c r="I374" s="369">
        <f>H!BQ58</f>
        <v>30</v>
      </c>
      <c r="J374" s="368"/>
      <c r="K374" s="367">
        <f t="shared" si="7"/>
        <v>13.123929633777777</v>
      </c>
      <c r="L374" s="367">
        <f>$F374-H!BR58</f>
        <v>10.546151856</v>
      </c>
      <c r="M374" s="367">
        <f>IFERROR(H!BR58*H!BQ58,0)</f>
        <v>77.333333333333343</v>
      </c>
    </row>
    <row r="375" spans="2:13" ht="42.75" customHeight="1" x14ac:dyDescent="0.3">
      <c r="B375" s="4" t="s">
        <v>373</v>
      </c>
      <c r="C375" s="4" t="s">
        <v>187</v>
      </c>
      <c r="D375" s="4" t="s">
        <v>363</v>
      </c>
      <c r="E375" s="5" t="s">
        <v>185</v>
      </c>
      <c r="F375" s="6">
        <f>H!CA58</f>
        <v>15.166829189333331</v>
      </c>
      <c r="G375" s="7" t="s">
        <v>190</v>
      </c>
      <c r="H375" s="6" t="s">
        <v>1644</v>
      </c>
      <c r="I375" s="369">
        <f>H!BY58</f>
        <v>25</v>
      </c>
      <c r="J375" s="368"/>
      <c r="K375" s="367">
        <f t="shared" si="7"/>
        <v>15.166829189333331</v>
      </c>
      <c r="L375" s="367">
        <f>$F375-H!BZ58</f>
        <v>11.273495856</v>
      </c>
      <c r="M375" s="367">
        <f>IFERROR(H!BZ58*H!BY58,0)</f>
        <v>97.333333333333286</v>
      </c>
    </row>
    <row r="376" spans="2:13" ht="42.75" customHeight="1" x14ac:dyDescent="0.3">
      <c r="B376" s="4" t="s">
        <v>374</v>
      </c>
      <c r="C376" s="4" t="s">
        <v>187</v>
      </c>
      <c r="D376" s="4" t="s">
        <v>365</v>
      </c>
      <c r="E376" s="5" t="s">
        <v>185</v>
      </c>
      <c r="F376" s="6">
        <f>H!CI58</f>
        <v>16.120162522666664</v>
      </c>
      <c r="G376" s="7" t="s">
        <v>190</v>
      </c>
      <c r="H376" s="6" t="s">
        <v>1644</v>
      </c>
      <c r="I376" s="369">
        <f>H!CG58</f>
        <v>30</v>
      </c>
      <c r="J376" s="368"/>
      <c r="K376" s="367">
        <f t="shared" si="7"/>
        <v>16.120162522666664</v>
      </c>
      <c r="L376" s="367">
        <f>$F376-H!CH58</f>
        <v>12.653495855999999</v>
      </c>
      <c r="M376" s="367">
        <f>IFERROR(H!CH58*H!CG58,0)</f>
        <v>103.99999999999994</v>
      </c>
    </row>
    <row r="377" spans="2:13" ht="42.75" customHeight="1" x14ac:dyDescent="0.3">
      <c r="B377" s="4" t="s">
        <v>375</v>
      </c>
      <c r="C377" s="4" t="s">
        <v>187</v>
      </c>
      <c r="D377" s="4" t="s">
        <v>361</v>
      </c>
      <c r="E377" s="5" t="s">
        <v>39</v>
      </c>
      <c r="F377" s="6">
        <f>H!BS59</f>
        <v>31.257361473777774</v>
      </c>
      <c r="G377" s="7" t="s">
        <v>190</v>
      </c>
      <c r="H377" s="6" t="s">
        <v>1644</v>
      </c>
      <c r="I377" s="369">
        <f>H!BQ59</f>
        <v>30</v>
      </c>
      <c r="J377" s="368"/>
      <c r="K377" s="367">
        <f t="shared" si="7"/>
        <v>31.257361473777774</v>
      </c>
      <c r="L377" s="367">
        <f>$F377-H!BR59</f>
        <v>28.679583695999995</v>
      </c>
      <c r="M377" s="367">
        <f>IFERROR(H!BR59*H!BQ59,0)</f>
        <v>77.333333333333343</v>
      </c>
    </row>
    <row r="378" spans="2:13" ht="42.75" customHeight="1" x14ac:dyDescent="0.3">
      <c r="B378" s="4" t="s">
        <v>376</v>
      </c>
      <c r="C378" s="4" t="s">
        <v>187</v>
      </c>
      <c r="D378" s="4" t="s">
        <v>363</v>
      </c>
      <c r="E378" s="5" t="s">
        <v>39</v>
      </c>
      <c r="F378" s="6">
        <f>H!CA59</f>
        <v>33.982146029333329</v>
      </c>
      <c r="G378" s="7" t="s">
        <v>190</v>
      </c>
      <c r="H378" s="6" t="s">
        <v>1644</v>
      </c>
      <c r="I378" s="369">
        <f>H!BY59</f>
        <v>25</v>
      </c>
      <c r="J378" s="368"/>
      <c r="K378" s="367">
        <f t="shared" si="7"/>
        <v>33.982146029333329</v>
      </c>
      <c r="L378" s="367">
        <f>$F378-H!BZ59</f>
        <v>30.088812695999998</v>
      </c>
      <c r="M378" s="367">
        <f>IFERROR(H!BZ59*H!BY59,0)</f>
        <v>97.333333333333286</v>
      </c>
    </row>
    <row r="379" spans="2:13" ht="42.75" customHeight="1" x14ac:dyDescent="0.3">
      <c r="B379" s="4" t="s">
        <v>377</v>
      </c>
      <c r="C379" s="4" t="s">
        <v>187</v>
      </c>
      <c r="D379" s="4" t="s">
        <v>365</v>
      </c>
      <c r="E379" s="5" t="s">
        <v>39</v>
      </c>
      <c r="F379" s="6">
        <f>H!CI59</f>
        <v>37.868812695999992</v>
      </c>
      <c r="G379" s="7" t="s">
        <v>190</v>
      </c>
      <c r="H379" s="6" t="s">
        <v>1644</v>
      </c>
      <c r="I379" s="369">
        <f>H!CG59</f>
        <v>20</v>
      </c>
      <c r="J379" s="368"/>
      <c r="K379" s="367">
        <f t="shared" si="7"/>
        <v>37.868812695999992</v>
      </c>
      <c r="L379" s="367">
        <f>$F379-H!CH59</f>
        <v>32.668812695999996</v>
      </c>
      <c r="M379" s="367">
        <f>IFERROR(H!CH59*H!CG59,0)</f>
        <v>103.99999999999994</v>
      </c>
    </row>
    <row r="380" spans="2:13" ht="42.75" customHeight="1" x14ac:dyDescent="0.3">
      <c r="B380" s="4" t="s">
        <v>378</v>
      </c>
      <c r="C380" s="4" t="s">
        <v>379</v>
      </c>
      <c r="D380" s="4" t="s">
        <v>380</v>
      </c>
      <c r="E380" s="5" t="s">
        <v>196</v>
      </c>
      <c r="F380" s="6">
        <f>HS!AL7</f>
        <v>14.719058333333333</v>
      </c>
      <c r="G380" s="7" t="s">
        <v>190</v>
      </c>
      <c r="H380" s="6">
        <f>HS!AN7</f>
        <v>94.719058333333336</v>
      </c>
      <c r="I380" s="369">
        <f>HS!AJ7</f>
        <v>8</v>
      </c>
      <c r="J380" s="368"/>
      <c r="K380" s="367">
        <f t="shared" si="7"/>
        <v>14.719058333333333</v>
      </c>
      <c r="L380" s="367">
        <f>$F380-HS!AK7</f>
        <v>2.6357250000000008</v>
      </c>
      <c r="M380" s="367">
        <f>IFERROR(HS!AK7*HS!AJ7,0)</f>
        <v>96.666666666666657</v>
      </c>
    </row>
    <row r="381" spans="2:13" ht="42.75" customHeight="1" x14ac:dyDescent="0.3">
      <c r="B381" s="4" t="s">
        <v>381</v>
      </c>
      <c r="C381" s="4" t="s">
        <v>379</v>
      </c>
      <c r="D381" s="4" t="s">
        <v>380</v>
      </c>
      <c r="E381" s="5" t="s">
        <v>200</v>
      </c>
      <c r="F381" s="6">
        <f>HS!AL8</f>
        <v>16.367555333333332</v>
      </c>
      <c r="G381" s="7" t="s">
        <v>190</v>
      </c>
      <c r="H381" s="6">
        <f>HS!AN8</f>
        <v>96.367555333333328</v>
      </c>
      <c r="I381" s="369">
        <f>HS!AJ8</f>
        <v>8</v>
      </c>
      <c r="J381" s="368"/>
      <c r="K381" s="367">
        <f t="shared" si="7"/>
        <v>16.367555333333332</v>
      </c>
      <c r="L381" s="367">
        <f>$F381-HS!AK8</f>
        <v>4.2842219999999998</v>
      </c>
      <c r="M381" s="367">
        <f>IFERROR(HS!AK8*HS!AJ8,0)</f>
        <v>96.666666666666657</v>
      </c>
    </row>
    <row r="382" spans="2:13" ht="42.75" customHeight="1" x14ac:dyDescent="0.3">
      <c r="B382" s="4" t="s">
        <v>382</v>
      </c>
      <c r="C382" s="4" t="s">
        <v>379</v>
      </c>
      <c r="D382" s="4" t="s">
        <v>380</v>
      </c>
      <c r="E382" s="5" t="s">
        <v>185</v>
      </c>
      <c r="F382" s="6">
        <f>HS!AL9</f>
        <v>25.934260333333334</v>
      </c>
      <c r="G382" s="7" t="s">
        <v>190</v>
      </c>
      <c r="H382" s="6">
        <f>HS!AN9</f>
        <v>105.93426033333333</v>
      </c>
      <c r="I382" s="369">
        <f>HS!AJ9</f>
        <v>5</v>
      </c>
      <c r="J382" s="368"/>
      <c r="K382" s="367">
        <f t="shared" si="7"/>
        <v>25.934260333333334</v>
      </c>
      <c r="L382" s="367">
        <f>$F382-HS!AK9</f>
        <v>6.6009270000000022</v>
      </c>
      <c r="M382" s="367">
        <f>IFERROR(HS!AK9*HS!AJ9,0)</f>
        <v>96.666666666666657</v>
      </c>
    </row>
    <row r="383" spans="2:13" ht="42.75" customHeight="1" x14ac:dyDescent="0.3">
      <c r="B383" s="4" t="s">
        <v>383</v>
      </c>
      <c r="C383" s="4" t="s">
        <v>379</v>
      </c>
      <c r="D383" s="4" t="s">
        <v>380</v>
      </c>
      <c r="E383" s="5" t="s">
        <v>39</v>
      </c>
      <c r="F383" s="6">
        <f>HS!AL10</f>
        <v>40.749676333333326</v>
      </c>
      <c r="G383" s="7" t="s">
        <v>190</v>
      </c>
      <c r="H383" s="6">
        <f>HS!AN10</f>
        <v>120.74967633333333</v>
      </c>
      <c r="I383" s="369">
        <f>HS!AJ10</f>
        <v>5</v>
      </c>
      <c r="J383" s="368"/>
      <c r="K383" s="367">
        <f t="shared" si="7"/>
        <v>40.749676333333326</v>
      </c>
      <c r="L383" s="367">
        <f>$F383-HS!AK10</f>
        <v>21.416342999999994</v>
      </c>
      <c r="M383" s="367">
        <f>IFERROR(HS!AK10*HS!AJ10,0)</f>
        <v>96.666666666666657</v>
      </c>
    </row>
    <row r="384" spans="2:13" ht="42.75" customHeight="1" x14ac:dyDescent="0.3">
      <c r="B384" s="4" t="s">
        <v>384</v>
      </c>
      <c r="C384" s="4" t="s">
        <v>379</v>
      </c>
      <c r="D384" s="4" t="s">
        <v>380</v>
      </c>
      <c r="E384" s="5" t="s">
        <v>300</v>
      </c>
      <c r="F384" s="6">
        <f>HS!AL11</f>
        <v>46.52852266666666</v>
      </c>
      <c r="G384" s="7" t="s">
        <v>190</v>
      </c>
      <c r="H384" s="6">
        <f>HS!AN11</f>
        <v>126.52852266666666</v>
      </c>
      <c r="I384" s="369">
        <f>HS!AJ11</f>
        <v>5</v>
      </c>
      <c r="J384" s="368"/>
      <c r="K384" s="367">
        <f t="shared" si="7"/>
        <v>46.52852266666666</v>
      </c>
      <c r="L384" s="367">
        <f>$F384-HS!AK11</f>
        <v>31.061855999999995</v>
      </c>
      <c r="M384" s="367">
        <f>IFERROR(HS!AK11*HS!AJ11,0)</f>
        <v>77.333333333333329</v>
      </c>
    </row>
    <row r="385" spans="2:13" ht="42.75" customHeight="1" x14ac:dyDescent="0.3">
      <c r="B385" s="4" t="s">
        <v>385</v>
      </c>
      <c r="C385" s="4" t="s">
        <v>379</v>
      </c>
      <c r="D385" s="4" t="s">
        <v>380</v>
      </c>
      <c r="E385" s="5" t="s">
        <v>41</v>
      </c>
      <c r="F385" s="6">
        <f>HS!AL12</f>
        <v>80.608682666666652</v>
      </c>
      <c r="G385" s="7" t="s">
        <v>190</v>
      </c>
      <c r="H385" s="6">
        <f>HS!AN12</f>
        <v>160.60868266666665</v>
      </c>
      <c r="I385" s="369">
        <f>HS!AJ12</f>
        <v>2</v>
      </c>
      <c r="J385" s="368"/>
      <c r="K385" s="367">
        <f t="shared" si="7"/>
        <v>80.608682666666652</v>
      </c>
      <c r="L385" s="367">
        <f>$F385-HS!AK12</f>
        <v>41.942015999999988</v>
      </c>
      <c r="M385" s="367">
        <f>IFERROR(HS!AK12*HS!AJ12,0)</f>
        <v>77.333333333333329</v>
      </c>
    </row>
    <row r="386" spans="2:13" ht="42.75" customHeight="1" x14ac:dyDescent="0.3">
      <c r="B386" s="4" t="s">
        <v>386</v>
      </c>
      <c r="C386" s="4" t="s">
        <v>379</v>
      </c>
      <c r="D386" s="4" t="s">
        <v>380</v>
      </c>
      <c r="E386" s="5" t="s">
        <v>43</v>
      </c>
      <c r="F386" s="6">
        <f>HS!AL13</f>
        <v>126.896733</v>
      </c>
      <c r="G386" s="7" t="s">
        <v>190</v>
      </c>
      <c r="H386" s="6">
        <f>HS!AN13</f>
        <v>206.89673299999998</v>
      </c>
      <c r="I386" s="369">
        <f>HS!AJ13</f>
        <v>2</v>
      </c>
      <c r="J386" s="368"/>
      <c r="K386" s="367">
        <f t="shared" si="7"/>
        <v>126.896733</v>
      </c>
      <c r="L386" s="367">
        <f>$F386-HS!AK13</f>
        <v>84.896733000000012</v>
      </c>
      <c r="M386" s="367">
        <f>IFERROR(HS!AK13*HS!AJ13,0)</f>
        <v>83.999999999999972</v>
      </c>
    </row>
    <row r="387" spans="2:13" ht="42.75" customHeight="1" x14ac:dyDescent="0.3">
      <c r="B387" s="4" t="s">
        <v>387</v>
      </c>
      <c r="C387" s="4" t="s">
        <v>379</v>
      </c>
      <c r="D387" s="4" t="s">
        <v>380</v>
      </c>
      <c r="E387" s="5" t="s">
        <v>45</v>
      </c>
      <c r="F387" s="6">
        <f>HS!AL14</f>
        <v>179.73033600000002</v>
      </c>
      <c r="G387" s="7" t="s">
        <v>190</v>
      </c>
      <c r="H387" s="6">
        <f>HS!AN14</f>
        <v>259.73033600000002</v>
      </c>
      <c r="I387" s="369">
        <f>HS!AJ14</f>
        <v>2</v>
      </c>
      <c r="J387" s="368"/>
      <c r="K387" s="367">
        <f t="shared" si="7"/>
        <v>179.73033600000002</v>
      </c>
      <c r="L387" s="367">
        <f>$F387-HS!AK14</f>
        <v>137.73033600000002</v>
      </c>
      <c r="M387" s="367">
        <f>IFERROR(HS!AK14*HS!AJ14,0)</f>
        <v>83.999999999999972</v>
      </c>
    </row>
    <row r="388" spans="2:13" ht="42.75" customHeight="1" x14ac:dyDescent="0.3">
      <c r="B388" s="4" t="s">
        <v>388</v>
      </c>
      <c r="C388" s="4" t="s">
        <v>379</v>
      </c>
      <c r="D388" s="4" t="s">
        <v>380</v>
      </c>
      <c r="E388" s="5" t="s">
        <v>47</v>
      </c>
      <c r="F388" s="6">
        <f>HS!AL15</f>
        <v>243.85958399999998</v>
      </c>
      <c r="G388" s="7" t="s">
        <v>190</v>
      </c>
      <c r="H388" s="6">
        <f>HS!AN15</f>
        <v>323.85958399999998</v>
      </c>
      <c r="I388" s="369">
        <f>HS!AJ15</f>
        <v>2</v>
      </c>
      <c r="J388" s="368"/>
      <c r="K388" s="367">
        <f t="shared" si="7"/>
        <v>243.85958399999998</v>
      </c>
      <c r="L388" s="367">
        <f>$F388-HS!AK15</f>
        <v>201.85958399999998</v>
      </c>
      <c r="M388" s="367">
        <f>IFERROR(HS!AK15*HS!AJ15,0)</f>
        <v>83.999999999999972</v>
      </c>
    </row>
    <row r="389" spans="2:13" ht="42.75" customHeight="1" x14ac:dyDescent="0.3">
      <c r="B389" s="4" t="s">
        <v>389</v>
      </c>
      <c r="C389" s="4" t="s">
        <v>379</v>
      </c>
      <c r="D389" s="4" t="s">
        <v>380</v>
      </c>
      <c r="E389" s="5" t="s">
        <v>222</v>
      </c>
      <c r="F389" s="6">
        <f>HS!AL16</f>
        <v>350.98931699999991</v>
      </c>
      <c r="G389" s="7" t="s">
        <v>190</v>
      </c>
      <c r="H389" s="6">
        <f>HS!AN16</f>
        <v>430.98931699999991</v>
      </c>
      <c r="I389" s="369">
        <f>HS!AJ16</f>
        <v>1</v>
      </c>
      <c r="J389" s="368"/>
      <c r="K389" s="367">
        <f t="shared" si="7"/>
        <v>350.98931699999991</v>
      </c>
      <c r="L389" s="367">
        <f>$F389-HS!AK16</f>
        <v>266.98931699999991</v>
      </c>
      <c r="M389" s="367">
        <f>IFERROR(HS!AK16*HS!AJ16,0)</f>
        <v>83.999999999999972</v>
      </c>
    </row>
    <row r="390" spans="2:13" ht="42.75" customHeight="1" x14ac:dyDescent="0.3">
      <c r="B390" s="4" t="s">
        <v>390</v>
      </c>
      <c r="C390" s="4" t="s">
        <v>379</v>
      </c>
      <c r="D390" s="4" t="s">
        <v>380</v>
      </c>
      <c r="E390" s="5" t="s">
        <v>226</v>
      </c>
      <c r="F390" s="6">
        <f>HS!AL17</f>
        <v>527.85488399999997</v>
      </c>
      <c r="G390" s="7" t="s">
        <v>190</v>
      </c>
      <c r="H390" s="6">
        <f>HS!AN17</f>
        <v>607.85488399999997</v>
      </c>
      <c r="I390" s="369">
        <f>HS!AJ17</f>
        <v>1</v>
      </c>
      <c r="J390" s="368"/>
      <c r="K390" s="367">
        <f t="shared" si="7"/>
        <v>527.85488399999997</v>
      </c>
      <c r="L390" s="367">
        <f>$F390-HS!AK17</f>
        <v>443.85488399999997</v>
      </c>
      <c r="M390" s="367">
        <f>IFERROR(HS!AK17*HS!AJ17,0)</f>
        <v>83.999999999999972</v>
      </c>
    </row>
    <row r="391" spans="2:13" ht="42.75" customHeight="1" x14ac:dyDescent="0.3">
      <c r="B391" s="4" t="s">
        <v>391</v>
      </c>
      <c r="C391" s="4" t="s">
        <v>379</v>
      </c>
      <c r="D391" s="4" t="s">
        <v>380</v>
      </c>
      <c r="E391" s="5" t="s">
        <v>230</v>
      </c>
      <c r="F391" s="6">
        <f>HS!AL18</f>
        <v>695.55166799999995</v>
      </c>
      <c r="G391" s="7" t="s">
        <v>190</v>
      </c>
      <c r="H391" s="6">
        <f>HS!AN18</f>
        <v>775.55166799999995</v>
      </c>
      <c r="I391" s="369">
        <f>HS!AJ18</f>
        <v>1</v>
      </c>
      <c r="J391" s="368"/>
      <c r="K391" s="367">
        <f t="shared" si="7"/>
        <v>695.55166799999995</v>
      </c>
      <c r="L391" s="367">
        <f>$F391-HS!AK18</f>
        <v>611.55166799999995</v>
      </c>
      <c r="M391" s="367">
        <f>IFERROR(HS!AK18*HS!AJ18,0)</f>
        <v>83.999999999999972</v>
      </c>
    </row>
    <row r="392" spans="2:13" ht="42.75" customHeight="1" x14ac:dyDescent="0.3">
      <c r="B392" s="4" t="s">
        <v>392</v>
      </c>
      <c r="C392" s="4" t="s">
        <v>379</v>
      </c>
      <c r="D392" s="4" t="s">
        <v>380</v>
      </c>
      <c r="E392" s="5" t="s">
        <v>234</v>
      </c>
      <c r="F392" s="6">
        <f>HS!AL19</f>
        <v>954.79907700000001</v>
      </c>
      <c r="G392" s="7" t="s">
        <v>190</v>
      </c>
      <c r="H392" s="6">
        <f>HS!AN19</f>
        <v>1034.7990770000001</v>
      </c>
      <c r="I392" s="369">
        <f>HS!AJ19</f>
        <v>1</v>
      </c>
      <c r="J392" s="368"/>
      <c r="K392" s="367">
        <f t="shared" si="7"/>
        <v>954.79907700000001</v>
      </c>
      <c r="L392" s="367">
        <f>$F392-HS!AK19</f>
        <v>870.79907700000001</v>
      </c>
      <c r="M392" s="367">
        <f>IFERROR(HS!AK19*HS!AJ19,0)</f>
        <v>83.999999999999972</v>
      </c>
    </row>
    <row r="393" spans="2:13" ht="42.75" customHeight="1" x14ac:dyDescent="0.3">
      <c r="B393" s="4" t="s">
        <v>393</v>
      </c>
      <c r="C393" s="4" t="s">
        <v>379</v>
      </c>
      <c r="D393" s="4" t="s">
        <v>380</v>
      </c>
      <c r="E393" s="5" t="s">
        <v>238</v>
      </c>
      <c r="F393" s="6">
        <f>HS!AL20</f>
        <v>1090.6001143333333</v>
      </c>
      <c r="G393" s="7" t="s">
        <v>190</v>
      </c>
      <c r="H393" s="6">
        <f>HS!AN20</f>
        <v>1170.6001143333333</v>
      </c>
      <c r="I393" s="369">
        <f>HS!AJ20</f>
        <v>1</v>
      </c>
      <c r="J393" s="368"/>
      <c r="K393" s="367">
        <f t="shared" si="7"/>
        <v>1090.6001143333333</v>
      </c>
      <c r="L393" s="367">
        <f>$F393-HS!AK20</f>
        <v>987.26678099999992</v>
      </c>
      <c r="M393" s="367">
        <f>IFERROR(HS!AK20*HS!AJ20,0)</f>
        <v>103.33333333333333</v>
      </c>
    </row>
    <row r="394" spans="2:13" ht="42.75" customHeight="1" x14ac:dyDescent="0.3">
      <c r="B394" s="4" t="s">
        <v>394</v>
      </c>
      <c r="C394" s="4" t="s">
        <v>379</v>
      </c>
      <c r="D394" s="4" t="s">
        <v>380</v>
      </c>
      <c r="E394" s="5" t="s">
        <v>242</v>
      </c>
      <c r="F394" s="6">
        <f>HS!AL21</f>
        <v>1320.9171133333334</v>
      </c>
      <c r="G394" s="7" t="s">
        <v>190</v>
      </c>
      <c r="H394" s="6">
        <f>HS!AN21</f>
        <v>1400.9171133333334</v>
      </c>
      <c r="I394" s="369">
        <f>HS!AJ21</f>
        <v>1</v>
      </c>
      <c r="J394" s="368"/>
      <c r="K394" s="367">
        <f t="shared" si="7"/>
        <v>1320.9171133333334</v>
      </c>
      <c r="L394" s="367">
        <f>$F394-HS!AK21</f>
        <v>1217.5837800000002</v>
      </c>
      <c r="M394" s="367">
        <f>IFERROR(HS!AK21*HS!AJ21,0)</f>
        <v>103.33333333333333</v>
      </c>
    </row>
    <row r="395" spans="2:13" ht="42.75" customHeight="1" x14ac:dyDescent="0.3">
      <c r="B395" s="4" t="s">
        <v>395</v>
      </c>
      <c r="C395" s="4" t="s">
        <v>379</v>
      </c>
      <c r="D395" s="4" t="s">
        <v>380</v>
      </c>
      <c r="E395" s="5" t="s">
        <v>246</v>
      </c>
      <c r="F395" s="6">
        <f>HS!AL22</f>
        <v>1523.6923333333334</v>
      </c>
      <c r="G395" s="7" t="s">
        <v>190</v>
      </c>
      <c r="H395" s="6">
        <f>HS!AN22</f>
        <v>1603.6923333333334</v>
      </c>
      <c r="I395" s="369">
        <f>HS!AJ22</f>
        <v>1</v>
      </c>
      <c r="J395" s="368"/>
      <c r="K395" s="367">
        <f t="shared" si="7"/>
        <v>1523.6923333333334</v>
      </c>
      <c r="L395" s="367">
        <f>$F395-HS!AK22</f>
        <v>1420.3590000000002</v>
      </c>
      <c r="M395" s="367">
        <f>IFERROR(HS!AK22*HS!AJ22,0)</f>
        <v>103.33333333333333</v>
      </c>
    </row>
    <row r="396" spans="2:13" ht="42.75" customHeight="1" x14ac:dyDescent="0.3">
      <c r="B396" s="4" t="s">
        <v>396</v>
      </c>
      <c r="C396" s="4" t="s">
        <v>379</v>
      </c>
      <c r="D396" s="4" t="s">
        <v>380</v>
      </c>
      <c r="E396" s="5" t="s">
        <v>250</v>
      </c>
      <c r="F396" s="6">
        <f>HS!AL23</f>
        <v>2235.9791113333335</v>
      </c>
      <c r="G396" s="7" t="s">
        <v>190</v>
      </c>
      <c r="H396" s="6">
        <f>HS!AN23</f>
        <v>2315.9791113333335</v>
      </c>
      <c r="I396" s="369">
        <f>HS!AJ23</f>
        <v>1</v>
      </c>
      <c r="J396" s="368"/>
      <c r="K396" s="367">
        <f t="shared" si="7"/>
        <v>2235.9791113333335</v>
      </c>
      <c r="L396" s="367">
        <f>$F396-HS!AK23</f>
        <v>2132.6457780000001</v>
      </c>
      <c r="M396" s="367">
        <f>IFERROR(HS!AK23*HS!AJ23,0)</f>
        <v>103.33333333333333</v>
      </c>
    </row>
    <row r="397" spans="2:13" ht="42.75" customHeight="1" x14ac:dyDescent="0.3">
      <c r="B397" s="4" t="s">
        <v>397</v>
      </c>
      <c r="C397" s="4" t="s">
        <v>379</v>
      </c>
      <c r="D397" s="4" t="s">
        <v>380</v>
      </c>
      <c r="E397" s="5" t="s">
        <v>254</v>
      </c>
      <c r="F397" s="6">
        <f>HS!AL24</f>
        <v>2523.7435363333334</v>
      </c>
      <c r="G397" s="7" t="s">
        <v>190</v>
      </c>
      <c r="H397" s="6">
        <f>HS!AN24</f>
        <v>2603.7435363333334</v>
      </c>
      <c r="I397" s="369">
        <f>HS!AJ24</f>
        <v>1</v>
      </c>
      <c r="J397" s="368"/>
      <c r="K397" s="367">
        <f t="shared" si="7"/>
        <v>2523.7435363333334</v>
      </c>
      <c r="L397" s="367">
        <f>$F397-HS!AK24</f>
        <v>2420.4102029999999</v>
      </c>
      <c r="M397" s="367">
        <f>IFERROR(HS!AK24*HS!AJ24,0)</f>
        <v>103.33333333333333</v>
      </c>
    </row>
    <row r="398" spans="2:13" ht="42.75" customHeight="1" x14ac:dyDescent="0.3">
      <c r="B398" s="4" t="s">
        <v>398</v>
      </c>
      <c r="C398" s="4" t="s">
        <v>379</v>
      </c>
      <c r="D398" s="4" t="s">
        <v>380</v>
      </c>
      <c r="E398" s="5" t="s">
        <v>258</v>
      </c>
      <c r="F398" s="6">
        <f>HS!AL25</f>
        <v>2840.8226413333332</v>
      </c>
      <c r="G398" s="7" t="s">
        <v>190</v>
      </c>
      <c r="H398" s="6">
        <f>HS!AN25</f>
        <v>2920.8226413333332</v>
      </c>
      <c r="I398" s="369">
        <f>HS!AJ25</f>
        <v>1</v>
      </c>
      <c r="J398" s="368"/>
      <c r="K398" s="367">
        <f t="shared" si="7"/>
        <v>2840.8226413333332</v>
      </c>
      <c r="L398" s="367">
        <f>$F398-HS!AK25</f>
        <v>2737.4893079999997</v>
      </c>
      <c r="M398" s="367">
        <f>IFERROR(HS!AK25*HS!AJ25,0)</f>
        <v>103.33333333333333</v>
      </c>
    </row>
    <row r="399" spans="2:13" ht="42.75" customHeight="1" x14ac:dyDescent="0.3">
      <c r="B399" s="4" t="s">
        <v>399</v>
      </c>
      <c r="C399" s="4" t="s">
        <v>379</v>
      </c>
      <c r="D399" s="4" t="s">
        <v>380</v>
      </c>
      <c r="E399" s="5" t="s">
        <v>262</v>
      </c>
      <c r="F399" s="6">
        <f>HS!AL26</f>
        <v>3378.8141563333338</v>
      </c>
      <c r="G399" s="7" t="s">
        <v>190</v>
      </c>
      <c r="H399" s="6">
        <f>HS!AN26</f>
        <v>3458.8141563333338</v>
      </c>
      <c r="I399" s="369">
        <f>HS!AJ26</f>
        <v>1</v>
      </c>
      <c r="J399" s="368"/>
      <c r="K399" s="367">
        <f t="shared" si="7"/>
        <v>3378.8141563333338</v>
      </c>
      <c r="L399" s="367">
        <f>$F399-HS!AK26</f>
        <v>3275.4808230000003</v>
      </c>
      <c r="M399" s="367">
        <f>IFERROR(HS!AK26*HS!AJ26,0)</f>
        <v>103.33333333333333</v>
      </c>
    </row>
    <row r="400" spans="2:13" ht="42.75" customHeight="1" x14ac:dyDescent="0.3">
      <c r="B400" s="4" t="s">
        <v>400</v>
      </c>
      <c r="C400" s="4" t="s">
        <v>379</v>
      </c>
      <c r="D400" s="4" t="s">
        <v>380</v>
      </c>
      <c r="E400" s="5" t="s">
        <v>266</v>
      </c>
      <c r="F400" s="6">
        <f>HS!AL27</f>
        <v>4167.625466333333</v>
      </c>
      <c r="G400" s="7" t="s">
        <v>190</v>
      </c>
      <c r="H400" s="6">
        <f>HS!AN27</f>
        <v>4247.625466333333</v>
      </c>
      <c r="I400" s="369">
        <f>HS!AJ27</f>
        <v>1</v>
      </c>
      <c r="J400" s="368"/>
      <c r="K400" s="367">
        <f t="shared" si="7"/>
        <v>4167.625466333333</v>
      </c>
      <c r="L400" s="367">
        <f>$F400-HS!AK27</f>
        <v>4024.2921329999999</v>
      </c>
      <c r="M400" s="367">
        <f>IFERROR(HS!AK27*HS!AJ27,0)</f>
        <v>143.33333333333326</v>
      </c>
    </row>
    <row r="401" spans="2:13" ht="42.75" customHeight="1" x14ac:dyDescent="0.3">
      <c r="B401" s="4" t="s">
        <v>401</v>
      </c>
      <c r="C401" s="4" t="s">
        <v>379</v>
      </c>
      <c r="D401" s="4" t="s">
        <v>380</v>
      </c>
      <c r="E401" s="5" t="s">
        <v>270</v>
      </c>
      <c r="F401" s="6">
        <f>HS!AL28</f>
        <v>4465.1848913333324</v>
      </c>
      <c r="G401" s="7" t="s">
        <v>190</v>
      </c>
      <c r="H401" s="6">
        <f>HS!AN28</f>
        <v>4545.1848913333324</v>
      </c>
      <c r="I401" s="369">
        <f>HS!AJ28</f>
        <v>1</v>
      </c>
      <c r="J401" s="368"/>
      <c r="K401" s="367">
        <f t="shared" si="7"/>
        <v>4465.1848913333324</v>
      </c>
      <c r="L401" s="367">
        <f>$F401-HS!AK28</f>
        <v>4321.8515579999994</v>
      </c>
      <c r="M401" s="367">
        <f>IFERROR(HS!AK28*HS!AJ28,0)</f>
        <v>143.33333333333326</v>
      </c>
    </row>
    <row r="402" spans="2:13" ht="42.75" customHeight="1" x14ac:dyDescent="0.3">
      <c r="B402" s="4" t="s">
        <v>402</v>
      </c>
      <c r="C402" s="4" t="s">
        <v>379</v>
      </c>
      <c r="D402" s="4" t="s">
        <v>380</v>
      </c>
      <c r="E402" s="5" t="s">
        <v>274</v>
      </c>
      <c r="F402" s="6">
        <f>HS!AL29</f>
        <v>5029.2095123333338</v>
      </c>
      <c r="G402" s="7" t="s">
        <v>190</v>
      </c>
      <c r="H402" s="6">
        <f>HS!AN29</f>
        <v>5109.2095123333338</v>
      </c>
      <c r="I402" s="369">
        <f>HS!AJ29</f>
        <v>1</v>
      </c>
      <c r="J402" s="368"/>
      <c r="K402" s="367">
        <f t="shared" si="7"/>
        <v>5029.2095123333338</v>
      </c>
      <c r="L402" s="367">
        <f>$F402-HS!AK29</f>
        <v>4885.8761790000008</v>
      </c>
      <c r="M402" s="367">
        <f>IFERROR(HS!AK29*HS!AJ29,0)</f>
        <v>143.33333333333326</v>
      </c>
    </row>
    <row r="403" spans="2:13" ht="42.75" customHeight="1" x14ac:dyDescent="0.3">
      <c r="B403" s="4" t="s">
        <v>403</v>
      </c>
      <c r="C403" s="4" t="s">
        <v>379</v>
      </c>
      <c r="D403" s="4" t="s">
        <v>380</v>
      </c>
      <c r="E403" s="5" t="s">
        <v>278</v>
      </c>
      <c r="F403" s="6">
        <f>HS!AL30</f>
        <v>5885.3566913333334</v>
      </c>
      <c r="G403" s="7" t="s">
        <v>190</v>
      </c>
      <c r="H403" s="6">
        <f>HS!AN30</f>
        <v>5965.3566913333334</v>
      </c>
      <c r="I403" s="369">
        <f>HS!AJ30</f>
        <v>1</v>
      </c>
      <c r="J403" s="368"/>
      <c r="K403" s="367">
        <f t="shared" si="7"/>
        <v>5885.3566913333334</v>
      </c>
      <c r="L403" s="367">
        <f>$F403-HS!AK30</f>
        <v>5742.0233580000004</v>
      </c>
      <c r="M403" s="367">
        <f>IFERROR(HS!AK30*HS!AJ30,0)</f>
        <v>143.33333333333326</v>
      </c>
    </row>
    <row r="404" spans="2:13" ht="42.75" customHeight="1" x14ac:dyDescent="0.3">
      <c r="B404" s="4" t="s">
        <v>404</v>
      </c>
      <c r="C404" s="4" t="s">
        <v>379</v>
      </c>
      <c r="D404" s="4" t="s">
        <v>405</v>
      </c>
      <c r="E404" s="5" t="s">
        <v>196</v>
      </c>
      <c r="F404" s="6">
        <f>HS!AL31</f>
        <v>14.973728333333332</v>
      </c>
      <c r="G404" s="7" t="s">
        <v>190</v>
      </c>
      <c r="H404" s="6">
        <f>HS!AN31</f>
        <v>94.973728333333327</v>
      </c>
      <c r="I404" s="369">
        <f>HS!AJ31</f>
        <v>8</v>
      </c>
      <c r="J404" s="368"/>
      <c r="K404" s="367">
        <f t="shared" si="7"/>
        <v>14.973728333333332</v>
      </c>
      <c r="L404" s="367">
        <f>$F404-HS!AK31</f>
        <v>2.8903949999999998</v>
      </c>
      <c r="M404" s="367">
        <f>IFERROR(HS!AK31*HS!AJ31,0)</f>
        <v>96.666666666666657</v>
      </c>
    </row>
    <row r="405" spans="2:13" ht="42.75" customHeight="1" x14ac:dyDescent="0.3">
      <c r="B405" s="4" t="s">
        <v>406</v>
      </c>
      <c r="C405" s="4" t="s">
        <v>379</v>
      </c>
      <c r="D405" s="4" t="s">
        <v>405</v>
      </c>
      <c r="E405" s="5" t="s">
        <v>200</v>
      </c>
      <c r="F405" s="6">
        <f>HS!AL32</f>
        <v>16.759355333333332</v>
      </c>
      <c r="G405" s="7" t="s">
        <v>190</v>
      </c>
      <c r="H405" s="6">
        <f>HS!AN32</f>
        <v>96.759355333333332</v>
      </c>
      <c r="I405" s="369">
        <f>HS!AJ32</f>
        <v>8</v>
      </c>
      <c r="J405" s="368"/>
      <c r="K405" s="367">
        <f t="shared" si="7"/>
        <v>16.759355333333332</v>
      </c>
      <c r="L405" s="367">
        <f>$F405-HS!AK32</f>
        <v>4.6760219999999997</v>
      </c>
      <c r="M405" s="367">
        <f>IFERROR(HS!AK32*HS!AJ32,0)</f>
        <v>96.666666666666657</v>
      </c>
    </row>
    <row r="406" spans="2:13" ht="42.75" customHeight="1" x14ac:dyDescent="0.3">
      <c r="B406" s="4" t="s">
        <v>407</v>
      </c>
      <c r="C406" s="4" t="s">
        <v>379</v>
      </c>
      <c r="D406" s="4" t="s">
        <v>405</v>
      </c>
      <c r="E406" s="5" t="s">
        <v>185</v>
      </c>
      <c r="F406" s="6">
        <f>HS!AL33</f>
        <v>45.565230333333332</v>
      </c>
      <c r="G406" s="7" t="s">
        <v>190</v>
      </c>
      <c r="H406" s="6">
        <f>HS!AN33</f>
        <v>125.56523033333333</v>
      </c>
      <c r="I406" s="369">
        <f>HS!AJ33</f>
        <v>5</v>
      </c>
      <c r="J406" s="368"/>
      <c r="K406" s="367">
        <f t="shared" si="7"/>
        <v>45.565230333333332</v>
      </c>
      <c r="L406" s="367">
        <f>$F406-HS!AK33</f>
        <v>26.231897</v>
      </c>
      <c r="M406" s="367">
        <f>IFERROR(HS!AK33*HS!AJ33,0)</f>
        <v>96.666666666666657</v>
      </c>
    </row>
    <row r="407" spans="2:13" ht="42.75" customHeight="1" x14ac:dyDescent="0.3">
      <c r="B407" s="4" t="s">
        <v>408</v>
      </c>
      <c r="C407" s="4" t="s">
        <v>379</v>
      </c>
      <c r="D407" s="4" t="s">
        <v>405</v>
      </c>
      <c r="E407" s="5" t="s">
        <v>39</v>
      </c>
      <c r="F407" s="6">
        <f>HS!AL34</f>
        <v>45.059476333333329</v>
      </c>
      <c r="G407" s="7" t="s">
        <v>190</v>
      </c>
      <c r="H407" s="6">
        <f>HS!AN34</f>
        <v>125.05947633333332</v>
      </c>
      <c r="I407" s="369">
        <f>HS!AJ34</f>
        <v>5</v>
      </c>
      <c r="J407" s="368"/>
      <c r="K407" s="367">
        <f t="shared" si="7"/>
        <v>45.059476333333329</v>
      </c>
      <c r="L407" s="367">
        <f>$F407-HS!AK34</f>
        <v>25.726142999999997</v>
      </c>
      <c r="M407" s="367">
        <f>IFERROR(HS!AK34*HS!AJ34,0)</f>
        <v>96.666666666666657</v>
      </c>
    </row>
    <row r="408" spans="2:13" ht="42.75" customHeight="1" x14ac:dyDescent="0.3">
      <c r="B408" s="4" t="s">
        <v>409</v>
      </c>
      <c r="C408" s="4" t="s">
        <v>379</v>
      </c>
      <c r="D408" s="4" t="s">
        <v>405</v>
      </c>
      <c r="E408" s="5" t="s">
        <v>300</v>
      </c>
      <c r="F408" s="6">
        <f>HS!AL35</f>
        <v>52.111672666666664</v>
      </c>
      <c r="G408" s="7" t="s">
        <v>190</v>
      </c>
      <c r="H408" s="6">
        <f>HS!AN35</f>
        <v>132.11167266666666</v>
      </c>
      <c r="I408" s="369">
        <f>HS!AJ35</f>
        <v>5</v>
      </c>
      <c r="J408" s="368"/>
      <c r="K408" s="367">
        <f t="shared" si="7"/>
        <v>52.111672666666664</v>
      </c>
      <c r="L408" s="367">
        <f>$F408-HS!AK35</f>
        <v>36.645005999999995</v>
      </c>
      <c r="M408" s="367">
        <f>IFERROR(HS!AK35*HS!AJ35,0)</f>
        <v>77.333333333333329</v>
      </c>
    </row>
    <row r="409" spans="2:13" ht="42.75" customHeight="1" x14ac:dyDescent="0.3">
      <c r="B409" s="4" t="s">
        <v>410</v>
      </c>
      <c r="C409" s="4" t="s">
        <v>379</v>
      </c>
      <c r="D409" s="4" t="s">
        <v>405</v>
      </c>
      <c r="E409" s="5" t="s">
        <v>41</v>
      </c>
      <c r="F409" s="6">
        <f>HS!AL36</f>
        <v>88.973612666666668</v>
      </c>
      <c r="G409" s="7" t="s">
        <v>190</v>
      </c>
      <c r="H409" s="6">
        <f>HS!AN36</f>
        <v>168.97361266666667</v>
      </c>
      <c r="I409" s="369">
        <f>HS!AJ36</f>
        <v>2</v>
      </c>
      <c r="J409" s="368"/>
      <c r="K409" s="367">
        <f t="shared" si="7"/>
        <v>88.973612666666668</v>
      </c>
      <c r="L409" s="367">
        <f>$F409-HS!AK36</f>
        <v>50.306946000000003</v>
      </c>
      <c r="M409" s="367">
        <f>IFERROR(HS!AK36*HS!AJ36,0)</f>
        <v>77.333333333333329</v>
      </c>
    </row>
    <row r="410" spans="2:13" ht="42.75" customHeight="1" x14ac:dyDescent="0.3">
      <c r="B410" s="4" t="s">
        <v>411</v>
      </c>
      <c r="C410" s="4" t="s">
        <v>379</v>
      </c>
      <c r="D410" s="4" t="s">
        <v>405</v>
      </c>
      <c r="E410" s="5" t="s">
        <v>43</v>
      </c>
      <c r="F410" s="6">
        <f>HS!AL37</f>
        <v>142.72545300000002</v>
      </c>
      <c r="G410" s="7" t="s">
        <v>190</v>
      </c>
      <c r="H410" s="6">
        <f>HS!AN37</f>
        <v>222.72545300000002</v>
      </c>
      <c r="I410" s="369">
        <f>HS!AJ37</f>
        <v>2</v>
      </c>
      <c r="J410" s="368"/>
      <c r="K410" s="367">
        <f t="shared" si="7"/>
        <v>142.72545300000002</v>
      </c>
      <c r="L410" s="367">
        <f>$F410-HS!AK37</f>
        <v>100.72545300000003</v>
      </c>
      <c r="M410" s="367">
        <f>IFERROR(HS!AK37*HS!AJ37,0)</f>
        <v>83.999999999999972</v>
      </c>
    </row>
    <row r="411" spans="2:13" ht="42.75" customHeight="1" x14ac:dyDescent="0.3">
      <c r="B411" s="4" t="s">
        <v>412</v>
      </c>
      <c r="C411" s="4" t="s">
        <v>379</v>
      </c>
      <c r="D411" s="4" t="s">
        <v>405</v>
      </c>
      <c r="E411" s="5" t="s">
        <v>45</v>
      </c>
      <c r="F411" s="6">
        <f>HS!AL38</f>
        <v>205.78503599999999</v>
      </c>
      <c r="G411" s="7" t="s">
        <v>190</v>
      </c>
      <c r="H411" s="6">
        <f>HS!AN38</f>
        <v>285.78503599999999</v>
      </c>
      <c r="I411" s="369">
        <f>HS!AJ38</f>
        <v>2</v>
      </c>
      <c r="J411" s="368"/>
      <c r="K411" s="367">
        <f t="shared" si="7"/>
        <v>205.78503599999999</v>
      </c>
      <c r="L411" s="367">
        <f>$F411-HS!AK38</f>
        <v>163.78503599999999</v>
      </c>
      <c r="M411" s="367">
        <f>IFERROR(HS!AK38*HS!AJ38,0)</f>
        <v>83.999999999999972</v>
      </c>
    </row>
    <row r="412" spans="2:13" ht="42.75" customHeight="1" x14ac:dyDescent="0.3">
      <c r="B412" s="4" t="s">
        <v>413</v>
      </c>
      <c r="C412" s="4" t="s">
        <v>379</v>
      </c>
      <c r="D412" s="4" t="s">
        <v>405</v>
      </c>
      <c r="E412" s="5" t="s">
        <v>47</v>
      </c>
      <c r="F412" s="6">
        <f>HS!AL39</f>
        <v>280.59083399999997</v>
      </c>
      <c r="G412" s="7" t="s">
        <v>190</v>
      </c>
      <c r="H412" s="6">
        <f>HS!AN39</f>
        <v>360.59083399999997</v>
      </c>
      <c r="I412" s="369">
        <f>HS!AJ39</f>
        <v>2</v>
      </c>
      <c r="J412" s="368"/>
      <c r="K412" s="367">
        <f t="shared" si="7"/>
        <v>280.59083399999997</v>
      </c>
      <c r="L412" s="367">
        <f>$F412-HS!AK39</f>
        <v>238.59083399999997</v>
      </c>
      <c r="M412" s="367">
        <f>IFERROR(HS!AK39*HS!AJ39,0)</f>
        <v>83.999999999999972</v>
      </c>
    </row>
    <row r="413" spans="2:13" ht="42.75" customHeight="1" x14ac:dyDescent="0.3">
      <c r="B413" s="4" t="s">
        <v>414</v>
      </c>
      <c r="C413" s="4" t="s">
        <v>379</v>
      </c>
      <c r="D413" s="4" t="s">
        <v>405</v>
      </c>
      <c r="E413" s="5" t="s">
        <v>222</v>
      </c>
      <c r="F413" s="6">
        <f>HS!AL40</f>
        <v>400.94381699999997</v>
      </c>
      <c r="G413" s="7" t="s">
        <v>190</v>
      </c>
      <c r="H413" s="6">
        <f>HS!AN40</f>
        <v>480.94381699999997</v>
      </c>
      <c r="I413" s="369">
        <f>HS!AJ40</f>
        <v>1</v>
      </c>
      <c r="J413" s="368"/>
      <c r="K413" s="367">
        <f t="shared" si="7"/>
        <v>400.94381699999997</v>
      </c>
      <c r="L413" s="367">
        <f>$F413-HS!AK40</f>
        <v>316.94381699999997</v>
      </c>
      <c r="M413" s="367">
        <f>IFERROR(HS!AK40*HS!AJ40,0)</f>
        <v>83.999999999999972</v>
      </c>
    </row>
    <row r="414" spans="2:13" ht="42.75" customHeight="1" x14ac:dyDescent="0.3">
      <c r="B414" s="4" t="s">
        <v>415</v>
      </c>
      <c r="C414" s="4" t="s">
        <v>379</v>
      </c>
      <c r="D414" s="4" t="s">
        <v>405</v>
      </c>
      <c r="E414" s="5" t="s">
        <v>226</v>
      </c>
      <c r="F414" s="6">
        <f>HS!AL41</f>
        <v>626.03996400000017</v>
      </c>
      <c r="G414" s="7" t="s">
        <v>190</v>
      </c>
      <c r="H414" s="6">
        <f>HS!AN41</f>
        <v>706.03996400000017</v>
      </c>
      <c r="I414" s="369">
        <f>HS!AJ41</f>
        <v>1</v>
      </c>
      <c r="J414" s="368"/>
      <c r="K414" s="367">
        <f t="shared" si="7"/>
        <v>626.03996400000017</v>
      </c>
      <c r="L414" s="367">
        <f>$F414-HS!AK41</f>
        <v>542.03996400000017</v>
      </c>
      <c r="M414" s="367">
        <f>IFERROR(HS!AK41*HS!AJ41,0)</f>
        <v>83.999999999999972</v>
      </c>
    </row>
    <row r="415" spans="2:13" ht="42.75" customHeight="1" x14ac:dyDescent="0.3">
      <c r="B415" s="4" t="s">
        <v>416</v>
      </c>
      <c r="C415" s="4" t="s">
        <v>379</v>
      </c>
      <c r="D415" s="4" t="s">
        <v>405</v>
      </c>
      <c r="E415" s="5" t="s">
        <v>230</v>
      </c>
      <c r="F415" s="6">
        <f>HS!AL42</f>
        <v>805.2556679999999</v>
      </c>
      <c r="G415" s="7" t="s">
        <v>190</v>
      </c>
      <c r="H415" s="6">
        <f>HS!AN42</f>
        <v>885.2556679999999</v>
      </c>
      <c r="I415" s="369">
        <f>HS!AJ42</f>
        <v>1</v>
      </c>
      <c r="J415" s="368"/>
      <c r="K415" s="367">
        <f t="shared" si="7"/>
        <v>805.2556679999999</v>
      </c>
      <c r="L415" s="367">
        <f>$F415-HS!AK42</f>
        <v>721.2556679999999</v>
      </c>
      <c r="M415" s="367">
        <f>IFERROR(HS!AK42*HS!AJ42,0)</f>
        <v>83.999999999999972</v>
      </c>
    </row>
    <row r="416" spans="2:13" ht="42.75" customHeight="1" x14ac:dyDescent="0.3">
      <c r="B416" s="4" t="s">
        <v>417</v>
      </c>
      <c r="C416" s="4" t="s">
        <v>379</v>
      </c>
      <c r="D416" s="4" t="s">
        <v>405</v>
      </c>
      <c r="E416" s="5" t="s">
        <v>234</v>
      </c>
      <c r="F416" s="6">
        <f>HS!AL43</f>
        <v>1101.7240769999999</v>
      </c>
      <c r="G416" s="7" t="s">
        <v>190</v>
      </c>
      <c r="H416" s="6">
        <f>HS!AN43</f>
        <v>1181.7240769999999</v>
      </c>
      <c r="I416" s="369">
        <f>HS!AJ43</f>
        <v>1</v>
      </c>
      <c r="J416" s="368"/>
      <c r="K416" s="367">
        <f t="shared" si="7"/>
        <v>1101.7240769999999</v>
      </c>
      <c r="L416" s="367">
        <f>$F416-HS!AK43</f>
        <v>1017.7240769999999</v>
      </c>
      <c r="M416" s="367">
        <f>IFERROR(HS!AK43*HS!AJ43,0)</f>
        <v>83.999999999999972</v>
      </c>
    </row>
    <row r="417" spans="2:13" ht="42.75" customHeight="1" x14ac:dyDescent="0.3">
      <c r="B417" s="4" t="s">
        <v>418</v>
      </c>
      <c r="C417" s="4" t="s">
        <v>379</v>
      </c>
      <c r="D417" s="4" t="s">
        <v>405</v>
      </c>
      <c r="E417" s="5" t="s">
        <v>238</v>
      </c>
      <c r="F417" s="6">
        <f>HS!AL44</f>
        <v>1300.2131143333336</v>
      </c>
      <c r="G417" s="7" t="s">
        <v>190</v>
      </c>
      <c r="H417" s="6">
        <f>HS!AN44</f>
        <v>1380.2131143333336</v>
      </c>
      <c r="I417" s="369">
        <f>HS!AJ44</f>
        <v>1</v>
      </c>
      <c r="J417" s="368"/>
      <c r="K417" s="367">
        <f t="shared" si="7"/>
        <v>1300.2131143333336</v>
      </c>
      <c r="L417" s="367">
        <f>$F417-HS!AK44</f>
        <v>1196.8797810000003</v>
      </c>
      <c r="M417" s="367">
        <f>IFERROR(HS!AK44*HS!AJ44,0)</f>
        <v>103.33333333333333</v>
      </c>
    </row>
    <row r="418" spans="2:13" ht="42.75" customHeight="1" x14ac:dyDescent="0.3">
      <c r="B418" s="4" t="s">
        <v>419</v>
      </c>
      <c r="C418" s="4" t="s">
        <v>379</v>
      </c>
      <c r="D418" s="4" t="s">
        <v>405</v>
      </c>
      <c r="E418" s="5" t="s">
        <v>242</v>
      </c>
      <c r="F418" s="6">
        <f>HS!AL45</f>
        <v>1655.9061133333335</v>
      </c>
      <c r="G418" s="7" t="s">
        <v>190</v>
      </c>
      <c r="H418" s="6">
        <f>HS!AN45</f>
        <v>1735.9061133333335</v>
      </c>
      <c r="I418" s="369">
        <f>HS!AJ45</f>
        <v>1</v>
      </c>
      <c r="J418" s="368"/>
      <c r="K418" s="367">
        <f t="shared" si="7"/>
        <v>1655.9061133333335</v>
      </c>
      <c r="L418" s="367">
        <f>$F418-HS!AK45</f>
        <v>1552.5727800000002</v>
      </c>
      <c r="M418" s="367">
        <f>IFERROR(HS!AK45*HS!AJ45,0)</f>
        <v>103.33333333333333</v>
      </c>
    </row>
    <row r="419" spans="2:13" ht="42.75" customHeight="1" x14ac:dyDescent="0.3">
      <c r="B419" s="4" t="s">
        <v>420</v>
      </c>
      <c r="C419" s="4" t="s">
        <v>379</v>
      </c>
      <c r="D419" s="4" t="s">
        <v>405</v>
      </c>
      <c r="E419" s="5" t="s">
        <v>246</v>
      </c>
      <c r="F419" s="6">
        <f>HS!AL46</f>
        <v>2071.2328333333335</v>
      </c>
      <c r="G419" s="7" t="s">
        <v>190</v>
      </c>
      <c r="H419" s="6">
        <f>HS!AN46</f>
        <v>2151.2328333333335</v>
      </c>
      <c r="I419" s="369">
        <f>HS!AJ46</f>
        <v>1</v>
      </c>
      <c r="J419" s="368"/>
      <c r="K419" s="367">
        <f t="shared" si="7"/>
        <v>2071.2328333333335</v>
      </c>
      <c r="L419" s="367">
        <f>$F419-HS!AK46</f>
        <v>1967.8995000000002</v>
      </c>
      <c r="M419" s="367">
        <f>IFERROR(HS!AK46*HS!AJ46,0)</f>
        <v>103.33333333333333</v>
      </c>
    </row>
    <row r="420" spans="2:13" ht="42.75" customHeight="1" x14ac:dyDescent="0.3">
      <c r="B420" s="4" t="s">
        <v>421</v>
      </c>
      <c r="C420" s="4" t="s">
        <v>379</v>
      </c>
      <c r="D420" s="4" t="s">
        <v>405</v>
      </c>
      <c r="E420" s="5" t="s">
        <v>250</v>
      </c>
      <c r="F420" s="6">
        <f>HS!AL47</f>
        <v>2661.0821113333336</v>
      </c>
      <c r="G420" s="7" t="s">
        <v>190</v>
      </c>
      <c r="H420" s="6">
        <f>HS!AN47</f>
        <v>2741.0821113333336</v>
      </c>
      <c r="I420" s="369">
        <f>HS!AJ47</f>
        <v>1</v>
      </c>
      <c r="J420" s="368"/>
      <c r="K420" s="367">
        <f t="shared" si="7"/>
        <v>2661.0821113333336</v>
      </c>
      <c r="L420" s="367">
        <f>$F420-HS!AK47</f>
        <v>2557.7487780000001</v>
      </c>
      <c r="M420" s="367">
        <f>IFERROR(HS!AK47*HS!AJ47,0)</f>
        <v>103.33333333333333</v>
      </c>
    </row>
    <row r="421" spans="2:13" ht="42.75" customHeight="1" x14ac:dyDescent="0.3">
      <c r="B421" s="4" t="s">
        <v>422</v>
      </c>
      <c r="C421" s="4" t="s">
        <v>379</v>
      </c>
      <c r="D421" s="4" t="s">
        <v>405</v>
      </c>
      <c r="E421" s="5" t="s">
        <v>254</v>
      </c>
      <c r="F421" s="6">
        <f>HS!AL48</f>
        <v>2782.3315363333331</v>
      </c>
      <c r="G421" s="7" t="s">
        <v>190</v>
      </c>
      <c r="H421" s="6">
        <f>HS!AN48</f>
        <v>2862.3315363333331</v>
      </c>
      <c r="I421" s="369">
        <f>HS!AJ48</f>
        <v>1</v>
      </c>
      <c r="J421" s="368"/>
      <c r="K421" s="367">
        <f t="shared" si="7"/>
        <v>2782.3315363333331</v>
      </c>
      <c r="L421" s="367">
        <f>$F421-HS!AK48</f>
        <v>2678.9982029999996</v>
      </c>
      <c r="M421" s="367">
        <f>IFERROR(HS!AK48*HS!AJ48,0)</f>
        <v>103.33333333333333</v>
      </c>
    </row>
    <row r="422" spans="2:13" ht="42.75" customHeight="1" x14ac:dyDescent="0.3">
      <c r="B422" s="4" t="s">
        <v>423</v>
      </c>
      <c r="C422" s="4" t="s">
        <v>379</v>
      </c>
      <c r="D422" s="4" t="s">
        <v>405</v>
      </c>
      <c r="E422" s="5" t="s">
        <v>258</v>
      </c>
      <c r="F422" s="6">
        <f>HS!AL49</f>
        <v>3511.7801413333327</v>
      </c>
      <c r="G422" s="7" t="s">
        <v>190</v>
      </c>
      <c r="H422" s="6">
        <f>HS!AN49</f>
        <v>3591.7801413333327</v>
      </c>
      <c r="I422" s="369">
        <f>HS!AJ49</f>
        <v>1</v>
      </c>
      <c r="J422" s="368"/>
      <c r="K422" s="367">
        <f t="shared" si="7"/>
        <v>3511.7801413333327</v>
      </c>
      <c r="L422" s="367">
        <f>$F422-HS!AK49</f>
        <v>3408.4468079999992</v>
      </c>
      <c r="M422" s="367">
        <f>IFERROR(HS!AK49*HS!AJ49,0)</f>
        <v>103.33333333333333</v>
      </c>
    </row>
    <row r="423" spans="2:13" ht="42.75" customHeight="1" x14ac:dyDescent="0.3">
      <c r="B423" s="4" t="s">
        <v>424</v>
      </c>
      <c r="C423" s="4" t="s">
        <v>379</v>
      </c>
      <c r="D423" s="4" t="s">
        <v>405</v>
      </c>
      <c r="E423" s="5" t="s">
        <v>262</v>
      </c>
      <c r="F423" s="6">
        <f>HS!AL50</f>
        <v>4260.3641563333322</v>
      </c>
      <c r="G423" s="7" t="s">
        <v>190</v>
      </c>
      <c r="H423" s="6">
        <f>HS!AN50</f>
        <v>4340.3641563333322</v>
      </c>
      <c r="I423" s="369">
        <f>HS!AJ50</f>
        <v>1</v>
      </c>
      <c r="J423" s="368"/>
      <c r="K423" s="367">
        <f t="shared" ref="K423:K486" si="8">IF(OR($J423="",$J423&lt;=0),$F423,$L423+$M423/$J423)</f>
        <v>4260.3641563333322</v>
      </c>
      <c r="L423" s="367">
        <f>$F423-HS!AK50</f>
        <v>4157.0308229999991</v>
      </c>
      <c r="M423" s="367">
        <f>IFERROR(HS!AK50*HS!AJ50,0)</f>
        <v>103.33333333333333</v>
      </c>
    </row>
    <row r="424" spans="2:13" ht="42.75" customHeight="1" x14ac:dyDescent="0.3">
      <c r="B424" s="4" t="s">
        <v>425</v>
      </c>
      <c r="C424" s="4" t="s">
        <v>379</v>
      </c>
      <c r="D424" s="4" t="s">
        <v>405</v>
      </c>
      <c r="E424" s="5" t="s">
        <v>266</v>
      </c>
      <c r="F424" s="6">
        <f>HS!AL51</f>
        <v>5186.3054663333332</v>
      </c>
      <c r="G424" s="7" t="s">
        <v>190</v>
      </c>
      <c r="H424" s="6">
        <f>HS!AN51</f>
        <v>5266.3054663333332</v>
      </c>
      <c r="I424" s="369">
        <f>HS!AJ51</f>
        <v>1</v>
      </c>
      <c r="J424" s="368"/>
      <c r="K424" s="367">
        <f t="shared" si="8"/>
        <v>5186.3054663333332</v>
      </c>
      <c r="L424" s="367">
        <f>$F424-HS!AK51</f>
        <v>5042.9721330000002</v>
      </c>
      <c r="M424" s="367">
        <f>IFERROR(HS!AK51*HS!AJ51,0)</f>
        <v>143.33333333333326</v>
      </c>
    </row>
    <row r="425" spans="2:13" ht="42.75" customHeight="1" x14ac:dyDescent="0.3">
      <c r="B425" s="4" t="s">
        <v>426</v>
      </c>
      <c r="C425" s="4" t="s">
        <v>379</v>
      </c>
      <c r="D425" s="4" t="s">
        <v>405</v>
      </c>
      <c r="E425" s="5" t="s">
        <v>270</v>
      </c>
      <c r="F425" s="6">
        <f>HS!AL52</f>
        <v>5483.8648913333318</v>
      </c>
      <c r="G425" s="7" t="s">
        <v>190</v>
      </c>
      <c r="H425" s="6">
        <f>HS!AN52</f>
        <v>5563.8648913333318</v>
      </c>
      <c r="I425" s="369">
        <f>HS!AJ52</f>
        <v>1</v>
      </c>
      <c r="J425" s="368"/>
      <c r="K425" s="367">
        <f t="shared" si="8"/>
        <v>5483.8648913333318</v>
      </c>
      <c r="L425" s="367">
        <f>$F425-HS!AK52</f>
        <v>5340.5315579999988</v>
      </c>
      <c r="M425" s="367">
        <f>IFERROR(HS!AK52*HS!AJ52,0)</f>
        <v>143.33333333333326</v>
      </c>
    </row>
    <row r="426" spans="2:13" ht="42.75" customHeight="1" x14ac:dyDescent="0.3">
      <c r="B426" s="4" t="s">
        <v>427</v>
      </c>
      <c r="C426" s="4" t="s">
        <v>379</v>
      </c>
      <c r="D426" s="4" t="s">
        <v>405</v>
      </c>
      <c r="E426" s="5" t="s">
        <v>274</v>
      </c>
      <c r="F426" s="6">
        <f>HS!AL53</f>
        <v>6077.2745123333334</v>
      </c>
      <c r="G426" s="7" t="s">
        <v>190</v>
      </c>
      <c r="H426" s="6">
        <f>HS!AN53</f>
        <v>6157.2745123333334</v>
      </c>
      <c r="I426" s="369">
        <f>HS!AJ53</f>
        <v>1</v>
      </c>
      <c r="J426" s="368"/>
      <c r="K426" s="367">
        <f t="shared" si="8"/>
        <v>6077.2745123333334</v>
      </c>
      <c r="L426" s="367">
        <f>$F426-HS!AK53</f>
        <v>5933.9411790000004</v>
      </c>
      <c r="M426" s="367">
        <f>IFERROR(HS!AK53*HS!AJ53,0)</f>
        <v>143.33333333333326</v>
      </c>
    </row>
    <row r="427" spans="2:13" ht="42.75" customHeight="1" x14ac:dyDescent="0.3">
      <c r="B427" s="4" t="s">
        <v>428</v>
      </c>
      <c r="C427" s="4" t="s">
        <v>379</v>
      </c>
      <c r="D427" s="4" t="s">
        <v>405</v>
      </c>
      <c r="E427" s="5" t="s">
        <v>278</v>
      </c>
      <c r="F427" s="6">
        <f>HS!AL54</f>
        <v>7109.7316913333325</v>
      </c>
      <c r="G427" s="7" t="s">
        <v>190</v>
      </c>
      <c r="H427" s="6">
        <f>HS!AN54</f>
        <v>7189.7316913333325</v>
      </c>
      <c r="I427" s="369">
        <f>HS!AJ54</f>
        <v>1</v>
      </c>
      <c r="J427" s="368"/>
      <c r="K427" s="367">
        <f t="shared" si="8"/>
        <v>7109.7316913333325</v>
      </c>
      <c r="L427" s="367">
        <f>$F427-HS!AK54</f>
        <v>6966.3983579999995</v>
      </c>
      <c r="M427" s="367">
        <f>IFERROR(HS!AK54*HS!AJ54,0)</f>
        <v>143.33333333333326</v>
      </c>
    </row>
    <row r="428" spans="2:13" ht="42.75" customHeight="1" x14ac:dyDescent="0.3">
      <c r="B428" s="4" t="s">
        <v>429</v>
      </c>
      <c r="C428" s="4" t="s">
        <v>430</v>
      </c>
      <c r="D428" s="4" t="s">
        <v>431</v>
      </c>
      <c r="E428" s="5" t="s">
        <v>196</v>
      </c>
      <c r="F428" s="6">
        <f>HL!AV7</f>
        <v>11.242716033333332</v>
      </c>
      <c r="G428" s="7" t="s">
        <v>190</v>
      </c>
      <c r="H428" s="6">
        <f>HL!AX7</f>
        <v>91.242716033333338</v>
      </c>
      <c r="I428" s="369">
        <f>HL!AT7</f>
        <v>5</v>
      </c>
      <c r="J428" s="368"/>
      <c r="K428" s="367">
        <f t="shared" si="8"/>
        <v>11.242716033333332</v>
      </c>
      <c r="L428" s="367">
        <f>$F428-HL!AU7</f>
        <v>6.9093827000000001</v>
      </c>
      <c r="M428" s="367">
        <f>IFERROR(HL!AU7*HL!AT7,0)</f>
        <v>21.666666666666661</v>
      </c>
    </row>
    <row r="429" spans="2:13" ht="42.75" customHeight="1" x14ac:dyDescent="0.3">
      <c r="B429" s="4" t="s">
        <v>432</v>
      </c>
      <c r="C429" s="4" t="s">
        <v>430</v>
      </c>
      <c r="D429" s="4" t="s">
        <v>431</v>
      </c>
      <c r="E429" s="5" t="s">
        <v>200</v>
      </c>
      <c r="F429" s="6">
        <f>HL!AV8</f>
        <v>14.612887333333331</v>
      </c>
      <c r="G429" s="7" t="s">
        <v>190</v>
      </c>
      <c r="H429" s="6">
        <f>HL!AX8</f>
        <v>94.612887333333333</v>
      </c>
      <c r="I429" s="369">
        <f>HL!AT8</f>
        <v>5</v>
      </c>
      <c r="J429" s="368"/>
      <c r="K429" s="367">
        <f t="shared" si="8"/>
        <v>14.612887333333331</v>
      </c>
      <c r="L429" s="367">
        <f>$F429-HL!AU8</f>
        <v>10.279553999999999</v>
      </c>
      <c r="M429" s="367">
        <f>IFERROR(HL!AU8*HL!AT8,0)</f>
        <v>21.666666666666661</v>
      </c>
    </row>
    <row r="430" spans="2:13" ht="42.75" customHeight="1" x14ac:dyDescent="0.3">
      <c r="B430" s="4" t="s">
        <v>433</v>
      </c>
      <c r="C430" s="4" t="s">
        <v>430</v>
      </c>
      <c r="D430" s="4" t="s">
        <v>431</v>
      </c>
      <c r="E430" s="5" t="s">
        <v>185</v>
      </c>
      <c r="F430" s="6">
        <f>HL!AV9</f>
        <v>28.037824077777778</v>
      </c>
      <c r="G430" s="7" t="s">
        <v>190</v>
      </c>
      <c r="H430" s="6">
        <f>HL!AX9</f>
        <v>108.03782407777777</v>
      </c>
      <c r="I430" s="369">
        <f>HL!AT9</f>
        <v>3</v>
      </c>
      <c r="J430" s="368"/>
      <c r="K430" s="367">
        <f t="shared" si="8"/>
        <v>28.037824077777778</v>
      </c>
      <c r="L430" s="367">
        <f>$F430-HL!AU9</f>
        <v>17.760046299999999</v>
      </c>
      <c r="M430" s="367">
        <f>IFERROR(HL!AU9*HL!AT9,0)</f>
        <v>30.833333333333336</v>
      </c>
    </row>
    <row r="431" spans="2:13" ht="42.75" customHeight="1" x14ac:dyDescent="0.3">
      <c r="B431" s="4" t="s">
        <v>3</v>
      </c>
      <c r="C431" s="4" t="s">
        <v>430</v>
      </c>
      <c r="D431" s="4" t="s">
        <v>431</v>
      </c>
      <c r="E431" s="5" t="s">
        <v>39</v>
      </c>
      <c r="F431" s="6">
        <f>HL!AV10</f>
        <v>53.182050277777776</v>
      </c>
      <c r="G431" s="7" t="s">
        <v>190</v>
      </c>
      <c r="H431" s="6">
        <f>HL!AX10</f>
        <v>133.18205027777776</v>
      </c>
      <c r="I431" s="369">
        <f>HL!AT10</f>
        <v>3</v>
      </c>
      <c r="J431" s="368"/>
      <c r="K431" s="367">
        <f t="shared" si="8"/>
        <v>53.182050277777776</v>
      </c>
      <c r="L431" s="367">
        <f>$F431-HL!AU10</f>
        <v>42.904272499999998</v>
      </c>
      <c r="M431" s="367">
        <f>IFERROR(HL!AU10*HL!AT10,0)</f>
        <v>30.833333333333336</v>
      </c>
    </row>
    <row r="432" spans="2:13" ht="42.75" customHeight="1" x14ac:dyDescent="0.3">
      <c r="B432" s="4" t="s">
        <v>434</v>
      </c>
      <c r="C432" s="4" t="s">
        <v>430</v>
      </c>
      <c r="D432" s="4" t="s">
        <v>431</v>
      </c>
      <c r="E432" s="5" t="s">
        <v>300</v>
      </c>
      <c r="F432" s="6">
        <f>HL!AV11</f>
        <v>75.226973522222224</v>
      </c>
      <c r="G432" s="7" t="s">
        <v>190</v>
      </c>
      <c r="H432" s="6">
        <f>HL!AX11</f>
        <v>155.22697352222224</v>
      </c>
      <c r="I432" s="369">
        <f>HL!AT11</f>
        <v>3</v>
      </c>
      <c r="J432" s="368"/>
      <c r="K432" s="367">
        <f t="shared" si="8"/>
        <v>75.226973522222224</v>
      </c>
      <c r="L432" s="367">
        <f>$F432-HL!AU11</f>
        <v>59.004751300000002</v>
      </c>
      <c r="M432" s="367">
        <f>IFERROR(HL!AU11*HL!AT11,0)</f>
        <v>48.666666666666664</v>
      </c>
    </row>
    <row r="433" spans="2:13" ht="42.75" customHeight="1" x14ac:dyDescent="0.3">
      <c r="B433" s="4" t="s">
        <v>435</v>
      </c>
      <c r="C433" s="4" t="s">
        <v>430</v>
      </c>
      <c r="D433" s="4" t="s">
        <v>431</v>
      </c>
      <c r="E433" s="5" t="s">
        <v>41</v>
      </c>
      <c r="F433" s="6">
        <f>HL!AV12</f>
        <v>100.67413713333333</v>
      </c>
      <c r="G433" s="7" t="s">
        <v>190</v>
      </c>
      <c r="H433" s="6">
        <f>HL!AX12</f>
        <v>180.67413713333332</v>
      </c>
      <c r="I433" s="369">
        <f>HL!AT12</f>
        <v>2</v>
      </c>
      <c r="J433" s="368"/>
      <c r="K433" s="367">
        <f t="shared" si="8"/>
        <v>100.67413713333333</v>
      </c>
      <c r="L433" s="367">
        <f>$F433-HL!AU12</f>
        <v>76.340803800000003</v>
      </c>
      <c r="M433" s="367">
        <f>IFERROR(HL!AU12*HL!AT12,0)</f>
        <v>48.666666666666664</v>
      </c>
    </row>
    <row r="434" spans="2:13" ht="42.75" customHeight="1" x14ac:dyDescent="0.3">
      <c r="B434" s="4" t="s">
        <v>436</v>
      </c>
      <c r="C434" s="4" t="s">
        <v>430</v>
      </c>
      <c r="D434" s="4" t="s">
        <v>431</v>
      </c>
      <c r="E434" s="5" t="s">
        <v>43</v>
      </c>
      <c r="F434" s="6">
        <f>HL!AV13</f>
        <v>154.73969683333331</v>
      </c>
      <c r="G434" s="7" t="s">
        <v>190</v>
      </c>
      <c r="H434" s="6">
        <f>HL!AX13</f>
        <v>234.73969683333331</v>
      </c>
      <c r="I434" s="369">
        <f>HL!AT13</f>
        <v>2</v>
      </c>
      <c r="J434" s="368"/>
      <c r="K434" s="367">
        <f t="shared" si="8"/>
        <v>154.73969683333331</v>
      </c>
      <c r="L434" s="367">
        <f>$F434-HL!AU13</f>
        <v>127.90636349999997</v>
      </c>
      <c r="M434" s="367">
        <f>IFERROR(HL!AU13*HL!AT13,0)</f>
        <v>53.666666666666679</v>
      </c>
    </row>
    <row r="435" spans="2:13" ht="42.75" customHeight="1" x14ac:dyDescent="0.3">
      <c r="B435" s="4" t="s">
        <v>437</v>
      </c>
      <c r="C435" s="4" t="s">
        <v>430</v>
      </c>
      <c r="D435" s="4" t="s">
        <v>431</v>
      </c>
      <c r="E435" s="5" t="s">
        <v>45</v>
      </c>
      <c r="F435" s="6">
        <f>HL!AV14</f>
        <v>224.78911613333335</v>
      </c>
      <c r="G435" s="7" t="s">
        <v>190</v>
      </c>
      <c r="H435" s="6">
        <f>HL!AX14</f>
        <v>304.78911613333332</v>
      </c>
      <c r="I435" s="369">
        <f>HL!AT14</f>
        <v>2</v>
      </c>
      <c r="J435" s="368"/>
      <c r="K435" s="367">
        <f t="shared" si="8"/>
        <v>224.78911613333335</v>
      </c>
      <c r="L435" s="367">
        <f>$F435-HL!AU14</f>
        <v>197.95578280000001</v>
      </c>
      <c r="M435" s="367">
        <f>IFERROR(HL!AU14*HL!AT14,0)</f>
        <v>53.666666666666679</v>
      </c>
    </row>
    <row r="436" spans="2:13" ht="42.75" customHeight="1" x14ac:dyDescent="0.3">
      <c r="B436" s="4" t="s">
        <v>438</v>
      </c>
      <c r="C436" s="4" t="s">
        <v>430</v>
      </c>
      <c r="D436" s="4" t="s">
        <v>431</v>
      </c>
      <c r="E436" s="5" t="s">
        <v>47</v>
      </c>
      <c r="F436" s="6">
        <f>HL!AV15</f>
        <v>332.96905826666665</v>
      </c>
      <c r="G436" s="7" t="s">
        <v>190</v>
      </c>
      <c r="H436" s="6">
        <f>HL!AX15</f>
        <v>412.96905826666665</v>
      </c>
      <c r="I436" s="369">
        <f>HL!AT15</f>
        <v>2</v>
      </c>
      <c r="J436" s="368"/>
      <c r="K436" s="367">
        <f t="shared" si="8"/>
        <v>332.96905826666665</v>
      </c>
      <c r="L436" s="367">
        <f>$F436-HL!AU15</f>
        <v>279.30239159999996</v>
      </c>
      <c r="M436" s="367">
        <f>IFERROR(HL!AU15*HL!AT15,0)</f>
        <v>107.33333333333336</v>
      </c>
    </row>
    <row r="437" spans="2:13" ht="42.75" customHeight="1" x14ac:dyDescent="0.3">
      <c r="B437" s="4" t="s">
        <v>439</v>
      </c>
      <c r="C437" s="4" t="s">
        <v>430</v>
      </c>
      <c r="D437" s="4" t="s">
        <v>431</v>
      </c>
      <c r="E437" s="5" t="s">
        <v>222</v>
      </c>
      <c r="F437" s="6">
        <f>HL!AV16</f>
        <v>485.22330356666657</v>
      </c>
      <c r="G437" s="7" t="s">
        <v>190</v>
      </c>
      <c r="H437" s="6">
        <f>HL!AX16</f>
        <v>565.22330356666657</v>
      </c>
      <c r="I437" s="369">
        <f>HL!AT16</f>
        <v>1</v>
      </c>
      <c r="J437" s="368"/>
      <c r="K437" s="367">
        <f t="shared" si="8"/>
        <v>485.22330356666657</v>
      </c>
      <c r="L437" s="367">
        <f>$F437-HL!AU16</f>
        <v>374.55663689999994</v>
      </c>
      <c r="M437" s="367">
        <f>IFERROR(HL!AU16*HL!AT16,0)</f>
        <v>110.66666666666666</v>
      </c>
    </row>
    <row r="438" spans="2:13" ht="42.75" customHeight="1" x14ac:dyDescent="0.3">
      <c r="B438" s="4" t="s">
        <v>440</v>
      </c>
      <c r="C438" s="4" t="s">
        <v>430</v>
      </c>
      <c r="D438" s="4" t="s">
        <v>431</v>
      </c>
      <c r="E438" s="5" t="s">
        <v>226</v>
      </c>
      <c r="F438" s="6">
        <f>HL!AV17</f>
        <v>683.60840926666663</v>
      </c>
      <c r="G438" s="7" t="s">
        <v>190</v>
      </c>
      <c r="H438" s="6">
        <f>HL!AX17</f>
        <v>763.60840926666663</v>
      </c>
      <c r="I438" s="369">
        <f>HL!AT17</f>
        <v>1</v>
      </c>
      <c r="J438" s="368"/>
      <c r="K438" s="367">
        <f t="shared" si="8"/>
        <v>683.60840926666663</v>
      </c>
      <c r="L438" s="367">
        <f>$F438-HL!AU17</f>
        <v>572.9417426</v>
      </c>
      <c r="M438" s="367">
        <f>IFERROR(HL!AU17*HL!AT17,0)</f>
        <v>110.66666666666666</v>
      </c>
    </row>
    <row r="439" spans="2:13" ht="42.75" customHeight="1" x14ac:dyDescent="0.3">
      <c r="B439" s="4" t="s">
        <v>441</v>
      </c>
      <c r="C439" s="4" t="s">
        <v>430</v>
      </c>
      <c r="D439" s="4" t="s">
        <v>431</v>
      </c>
      <c r="E439" s="5" t="s">
        <v>230</v>
      </c>
      <c r="F439" s="6">
        <f>HL!AV18</f>
        <v>875.19663433333335</v>
      </c>
      <c r="G439" s="7" t="s">
        <v>190</v>
      </c>
      <c r="H439" s="6">
        <f>HL!AX18</f>
        <v>955.19663433333335</v>
      </c>
      <c r="I439" s="369">
        <f>HL!AT18</f>
        <v>1</v>
      </c>
      <c r="J439" s="368"/>
      <c r="K439" s="367">
        <f t="shared" si="8"/>
        <v>875.19663433333335</v>
      </c>
      <c r="L439" s="367">
        <f>$F439-HL!AU18</f>
        <v>757.86330100000009</v>
      </c>
      <c r="M439" s="367">
        <f>IFERROR(HL!AU18*HL!AT18,0)</f>
        <v>117.3333333333333</v>
      </c>
    </row>
    <row r="440" spans="2:13" ht="42.75" customHeight="1" x14ac:dyDescent="0.3">
      <c r="B440" s="4" t="s">
        <v>442</v>
      </c>
      <c r="C440" s="4" t="s">
        <v>430</v>
      </c>
      <c r="D440" s="4" t="s">
        <v>431</v>
      </c>
      <c r="E440" s="5" t="s">
        <v>234</v>
      </c>
      <c r="F440" s="6">
        <f>HL!AV19</f>
        <v>1159.3024755666663</v>
      </c>
      <c r="G440" s="7" t="s">
        <v>190</v>
      </c>
      <c r="H440" s="6">
        <f>HL!AX19</f>
        <v>1239.3024755666663</v>
      </c>
      <c r="I440" s="369">
        <f>HL!AT19</f>
        <v>1</v>
      </c>
      <c r="J440" s="368"/>
      <c r="K440" s="367">
        <f t="shared" si="8"/>
        <v>1159.3024755666663</v>
      </c>
      <c r="L440" s="367">
        <f>$F440-HL!AU19</f>
        <v>1038.6358088999998</v>
      </c>
      <c r="M440" s="367">
        <f>IFERROR(HL!AU19*HL!AT19,0)</f>
        <v>120.6666666666666</v>
      </c>
    </row>
    <row r="441" spans="2:13" ht="42.75" customHeight="1" x14ac:dyDescent="0.3">
      <c r="B441" s="4" t="s">
        <v>443</v>
      </c>
      <c r="C441" s="4" t="s">
        <v>430</v>
      </c>
      <c r="D441" s="4" t="s">
        <v>431</v>
      </c>
      <c r="E441" s="5" t="s">
        <v>238</v>
      </c>
      <c r="F441" s="6">
        <f>HL!AV20</f>
        <v>1320.9320253000001</v>
      </c>
      <c r="G441" s="7" t="s">
        <v>190</v>
      </c>
      <c r="H441" s="6">
        <f>HL!AX20</f>
        <v>1400.9320253000001</v>
      </c>
      <c r="I441" s="369">
        <f>HL!AT20</f>
        <v>1</v>
      </c>
      <c r="J441" s="368"/>
      <c r="K441" s="367">
        <f t="shared" si="8"/>
        <v>1320.9320253000001</v>
      </c>
      <c r="L441" s="367">
        <f>$F441-HL!AU20</f>
        <v>1180.9320253000001</v>
      </c>
      <c r="M441" s="367">
        <f>IFERROR(HL!AU20*HL!AT20,0)</f>
        <v>139.99999999999994</v>
      </c>
    </row>
    <row r="442" spans="2:13" ht="42.75" customHeight="1" x14ac:dyDescent="0.3">
      <c r="B442" s="4" t="s">
        <v>444</v>
      </c>
      <c r="C442" s="4" t="s">
        <v>430</v>
      </c>
      <c r="D442" s="4" t="s">
        <v>431</v>
      </c>
      <c r="E442" s="5" t="s">
        <v>242</v>
      </c>
      <c r="F442" s="6">
        <f>HL!AV21</f>
        <v>1579.4438788666666</v>
      </c>
      <c r="G442" s="7" t="s">
        <v>190</v>
      </c>
      <c r="H442" s="6">
        <f>HL!AX21</f>
        <v>1659.4438788666666</v>
      </c>
      <c r="I442" s="369">
        <f>HL!AT21</f>
        <v>1</v>
      </c>
      <c r="J442" s="368"/>
      <c r="K442" s="367">
        <f t="shared" si="8"/>
        <v>1579.4438788666666</v>
      </c>
      <c r="L442" s="367">
        <f>$F442-HL!AU21</f>
        <v>1432.7772121999999</v>
      </c>
      <c r="M442" s="367">
        <f>IFERROR(HL!AU21*HL!AT21,0)</f>
        <v>146.66666666666669</v>
      </c>
    </row>
    <row r="443" spans="2:13" ht="42.75" customHeight="1" x14ac:dyDescent="0.3">
      <c r="B443" s="4" t="s">
        <v>445</v>
      </c>
      <c r="C443" s="4" t="s">
        <v>430</v>
      </c>
      <c r="D443" s="4" t="s">
        <v>431</v>
      </c>
      <c r="E443" s="5" t="s">
        <v>246</v>
      </c>
      <c r="F443" s="6">
        <f>HL!AV22</f>
        <v>1799.4512868666666</v>
      </c>
      <c r="G443" s="7" t="s">
        <v>190</v>
      </c>
      <c r="H443" s="6">
        <f>HL!AX22</f>
        <v>1879.4512868666666</v>
      </c>
      <c r="I443" s="369">
        <f>HL!AT22</f>
        <v>1</v>
      </c>
      <c r="J443" s="368"/>
      <c r="K443" s="367">
        <f t="shared" si="8"/>
        <v>1799.4512868666666</v>
      </c>
      <c r="L443" s="367">
        <f>$F443-HL!AU22</f>
        <v>1652.7846201999998</v>
      </c>
      <c r="M443" s="367">
        <f>IFERROR(HL!AU22*HL!AT22,0)</f>
        <v>146.66666666666669</v>
      </c>
    </row>
    <row r="444" spans="2:13" ht="42.75" customHeight="1" x14ac:dyDescent="0.3">
      <c r="B444" s="4" t="s">
        <v>446</v>
      </c>
      <c r="C444" s="4" t="s">
        <v>430</v>
      </c>
      <c r="D444" s="4" t="s">
        <v>431</v>
      </c>
      <c r="E444" s="5" t="s">
        <v>250</v>
      </c>
      <c r="F444" s="6">
        <f>HL!AV23</f>
        <v>2590.8955860000001</v>
      </c>
      <c r="G444" s="7" t="s">
        <v>190</v>
      </c>
      <c r="H444" s="6">
        <f>HL!AX23</f>
        <v>2670.8955860000001</v>
      </c>
      <c r="I444" s="369">
        <f>HL!AT23</f>
        <v>1</v>
      </c>
      <c r="J444" s="368"/>
      <c r="K444" s="367">
        <f t="shared" si="8"/>
        <v>2590.8955860000001</v>
      </c>
      <c r="L444" s="367">
        <f>$F444-HL!AU23</f>
        <v>2390.8955860000001</v>
      </c>
      <c r="M444" s="367">
        <f>IFERROR(HL!AU23*HL!AT23,0)</f>
        <v>200.00000000000006</v>
      </c>
    </row>
    <row r="445" spans="2:13" ht="42.75" customHeight="1" x14ac:dyDescent="0.3">
      <c r="B445" s="4" t="s">
        <v>447</v>
      </c>
      <c r="C445" s="4" t="s">
        <v>430</v>
      </c>
      <c r="D445" s="4" t="s">
        <v>431</v>
      </c>
      <c r="E445" s="5" t="s">
        <v>254</v>
      </c>
      <c r="F445" s="6">
        <f>HL!AV24</f>
        <v>2895.8906545</v>
      </c>
      <c r="G445" s="7" t="s">
        <v>190</v>
      </c>
      <c r="H445" s="6">
        <f>HL!AX24</f>
        <v>2975.8906545</v>
      </c>
      <c r="I445" s="369">
        <f>HL!AT24</f>
        <v>1</v>
      </c>
      <c r="J445" s="368"/>
      <c r="K445" s="367">
        <f t="shared" si="8"/>
        <v>2895.8906545</v>
      </c>
      <c r="L445" s="367">
        <f>$F445-HL!AU24</f>
        <v>2695.8906545</v>
      </c>
      <c r="M445" s="367">
        <f>IFERROR(HL!AU24*HL!AT24,0)</f>
        <v>200.00000000000006</v>
      </c>
    </row>
    <row r="446" spans="2:13" ht="42.75" customHeight="1" x14ac:dyDescent="0.3">
      <c r="B446" s="4" t="s">
        <v>448</v>
      </c>
      <c r="C446" s="4" t="s">
        <v>430</v>
      </c>
      <c r="D446" s="4" t="s">
        <v>431</v>
      </c>
      <c r="E446" s="5" t="s">
        <v>258</v>
      </c>
      <c r="F446" s="6">
        <f>HL!AV25</f>
        <v>3268.9234019999999</v>
      </c>
      <c r="G446" s="7" t="s">
        <v>190</v>
      </c>
      <c r="H446" s="6">
        <f>HL!AX25</f>
        <v>3348.9234019999999</v>
      </c>
      <c r="I446" s="369">
        <f>HL!AT25</f>
        <v>1</v>
      </c>
      <c r="J446" s="368"/>
      <c r="K446" s="367">
        <f t="shared" si="8"/>
        <v>3268.9234019999999</v>
      </c>
      <c r="L446" s="367">
        <f>$F446-HL!AU25</f>
        <v>3068.9234019999999</v>
      </c>
      <c r="M446" s="367">
        <f>IFERROR(HL!AU25*HL!AT25,0)</f>
        <v>200.00000000000006</v>
      </c>
    </row>
    <row r="447" spans="2:13" ht="42.75" customHeight="1" x14ac:dyDescent="0.3">
      <c r="B447" s="4" t="s">
        <v>449</v>
      </c>
      <c r="C447" s="4" t="s">
        <v>430</v>
      </c>
      <c r="D447" s="4" t="s">
        <v>431</v>
      </c>
      <c r="E447" s="5" t="s">
        <v>262</v>
      </c>
      <c r="F447" s="6">
        <f>HL!AV26</f>
        <v>3837.0542565000005</v>
      </c>
      <c r="G447" s="7" t="s">
        <v>190</v>
      </c>
      <c r="H447" s="6">
        <f>HL!AX26</f>
        <v>3917.0542565000005</v>
      </c>
      <c r="I447" s="369">
        <f>HL!AT26</f>
        <v>1</v>
      </c>
      <c r="J447" s="368"/>
      <c r="K447" s="367">
        <f t="shared" si="8"/>
        <v>3837.0542565000005</v>
      </c>
      <c r="L447" s="367">
        <f>$F447-HL!AU26</f>
        <v>3637.0542565000005</v>
      </c>
      <c r="M447" s="367">
        <f>IFERROR(HL!AU26*HL!AT26,0)</f>
        <v>200.00000000000006</v>
      </c>
    </row>
    <row r="448" spans="2:13" ht="42.75" customHeight="1" x14ac:dyDescent="0.3">
      <c r="B448" s="4" t="s">
        <v>450</v>
      </c>
      <c r="C448" s="4" t="s">
        <v>430</v>
      </c>
      <c r="D448" s="4" t="s">
        <v>431</v>
      </c>
      <c r="E448" s="5" t="s">
        <v>266</v>
      </c>
      <c r="F448" s="6">
        <f>HL!AV27</f>
        <v>4655.0379148333332</v>
      </c>
      <c r="G448" s="7" t="s">
        <v>190</v>
      </c>
      <c r="H448" s="6">
        <f>HL!AX27</f>
        <v>4735.0379148333332</v>
      </c>
      <c r="I448" s="369">
        <f>HL!AT27</f>
        <v>1</v>
      </c>
      <c r="J448" s="368"/>
      <c r="K448" s="367">
        <f t="shared" si="8"/>
        <v>4655.0379148333332</v>
      </c>
      <c r="L448" s="367">
        <f>$F448-HL!AU27</f>
        <v>4411.7045815000001</v>
      </c>
      <c r="M448" s="367">
        <f>IFERROR(HL!AU27*HL!AT27,0)</f>
        <v>243.33333333333326</v>
      </c>
    </row>
    <row r="449" spans="2:13" ht="42.75" customHeight="1" x14ac:dyDescent="0.3">
      <c r="B449" s="4" t="s">
        <v>451</v>
      </c>
      <c r="C449" s="4" t="s">
        <v>430</v>
      </c>
      <c r="D449" s="4" t="s">
        <v>431</v>
      </c>
      <c r="E449" s="5" t="s">
        <v>270</v>
      </c>
      <c r="F449" s="6">
        <f>HL!AV28</f>
        <v>4982.7335903333324</v>
      </c>
      <c r="G449" s="7" t="s">
        <v>190</v>
      </c>
      <c r="H449" s="6">
        <f>HL!AX28</f>
        <v>5062.7335903333324</v>
      </c>
      <c r="I449" s="369">
        <f>HL!AT28</f>
        <v>1</v>
      </c>
      <c r="J449" s="368"/>
      <c r="K449" s="367">
        <f t="shared" si="8"/>
        <v>4982.7335903333324</v>
      </c>
      <c r="L449" s="367">
        <f>$F449-HL!AU28</f>
        <v>4739.4002569999993</v>
      </c>
      <c r="M449" s="367">
        <f>IFERROR(HL!AU28*HL!AT28,0)</f>
        <v>243.33333333333326</v>
      </c>
    </row>
    <row r="450" spans="2:13" ht="42.75" customHeight="1" x14ac:dyDescent="0.3">
      <c r="B450" s="4" t="s">
        <v>452</v>
      </c>
      <c r="C450" s="4" t="s">
        <v>430</v>
      </c>
      <c r="D450" s="4" t="s">
        <v>431</v>
      </c>
      <c r="E450" s="5" t="s">
        <v>274</v>
      </c>
      <c r="F450" s="6">
        <f>HL!AV29</f>
        <v>5576.9080534333334</v>
      </c>
      <c r="G450" s="7" t="s">
        <v>190</v>
      </c>
      <c r="H450" s="6">
        <f>HL!AX29</f>
        <v>5656.9080534333334</v>
      </c>
      <c r="I450" s="369">
        <f>HL!AT29</f>
        <v>1</v>
      </c>
      <c r="J450" s="368"/>
      <c r="K450" s="367">
        <f t="shared" si="8"/>
        <v>5576.9080534333334</v>
      </c>
      <c r="L450" s="367">
        <f>$F450-HL!AU29</f>
        <v>5333.5747201000004</v>
      </c>
      <c r="M450" s="367">
        <f>IFERROR(HL!AU29*HL!AT29,0)</f>
        <v>243.33333333333326</v>
      </c>
    </row>
    <row r="451" spans="2:13" ht="42.75" customHeight="1" x14ac:dyDescent="0.3">
      <c r="B451" s="4" t="s">
        <v>453</v>
      </c>
      <c r="C451" s="4" t="s">
        <v>430</v>
      </c>
      <c r="D451" s="4" t="s">
        <v>431</v>
      </c>
      <c r="E451" s="5" t="s">
        <v>278</v>
      </c>
      <c r="F451" s="6">
        <f>HL!AV30</f>
        <v>6489.0045503333331</v>
      </c>
      <c r="G451" s="7" t="s">
        <v>190</v>
      </c>
      <c r="H451" s="6">
        <f>HL!AX30</f>
        <v>6569.0045503333331</v>
      </c>
      <c r="I451" s="369">
        <f>HL!AT30</f>
        <v>1</v>
      </c>
      <c r="J451" s="368"/>
      <c r="K451" s="367">
        <f t="shared" si="8"/>
        <v>6489.0045503333331</v>
      </c>
      <c r="L451" s="367">
        <f>$F451-HL!AU30</f>
        <v>6245.6712170000001</v>
      </c>
      <c r="M451" s="367">
        <f>IFERROR(HL!AU30*HL!AT30,0)</f>
        <v>243.33333333333326</v>
      </c>
    </row>
    <row r="452" spans="2:13" ht="42.75" customHeight="1" x14ac:dyDescent="0.3">
      <c r="B452" s="4" t="s">
        <v>454</v>
      </c>
      <c r="C452" s="4" t="s">
        <v>430</v>
      </c>
      <c r="D452" s="4" t="s">
        <v>455</v>
      </c>
      <c r="E452" s="5" t="s">
        <v>196</v>
      </c>
      <c r="F452" s="6">
        <f>HL!AV31</f>
        <v>11.497386033333333</v>
      </c>
      <c r="G452" s="7" t="s">
        <v>190</v>
      </c>
      <c r="H452" s="6">
        <f>HL!AX31</f>
        <v>91.497386033333328</v>
      </c>
      <c r="I452" s="369">
        <f>HL!AT31</f>
        <v>5</v>
      </c>
      <c r="J452" s="368"/>
      <c r="K452" s="367">
        <f t="shared" si="8"/>
        <v>11.497386033333333</v>
      </c>
      <c r="L452" s="367">
        <f>$F452-HL!AU31</f>
        <v>7.1640527000000009</v>
      </c>
      <c r="M452" s="367">
        <f>IFERROR(HL!AU31*HL!AT31,0)</f>
        <v>21.666666666666661</v>
      </c>
    </row>
    <row r="453" spans="2:13" ht="42.75" customHeight="1" x14ac:dyDescent="0.3">
      <c r="B453" s="4" t="s">
        <v>456</v>
      </c>
      <c r="C453" s="4" t="s">
        <v>430</v>
      </c>
      <c r="D453" s="4" t="s">
        <v>455</v>
      </c>
      <c r="E453" s="5" t="s">
        <v>200</v>
      </c>
      <c r="F453" s="6">
        <f>HL!AV32</f>
        <v>15.004687333333331</v>
      </c>
      <c r="G453" s="7" t="s">
        <v>190</v>
      </c>
      <c r="H453" s="6">
        <f>HL!AX32</f>
        <v>95.004687333333337</v>
      </c>
      <c r="I453" s="369">
        <f>HL!AT32</f>
        <v>5</v>
      </c>
      <c r="J453" s="368"/>
      <c r="K453" s="367">
        <f t="shared" si="8"/>
        <v>15.004687333333331</v>
      </c>
      <c r="L453" s="367">
        <f>$F453-HL!AU32</f>
        <v>10.671353999999999</v>
      </c>
      <c r="M453" s="367">
        <f>IFERROR(HL!AU32*HL!AT32,0)</f>
        <v>21.666666666666661</v>
      </c>
    </row>
    <row r="454" spans="2:13" ht="42.75" customHeight="1" x14ac:dyDescent="0.3">
      <c r="B454" s="4" t="s">
        <v>457</v>
      </c>
      <c r="C454" s="4" t="s">
        <v>430</v>
      </c>
      <c r="D454" s="4" t="s">
        <v>455</v>
      </c>
      <c r="E454" s="5" t="s">
        <v>185</v>
      </c>
      <c r="F454" s="6">
        <f>HL!AV33</f>
        <v>29.134864077777781</v>
      </c>
      <c r="G454" s="7" t="s">
        <v>190</v>
      </c>
      <c r="H454" s="6">
        <f>HL!AX33</f>
        <v>109.13486407777778</v>
      </c>
      <c r="I454" s="369">
        <f>HL!AT33</f>
        <v>3</v>
      </c>
      <c r="J454" s="368"/>
      <c r="K454" s="367">
        <f t="shared" si="8"/>
        <v>29.134864077777781</v>
      </c>
      <c r="L454" s="367">
        <f>$F454-HL!AU33</f>
        <v>18.857086300000002</v>
      </c>
      <c r="M454" s="367">
        <f>IFERROR(HL!AU33*HL!AT33,0)</f>
        <v>30.833333333333336</v>
      </c>
    </row>
    <row r="455" spans="2:13" ht="42.75" customHeight="1" x14ac:dyDescent="0.3">
      <c r="B455" s="4" t="s">
        <v>458</v>
      </c>
      <c r="C455" s="4" t="s">
        <v>430</v>
      </c>
      <c r="D455" s="4" t="s">
        <v>455</v>
      </c>
      <c r="E455" s="5" t="s">
        <v>39</v>
      </c>
      <c r="F455" s="6">
        <f>HL!AV34</f>
        <v>57.491850277777779</v>
      </c>
      <c r="G455" s="7" t="s">
        <v>190</v>
      </c>
      <c r="H455" s="6">
        <f>HL!AX34</f>
        <v>137.49185027777779</v>
      </c>
      <c r="I455" s="369">
        <f>HL!AT34</f>
        <v>3</v>
      </c>
      <c r="J455" s="368"/>
      <c r="K455" s="367">
        <f t="shared" si="8"/>
        <v>57.491850277777779</v>
      </c>
      <c r="L455" s="367">
        <f>$F455-HL!AU34</f>
        <v>47.2140725</v>
      </c>
      <c r="M455" s="367">
        <f>IFERROR(HL!AU34*HL!AT34,0)</f>
        <v>30.833333333333336</v>
      </c>
    </row>
    <row r="456" spans="2:13" ht="42.75" customHeight="1" x14ac:dyDescent="0.3">
      <c r="B456" s="4" t="s">
        <v>459</v>
      </c>
      <c r="C456" s="4" t="s">
        <v>430</v>
      </c>
      <c r="D456" s="4" t="s">
        <v>455</v>
      </c>
      <c r="E456" s="5" t="s">
        <v>300</v>
      </c>
      <c r="F456" s="6">
        <f>HL!AV35</f>
        <v>80.810123522222199</v>
      </c>
      <c r="G456" s="7" t="s">
        <v>190</v>
      </c>
      <c r="H456" s="6">
        <f>HL!AX35</f>
        <v>160.8101235222222</v>
      </c>
      <c r="I456" s="369">
        <f>HL!AT35</f>
        <v>3</v>
      </c>
      <c r="J456" s="368"/>
      <c r="K456" s="367">
        <f t="shared" si="8"/>
        <v>80.810123522222199</v>
      </c>
      <c r="L456" s="367">
        <f>$F456-HL!AU35</f>
        <v>64.58790129999997</v>
      </c>
      <c r="M456" s="367">
        <f>IFERROR(HL!AU35*HL!AT35,0)</f>
        <v>48.666666666666664</v>
      </c>
    </row>
    <row r="457" spans="2:13" ht="42.75" customHeight="1" x14ac:dyDescent="0.3">
      <c r="B457" s="4" t="s">
        <v>460</v>
      </c>
      <c r="C457" s="4" t="s">
        <v>430</v>
      </c>
      <c r="D457" s="4" t="s">
        <v>455</v>
      </c>
      <c r="E457" s="5" t="s">
        <v>41</v>
      </c>
      <c r="F457" s="6">
        <f>HL!AV36</f>
        <v>109.03906713333332</v>
      </c>
      <c r="G457" s="7" t="s">
        <v>190</v>
      </c>
      <c r="H457" s="6">
        <f>HL!AX36</f>
        <v>189.03906713333333</v>
      </c>
      <c r="I457" s="369">
        <f>HL!AT36</f>
        <v>2</v>
      </c>
      <c r="J457" s="368"/>
      <c r="K457" s="367">
        <f t="shared" si="8"/>
        <v>109.03906713333332</v>
      </c>
      <c r="L457" s="367">
        <f>$F457-HL!AU36</f>
        <v>84.70573379999999</v>
      </c>
      <c r="M457" s="367">
        <f>IFERROR(HL!AU36*HL!AT36,0)</f>
        <v>48.666666666666664</v>
      </c>
    </row>
    <row r="458" spans="2:13" ht="42.75" customHeight="1" x14ac:dyDescent="0.3">
      <c r="B458" s="4" t="s">
        <v>461</v>
      </c>
      <c r="C458" s="4" t="s">
        <v>430</v>
      </c>
      <c r="D458" s="4" t="s">
        <v>455</v>
      </c>
      <c r="E458" s="5" t="s">
        <v>43</v>
      </c>
      <c r="F458" s="6">
        <f>HL!AV37</f>
        <v>170.56841683333334</v>
      </c>
      <c r="G458" s="7" t="s">
        <v>190</v>
      </c>
      <c r="H458" s="6">
        <f>HL!AX37</f>
        <v>250.56841683333334</v>
      </c>
      <c r="I458" s="369">
        <f>HL!AT37</f>
        <v>2</v>
      </c>
      <c r="J458" s="368"/>
      <c r="K458" s="367">
        <f t="shared" si="8"/>
        <v>170.56841683333334</v>
      </c>
      <c r="L458" s="367">
        <f>$F458-HL!AU37</f>
        <v>143.7350835</v>
      </c>
      <c r="M458" s="367">
        <f>IFERROR(HL!AU37*HL!AT37,0)</f>
        <v>53.666666666666679</v>
      </c>
    </row>
    <row r="459" spans="2:13" ht="42.75" customHeight="1" x14ac:dyDescent="0.3">
      <c r="B459" s="4" t="s">
        <v>462</v>
      </c>
      <c r="C459" s="4" t="s">
        <v>430</v>
      </c>
      <c r="D459" s="4" t="s">
        <v>455</v>
      </c>
      <c r="E459" s="5" t="s">
        <v>45</v>
      </c>
      <c r="F459" s="6">
        <f>HL!AV38</f>
        <v>250.84381613333332</v>
      </c>
      <c r="G459" s="7" t="s">
        <v>190</v>
      </c>
      <c r="H459" s="6">
        <f>HL!AX38</f>
        <v>330.84381613333335</v>
      </c>
      <c r="I459" s="369">
        <f>HL!AT38</f>
        <v>2</v>
      </c>
      <c r="J459" s="368"/>
      <c r="K459" s="367">
        <f t="shared" si="8"/>
        <v>250.84381613333332</v>
      </c>
      <c r="L459" s="367">
        <f>$F459-HL!AU38</f>
        <v>224.01048279999998</v>
      </c>
      <c r="M459" s="367">
        <f>IFERROR(HL!AU38*HL!AT38,0)</f>
        <v>53.666666666666679</v>
      </c>
    </row>
    <row r="460" spans="2:13" ht="42.75" customHeight="1" x14ac:dyDescent="0.3">
      <c r="B460" s="4" t="s">
        <v>463</v>
      </c>
      <c r="C460" s="4" t="s">
        <v>430</v>
      </c>
      <c r="D460" s="4" t="s">
        <v>455</v>
      </c>
      <c r="E460" s="5" t="s">
        <v>47</v>
      </c>
      <c r="F460" s="6">
        <f>HL!AV39</f>
        <v>369.70030826666664</v>
      </c>
      <c r="G460" s="7" t="s">
        <v>190</v>
      </c>
      <c r="H460" s="6">
        <f>HL!AX39</f>
        <v>449.70030826666664</v>
      </c>
      <c r="I460" s="369">
        <f>HL!AT39</f>
        <v>2</v>
      </c>
      <c r="J460" s="368"/>
      <c r="K460" s="367">
        <f t="shared" si="8"/>
        <v>369.70030826666664</v>
      </c>
      <c r="L460" s="367">
        <f>$F460-HL!AU39</f>
        <v>316.03364159999995</v>
      </c>
      <c r="M460" s="367">
        <f>IFERROR(HL!AU39*HL!AT39,0)</f>
        <v>107.33333333333336</v>
      </c>
    </row>
    <row r="461" spans="2:13" ht="42.75" customHeight="1" x14ac:dyDescent="0.3">
      <c r="B461" s="4" t="s">
        <v>464</v>
      </c>
      <c r="C461" s="4" t="s">
        <v>430</v>
      </c>
      <c r="D461" s="4" t="s">
        <v>455</v>
      </c>
      <c r="E461" s="5" t="s">
        <v>222</v>
      </c>
      <c r="F461" s="6">
        <f>HL!AV40</f>
        <v>535.17780356666663</v>
      </c>
      <c r="G461" s="7" t="s">
        <v>190</v>
      </c>
      <c r="H461" s="6">
        <f>HL!AX40</f>
        <v>615.17780356666663</v>
      </c>
      <c r="I461" s="369">
        <f>HL!AT40</f>
        <v>1</v>
      </c>
      <c r="J461" s="368"/>
      <c r="K461" s="367">
        <f t="shared" si="8"/>
        <v>535.17780356666663</v>
      </c>
      <c r="L461" s="367">
        <f>$F461-HL!AU40</f>
        <v>424.5111369</v>
      </c>
      <c r="M461" s="367">
        <f>IFERROR(HL!AU40*HL!AT40,0)</f>
        <v>110.66666666666666</v>
      </c>
    </row>
    <row r="462" spans="2:13" ht="42.75" customHeight="1" x14ac:dyDescent="0.3">
      <c r="B462" s="4" t="s">
        <v>465</v>
      </c>
      <c r="C462" s="4" t="s">
        <v>430</v>
      </c>
      <c r="D462" s="4" t="s">
        <v>455</v>
      </c>
      <c r="E462" s="5" t="s">
        <v>226</v>
      </c>
      <c r="F462" s="6">
        <f>HL!AV41</f>
        <v>781.79348926666671</v>
      </c>
      <c r="G462" s="7" t="s">
        <v>190</v>
      </c>
      <c r="H462" s="6">
        <f>HL!AX41</f>
        <v>861.79348926666671</v>
      </c>
      <c r="I462" s="369">
        <f>HL!AT41</f>
        <v>1</v>
      </c>
      <c r="J462" s="368"/>
      <c r="K462" s="367">
        <f t="shared" si="8"/>
        <v>781.79348926666671</v>
      </c>
      <c r="L462" s="367">
        <f>$F462-HL!AU41</f>
        <v>671.12682260000008</v>
      </c>
      <c r="M462" s="367">
        <f>IFERROR(HL!AU41*HL!AT41,0)</f>
        <v>110.66666666666666</v>
      </c>
    </row>
    <row r="463" spans="2:13" ht="42.75" customHeight="1" x14ac:dyDescent="0.3">
      <c r="B463" s="4" t="s">
        <v>466</v>
      </c>
      <c r="C463" s="4" t="s">
        <v>430</v>
      </c>
      <c r="D463" s="4" t="s">
        <v>455</v>
      </c>
      <c r="E463" s="5" t="s">
        <v>230</v>
      </c>
      <c r="F463" s="6">
        <f>HL!AV42</f>
        <v>984.9006343333333</v>
      </c>
      <c r="G463" s="7" t="s">
        <v>190</v>
      </c>
      <c r="H463" s="6">
        <f>HL!AX42</f>
        <v>1064.9006343333333</v>
      </c>
      <c r="I463" s="369">
        <f>HL!AT42</f>
        <v>1</v>
      </c>
      <c r="J463" s="368"/>
      <c r="K463" s="367">
        <f t="shared" si="8"/>
        <v>984.9006343333333</v>
      </c>
      <c r="L463" s="367">
        <f>$F463-HL!AU42</f>
        <v>867.56730100000004</v>
      </c>
      <c r="M463" s="367">
        <f>IFERROR(HL!AU42*HL!AT42,0)</f>
        <v>117.3333333333333</v>
      </c>
    </row>
    <row r="464" spans="2:13" ht="42.75" customHeight="1" x14ac:dyDescent="0.3">
      <c r="B464" s="4" t="s">
        <v>467</v>
      </c>
      <c r="C464" s="4" t="s">
        <v>430</v>
      </c>
      <c r="D464" s="4" t="s">
        <v>455</v>
      </c>
      <c r="E464" s="5" t="s">
        <v>234</v>
      </c>
      <c r="F464" s="6">
        <f>HL!AV43</f>
        <v>1306.2274755666663</v>
      </c>
      <c r="G464" s="7" t="s">
        <v>190</v>
      </c>
      <c r="H464" s="6">
        <f>HL!AX43</f>
        <v>1386.2274755666663</v>
      </c>
      <c r="I464" s="369">
        <f>HL!AT43</f>
        <v>1</v>
      </c>
      <c r="J464" s="368"/>
      <c r="K464" s="367">
        <f t="shared" si="8"/>
        <v>1306.2274755666663</v>
      </c>
      <c r="L464" s="367">
        <f>$F464-HL!AU43</f>
        <v>1185.5608088999998</v>
      </c>
      <c r="M464" s="367">
        <f>IFERROR(HL!AU43*HL!AT43,0)</f>
        <v>120.6666666666666</v>
      </c>
    </row>
    <row r="465" spans="2:13" ht="42.75" customHeight="1" x14ac:dyDescent="0.3">
      <c r="B465" s="4" t="s">
        <v>468</v>
      </c>
      <c r="C465" s="4" t="s">
        <v>430</v>
      </c>
      <c r="D465" s="4" t="s">
        <v>455</v>
      </c>
      <c r="E465" s="5" t="s">
        <v>238</v>
      </c>
      <c r="F465" s="6">
        <f>HL!AV44</f>
        <v>1530.5450253000001</v>
      </c>
      <c r="G465" s="7" t="s">
        <v>190</v>
      </c>
      <c r="H465" s="6">
        <f>HL!AX44</f>
        <v>1610.5450253000001</v>
      </c>
      <c r="I465" s="369">
        <f>HL!AT44</f>
        <v>1</v>
      </c>
      <c r="J465" s="368"/>
      <c r="K465" s="367">
        <f t="shared" si="8"/>
        <v>1530.5450253000001</v>
      </c>
      <c r="L465" s="367">
        <f>$F465-HL!AU44</f>
        <v>1390.5450253000001</v>
      </c>
      <c r="M465" s="367">
        <f>IFERROR(HL!AU44*HL!AT44,0)</f>
        <v>139.99999999999994</v>
      </c>
    </row>
    <row r="466" spans="2:13" ht="42.75" customHeight="1" x14ac:dyDescent="0.3">
      <c r="B466" s="4" t="s">
        <v>469</v>
      </c>
      <c r="C466" s="4" t="s">
        <v>430</v>
      </c>
      <c r="D466" s="4" t="s">
        <v>455</v>
      </c>
      <c r="E466" s="5" t="s">
        <v>242</v>
      </c>
      <c r="F466" s="6">
        <f>HL!AV45</f>
        <v>1914.4328788666667</v>
      </c>
      <c r="G466" s="7" t="s">
        <v>190</v>
      </c>
      <c r="H466" s="6">
        <f>HL!AX45</f>
        <v>1994.4328788666667</v>
      </c>
      <c r="I466" s="369">
        <f>HL!AT45</f>
        <v>1</v>
      </c>
      <c r="J466" s="368"/>
      <c r="K466" s="367">
        <f t="shared" si="8"/>
        <v>1914.4328788666667</v>
      </c>
      <c r="L466" s="367">
        <f>$F466-HL!AU45</f>
        <v>1767.7662121999999</v>
      </c>
      <c r="M466" s="367">
        <f>IFERROR(HL!AU45*HL!AT45,0)</f>
        <v>146.66666666666669</v>
      </c>
    </row>
    <row r="467" spans="2:13" ht="42.75" customHeight="1" x14ac:dyDescent="0.3">
      <c r="B467" s="4" t="s">
        <v>470</v>
      </c>
      <c r="C467" s="4" t="s">
        <v>430</v>
      </c>
      <c r="D467" s="4" t="s">
        <v>455</v>
      </c>
      <c r="E467" s="5" t="s">
        <v>246</v>
      </c>
      <c r="F467" s="6">
        <f>HL!AV46</f>
        <v>2346.9917868666666</v>
      </c>
      <c r="G467" s="7" t="s">
        <v>190</v>
      </c>
      <c r="H467" s="6">
        <f>HL!AX46</f>
        <v>2426.9917868666666</v>
      </c>
      <c r="I467" s="369">
        <f>HL!AT46</f>
        <v>1</v>
      </c>
      <c r="J467" s="368"/>
      <c r="K467" s="367">
        <f t="shared" si="8"/>
        <v>2346.9917868666666</v>
      </c>
      <c r="L467" s="367">
        <f>$F467-HL!AU46</f>
        <v>2200.3251202000001</v>
      </c>
      <c r="M467" s="367">
        <f>IFERROR(HL!AU46*HL!AT46,0)</f>
        <v>146.66666666666669</v>
      </c>
    </row>
    <row r="468" spans="2:13" ht="42.75" customHeight="1" x14ac:dyDescent="0.3">
      <c r="B468" s="4" t="s">
        <v>471</v>
      </c>
      <c r="C468" s="4" t="s">
        <v>430</v>
      </c>
      <c r="D468" s="4" t="s">
        <v>455</v>
      </c>
      <c r="E468" s="5" t="s">
        <v>250</v>
      </c>
      <c r="F468" s="6">
        <f>HL!AV47</f>
        <v>3015.9985860000002</v>
      </c>
      <c r="G468" s="7" t="s">
        <v>190</v>
      </c>
      <c r="H468" s="6">
        <f>HL!AX47</f>
        <v>3095.9985860000002</v>
      </c>
      <c r="I468" s="369">
        <f>HL!AT47</f>
        <v>1</v>
      </c>
      <c r="J468" s="368"/>
      <c r="K468" s="367">
        <f t="shared" si="8"/>
        <v>3015.9985860000002</v>
      </c>
      <c r="L468" s="367">
        <f>$F468-HL!AU47</f>
        <v>2815.9985860000002</v>
      </c>
      <c r="M468" s="367">
        <f>IFERROR(HL!AU47*HL!AT47,0)</f>
        <v>200.00000000000006</v>
      </c>
    </row>
    <row r="469" spans="2:13" ht="42.75" customHeight="1" x14ac:dyDescent="0.3">
      <c r="B469" s="4" t="s">
        <v>472</v>
      </c>
      <c r="C469" s="4" t="s">
        <v>430</v>
      </c>
      <c r="D469" s="4" t="s">
        <v>455</v>
      </c>
      <c r="E469" s="5" t="s">
        <v>254</v>
      </c>
      <c r="F469" s="6">
        <f>HL!AV48</f>
        <v>3154.4786544999997</v>
      </c>
      <c r="G469" s="7" t="s">
        <v>190</v>
      </c>
      <c r="H469" s="6">
        <f>HL!AX48</f>
        <v>3234.4786544999997</v>
      </c>
      <c r="I469" s="369">
        <f>HL!AT48</f>
        <v>1</v>
      </c>
      <c r="J469" s="368"/>
      <c r="K469" s="367">
        <f t="shared" si="8"/>
        <v>3154.4786544999997</v>
      </c>
      <c r="L469" s="367">
        <f>$F469-HL!AU48</f>
        <v>2954.4786544999997</v>
      </c>
      <c r="M469" s="367">
        <f>IFERROR(HL!AU48*HL!AT48,0)</f>
        <v>200.00000000000006</v>
      </c>
    </row>
    <row r="470" spans="2:13" ht="42.75" customHeight="1" x14ac:dyDescent="0.3">
      <c r="B470" s="4" t="s">
        <v>473</v>
      </c>
      <c r="C470" s="4" t="s">
        <v>430</v>
      </c>
      <c r="D470" s="4" t="s">
        <v>455</v>
      </c>
      <c r="E470" s="5" t="s">
        <v>258</v>
      </c>
      <c r="F470" s="6">
        <f>HL!AV49</f>
        <v>3939.8809019999994</v>
      </c>
      <c r="G470" s="7" t="s">
        <v>190</v>
      </c>
      <c r="H470" s="6">
        <f>HL!AX49</f>
        <v>4019.8809019999994</v>
      </c>
      <c r="I470" s="369">
        <f>HL!AT49</f>
        <v>1</v>
      </c>
      <c r="J470" s="368"/>
      <c r="K470" s="367">
        <f t="shared" si="8"/>
        <v>3939.8809019999994</v>
      </c>
      <c r="L470" s="367">
        <f>$F470-HL!AU49</f>
        <v>3739.8809019999994</v>
      </c>
      <c r="M470" s="367">
        <f>IFERROR(HL!AU49*HL!AT49,0)</f>
        <v>200.00000000000006</v>
      </c>
    </row>
    <row r="471" spans="2:13" ht="42.75" customHeight="1" x14ac:dyDescent="0.3">
      <c r="B471" s="4" t="s">
        <v>474</v>
      </c>
      <c r="C471" s="4" t="s">
        <v>430</v>
      </c>
      <c r="D471" s="4" t="s">
        <v>455</v>
      </c>
      <c r="E471" s="5" t="s">
        <v>262</v>
      </c>
      <c r="F471" s="6">
        <f>HL!AV50</f>
        <v>4718.6042564999998</v>
      </c>
      <c r="G471" s="7" t="s">
        <v>190</v>
      </c>
      <c r="H471" s="6">
        <f>HL!AX50</f>
        <v>4798.6042564999998</v>
      </c>
      <c r="I471" s="369">
        <f>HL!AT50</f>
        <v>1</v>
      </c>
      <c r="J471" s="368"/>
      <c r="K471" s="367">
        <f t="shared" si="8"/>
        <v>4718.6042564999998</v>
      </c>
      <c r="L471" s="367">
        <f>$F471-HL!AU50</f>
        <v>4518.6042564999998</v>
      </c>
      <c r="M471" s="367">
        <f>IFERROR(HL!AU50*HL!AT50,0)</f>
        <v>200.00000000000006</v>
      </c>
    </row>
    <row r="472" spans="2:13" ht="42.75" customHeight="1" x14ac:dyDescent="0.3">
      <c r="B472" s="4" t="s">
        <v>475</v>
      </c>
      <c r="C472" s="4" t="s">
        <v>430</v>
      </c>
      <c r="D472" s="4" t="s">
        <v>455</v>
      </c>
      <c r="E472" s="5" t="s">
        <v>266</v>
      </c>
      <c r="F472" s="6">
        <f>HL!AV51</f>
        <v>5673.7179148333344</v>
      </c>
      <c r="G472" s="7" t="s">
        <v>190</v>
      </c>
      <c r="H472" s="6">
        <f>HL!AX51</f>
        <v>5753.7179148333344</v>
      </c>
      <c r="I472" s="369">
        <f>HL!AT51</f>
        <v>1</v>
      </c>
      <c r="J472" s="368"/>
      <c r="K472" s="367">
        <f t="shared" si="8"/>
        <v>5673.7179148333344</v>
      </c>
      <c r="L472" s="367">
        <f>$F472-HL!AU51</f>
        <v>5430.3845815000013</v>
      </c>
      <c r="M472" s="367">
        <f>IFERROR(HL!AU51*HL!AT51,0)</f>
        <v>243.33333333333326</v>
      </c>
    </row>
    <row r="473" spans="2:13" ht="42.75" customHeight="1" x14ac:dyDescent="0.3">
      <c r="B473" s="4" t="s">
        <v>476</v>
      </c>
      <c r="C473" s="4" t="s">
        <v>430</v>
      </c>
      <c r="D473" s="4" t="s">
        <v>455</v>
      </c>
      <c r="E473" s="5" t="s">
        <v>270</v>
      </c>
      <c r="F473" s="6">
        <f>HL!AV52</f>
        <v>6001.4135903333317</v>
      </c>
      <c r="G473" s="7" t="s">
        <v>190</v>
      </c>
      <c r="H473" s="6">
        <f>HL!AX52</f>
        <v>6081.4135903333317</v>
      </c>
      <c r="I473" s="369">
        <f>HL!AT52</f>
        <v>1</v>
      </c>
      <c r="J473" s="368"/>
      <c r="K473" s="367">
        <f t="shared" si="8"/>
        <v>6001.4135903333317</v>
      </c>
      <c r="L473" s="367">
        <f>$F473-HL!AU52</f>
        <v>5758.0802569999987</v>
      </c>
      <c r="M473" s="367">
        <f>IFERROR(HL!AU52*HL!AT52,0)</f>
        <v>243.33333333333326</v>
      </c>
    </row>
    <row r="474" spans="2:13" ht="42.75" customHeight="1" x14ac:dyDescent="0.3">
      <c r="B474" s="4" t="s">
        <v>477</v>
      </c>
      <c r="C474" s="4" t="s">
        <v>430</v>
      </c>
      <c r="D474" s="4" t="s">
        <v>455</v>
      </c>
      <c r="E474" s="5" t="s">
        <v>274</v>
      </c>
      <c r="F474" s="6">
        <f>HL!AV53</f>
        <v>6624.973053433333</v>
      </c>
      <c r="G474" s="7" t="s">
        <v>190</v>
      </c>
      <c r="H474" s="6">
        <f>HL!AX53</f>
        <v>6704.973053433333</v>
      </c>
      <c r="I474" s="369">
        <f>HL!AT53</f>
        <v>1</v>
      </c>
      <c r="J474" s="368"/>
      <c r="K474" s="367">
        <f t="shared" si="8"/>
        <v>6624.973053433333</v>
      </c>
      <c r="L474" s="367">
        <f>$F474-HL!AU53</f>
        <v>6381.6397201</v>
      </c>
      <c r="M474" s="367">
        <f>IFERROR(HL!AU53*HL!AT53,0)</f>
        <v>243.33333333333326</v>
      </c>
    </row>
    <row r="475" spans="2:13" ht="42.75" customHeight="1" x14ac:dyDescent="0.3">
      <c r="B475" s="4" t="s">
        <v>478</v>
      </c>
      <c r="C475" s="4" t="s">
        <v>430</v>
      </c>
      <c r="D475" s="4" t="s">
        <v>455</v>
      </c>
      <c r="E475" s="5" t="s">
        <v>278</v>
      </c>
      <c r="F475" s="6">
        <f>HL!AV54</f>
        <v>7713.3795503333322</v>
      </c>
      <c r="G475" s="7" t="s">
        <v>190</v>
      </c>
      <c r="H475" s="6">
        <f>HL!AX54</f>
        <v>7793.3795503333322</v>
      </c>
      <c r="I475" s="369">
        <f>HL!AT54</f>
        <v>1</v>
      </c>
      <c r="J475" s="368"/>
      <c r="K475" s="367">
        <f t="shared" si="8"/>
        <v>7713.3795503333322</v>
      </c>
      <c r="L475" s="367">
        <f>$F475-HL!AU54</f>
        <v>7470.0462169999992</v>
      </c>
      <c r="M475" s="367">
        <f>IFERROR(HL!AU54*HL!AT54,0)</f>
        <v>243.33333333333326</v>
      </c>
    </row>
    <row r="476" spans="2:13" ht="42.75" customHeight="1" x14ac:dyDescent="0.3">
      <c r="B476" s="4" t="s">
        <v>479</v>
      </c>
      <c r="C476" s="4" t="s">
        <v>480</v>
      </c>
      <c r="D476" s="4" t="s">
        <v>481</v>
      </c>
      <c r="E476" s="5" t="s">
        <v>196</v>
      </c>
      <c r="F476" s="6">
        <f>HLR!BA7</f>
        <v>57.568136033333332</v>
      </c>
      <c r="G476" s="7" t="s">
        <v>190</v>
      </c>
      <c r="H476" s="6">
        <f>HLR!BC7</f>
        <v>137.56813603333333</v>
      </c>
      <c r="I476" s="369">
        <f>HLR!AY7</f>
        <v>4</v>
      </c>
      <c r="J476" s="368"/>
      <c r="K476" s="367">
        <f t="shared" si="8"/>
        <v>57.568136033333332</v>
      </c>
      <c r="L476" s="367">
        <f>$F476-HLR!AZ7</f>
        <v>25.734802700000003</v>
      </c>
      <c r="M476" s="367">
        <f>IFERROR(HLR!AZ7*HLR!AY7,0)</f>
        <v>127.33333333333331</v>
      </c>
    </row>
    <row r="477" spans="2:13" ht="42.75" customHeight="1" x14ac:dyDescent="0.3">
      <c r="B477" s="4" t="s">
        <v>482</v>
      </c>
      <c r="C477" s="4" t="s">
        <v>480</v>
      </c>
      <c r="D477" s="4" t="s">
        <v>481</v>
      </c>
      <c r="E477" s="5" t="s">
        <v>200</v>
      </c>
      <c r="F477" s="6">
        <f>HLR!BA8</f>
        <v>79.319937333333328</v>
      </c>
      <c r="G477" s="7" t="s">
        <v>190</v>
      </c>
      <c r="H477" s="6">
        <f>HLR!BC8</f>
        <v>159.31993733333331</v>
      </c>
      <c r="I477" s="369">
        <f>HLR!AY8</f>
        <v>4</v>
      </c>
      <c r="J477" s="368"/>
      <c r="K477" s="367">
        <f t="shared" si="8"/>
        <v>79.319937333333328</v>
      </c>
      <c r="L477" s="367">
        <f>$F477-HLR!AZ8</f>
        <v>47.486604</v>
      </c>
      <c r="M477" s="367">
        <f>IFERROR(HLR!AZ8*HLR!AY8,0)</f>
        <v>127.33333333333331</v>
      </c>
    </row>
    <row r="478" spans="2:13" ht="42.75" customHeight="1" x14ac:dyDescent="0.3">
      <c r="B478" s="4" t="s">
        <v>483</v>
      </c>
      <c r="C478" s="4" t="s">
        <v>480</v>
      </c>
      <c r="D478" s="4" t="s">
        <v>481</v>
      </c>
      <c r="E478" s="5" t="s">
        <v>185</v>
      </c>
      <c r="F478" s="6">
        <f>HLR!BA9</f>
        <v>129.65462074444443</v>
      </c>
      <c r="G478" s="7" t="s">
        <v>190</v>
      </c>
      <c r="H478" s="6">
        <f>HLR!BC9</f>
        <v>209.65462074444443</v>
      </c>
      <c r="I478" s="369">
        <f>HLR!AY9</f>
        <v>3</v>
      </c>
      <c r="J478" s="368"/>
      <c r="K478" s="367">
        <f t="shared" si="8"/>
        <v>129.65462074444443</v>
      </c>
      <c r="L478" s="367">
        <f>$F478-HLR!AZ9</f>
        <v>87.210176300000001</v>
      </c>
      <c r="M478" s="367">
        <f>IFERROR(HLR!AZ9*HLR!AY9,0)</f>
        <v>127.33333333333331</v>
      </c>
    </row>
    <row r="479" spans="2:13" ht="42.75" customHeight="1" x14ac:dyDescent="0.3">
      <c r="B479" s="4" t="s">
        <v>484</v>
      </c>
      <c r="C479" s="4" t="s">
        <v>480</v>
      </c>
      <c r="D479" s="4" t="s">
        <v>481</v>
      </c>
      <c r="E479" s="5" t="s">
        <v>39</v>
      </c>
      <c r="F479" s="6">
        <f>HLR!BA10</f>
        <v>227.59731694444443</v>
      </c>
      <c r="G479" s="7" t="s">
        <v>190</v>
      </c>
      <c r="H479" s="6">
        <f>HLR!BC10</f>
        <v>307.5973169444444</v>
      </c>
      <c r="I479" s="369">
        <f>HLR!AY10</f>
        <v>3</v>
      </c>
      <c r="J479" s="368"/>
      <c r="K479" s="367">
        <f t="shared" si="8"/>
        <v>227.59731694444443</v>
      </c>
      <c r="L479" s="367">
        <f>$F479-HLR!AZ10</f>
        <v>185.1528725</v>
      </c>
      <c r="M479" s="367">
        <f>IFERROR(HLR!AZ10*HLR!AY10,0)</f>
        <v>127.33333333333331</v>
      </c>
    </row>
    <row r="480" spans="2:13" ht="42.75" customHeight="1" x14ac:dyDescent="0.3">
      <c r="B480" s="4" t="s">
        <v>485</v>
      </c>
      <c r="C480" s="4" t="s">
        <v>480</v>
      </c>
      <c r="D480" s="4" t="s">
        <v>481</v>
      </c>
      <c r="E480" s="5" t="s">
        <v>300</v>
      </c>
      <c r="F480" s="6">
        <f>HLR!BA11</f>
        <v>322.03244018888887</v>
      </c>
      <c r="G480" s="7" t="s">
        <v>190</v>
      </c>
      <c r="H480" s="6">
        <f>HLR!BC11</f>
        <v>402.03244018888887</v>
      </c>
      <c r="I480" s="369">
        <f>HLR!AY11</f>
        <v>3</v>
      </c>
      <c r="J480" s="368"/>
      <c r="K480" s="367">
        <f t="shared" si="8"/>
        <v>322.03244018888887</v>
      </c>
      <c r="L480" s="367">
        <f>$F480-HLR!AZ11</f>
        <v>285.14355130000001</v>
      </c>
      <c r="M480" s="367">
        <f>IFERROR(HLR!AZ11*HLR!AY11,0)</f>
        <v>110.66666666666663</v>
      </c>
    </row>
    <row r="481" spans="2:13" ht="42.75" customHeight="1" x14ac:dyDescent="0.3">
      <c r="B481" s="4" t="s">
        <v>486</v>
      </c>
      <c r="C481" s="4" t="s">
        <v>480</v>
      </c>
      <c r="D481" s="4" t="s">
        <v>481</v>
      </c>
      <c r="E481" s="5" t="s">
        <v>41</v>
      </c>
      <c r="F481" s="6">
        <f>HLR!BA12</f>
        <v>377.87363713333332</v>
      </c>
      <c r="G481" s="7" t="s">
        <v>190</v>
      </c>
      <c r="H481" s="6">
        <f>HLR!BC12</f>
        <v>457.87363713333332</v>
      </c>
      <c r="I481" s="369">
        <f>HLR!AY12</f>
        <v>2</v>
      </c>
      <c r="J481" s="368"/>
      <c r="K481" s="367">
        <f t="shared" si="8"/>
        <v>377.87363713333332</v>
      </c>
      <c r="L481" s="367">
        <f>$F481-HLR!AZ12</f>
        <v>322.5403038</v>
      </c>
      <c r="M481" s="367">
        <f>IFERROR(HLR!AZ12*HLR!AY12,0)</f>
        <v>110.66666666666663</v>
      </c>
    </row>
    <row r="482" spans="2:13" ht="42.75" customHeight="1" x14ac:dyDescent="0.3">
      <c r="B482" s="4" t="s">
        <v>487</v>
      </c>
      <c r="C482" s="4" t="s">
        <v>480</v>
      </c>
      <c r="D482" s="4" t="s">
        <v>481</v>
      </c>
      <c r="E482" s="5" t="s">
        <v>43</v>
      </c>
      <c r="F482" s="6">
        <f>HLR!BA13</f>
        <v>501.16128016666664</v>
      </c>
      <c r="G482" s="7" t="s">
        <v>190</v>
      </c>
      <c r="H482" s="6">
        <f>HLR!BC13</f>
        <v>581.16128016666664</v>
      </c>
      <c r="I482" s="369">
        <f>HLR!AY13</f>
        <v>2</v>
      </c>
      <c r="J482" s="368"/>
      <c r="K482" s="367">
        <f t="shared" si="8"/>
        <v>501.16128016666664</v>
      </c>
      <c r="L482" s="367">
        <f>$F482-HLR!AZ13</f>
        <v>442.49461350000001</v>
      </c>
      <c r="M482" s="367">
        <f>IFERROR(HLR!AZ13*HLR!AY13,0)</f>
        <v>117.3333333333333</v>
      </c>
    </row>
    <row r="483" spans="2:13" ht="42.75" customHeight="1" x14ac:dyDescent="0.3">
      <c r="B483" s="4" t="s">
        <v>488</v>
      </c>
      <c r="C483" s="4" t="s">
        <v>480</v>
      </c>
      <c r="D483" s="4" t="s">
        <v>481</v>
      </c>
      <c r="E483" s="5" t="s">
        <v>45</v>
      </c>
      <c r="F483" s="6">
        <f>HLR!BA14</f>
        <v>680.63269946666674</v>
      </c>
      <c r="G483" s="7" t="s">
        <v>190</v>
      </c>
      <c r="H483" s="6">
        <f>HLR!BC14</f>
        <v>760.63269946666674</v>
      </c>
      <c r="I483" s="369">
        <f>HLR!AY14</f>
        <v>2</v>
      </c>
      <c r="J483" s="368"/>
      <c r="K483" s="367">
        <f t="shared" si="8"/>
        <v>680.63269946666674</v>
      </c>
      <c r="L483" s="367">
        <f>$F483-HLR!AZ14</f>
        <v>621.96603280000011</v>
      </c>
      <c r="M483" s="367">
        <f>IFERROR(HLR!AZ14*HLR!AY14,0)</f>
        <v>117.3333333333333</v>
      </c>
    </row>
    <row r="484" spans="2:13" ht="42.75" customHeight="1" x14ac:dyDescent="0.3">
      <c r="B484" s="4" t="s">
        <v>489</v>
      </c>
      <c r="C484" s="4" t="s">
        <v>480</v>
      </c>
      <c r="D484" s="4" t="s">
        <v>481</v>
      </c>
      <c r="E484" s="5" t="s">
        <v>47</v>
      </c>
      <c r="F484" s="6">
        <f>HLR!BA15</f>
        <v>969.21682493333321</v>
      </c>
      <c r="G484" s="7" t="s">
        <v>190</v>
      </c>
      <c r="H484" s="6">
        <f>HLR!BC15</f>
        <v>1049.2168249333331</v>
      </c>
      <c r="I484" s="369">
        <f>HLR!AY15</f>
        <v>1</v>
      </c>
      <c r="J484" s="368"/>
      <c r="K484" s="367">
        <f t="shared" si="8"/>
        <v>969.21682493333321</v>
      </c>
      <c r="L484" s="367">
        <f>$F484-HLR!AZ15</f>
        <v>831.88349159999984</v>
      </c>
      <c r="M484" s="367">
        <f>IFERROR(HLR!AZ15*HLR!AY15,0)</f>
        <v>137.33333333333337</v>
      </c>
    </row>
    <row r="485" spans="2:13" ht="42.75" customHeight="1" x14ac:dyDescent="0.3">
      <c r="B485" s="4" t="s">
        <v>490</v>
      </c>
      <c r="C485" s="4" t="s">
        <v>480</v>
      </c>
      <c r="D485" s="4" t="s">
        <v>481</v>
      </c>
      <c r="E485" s="5" t="s">
        <v>222</v>
      </c>
      <c r="F485" s="6">
        <f>HLR!BA16</f>
        <v>1097.2976702333335</v>
      </c>
      <c r="G485" s="7" t="s">
        <v>190</v>
      </c>
      <c r="H485" s="6">
        <f>HLR!BC16</f>
        <v>1177.2976702333335</v>
      </c>
      <c r="I485" s="369">
        <f>HLR!AY16</f>
        <v>1</v>
      </c>
      <c r="J485" s="368"/>
      <c r="K485" s="367">
        <f t="shared" si="8"/>
        <v>1097.2976702333335</v>
      </c>
      <c r="L485" s="367">
        <f>$F485-HLR!AZ16</f>
        <v>959.96433690000015</v>
      </c>
      <c r="M485" s="367">
        <f>IFERROR(HLR!AZ16*HLR!AY16,0)</f>
        <v>137.33333333333337</v>
      </c>
    </row>
    <row r="486" spans="2:13" ht="42.75" customHeight="1" x14ac:dyDescent="0.3">
      <c r="B486" s="4" t="s">
        <v>491</v>
      </c>
      <c r="C486" s="4" t="s">
        <v>480</v>
      </c>
      <c r="D486" s="4" t="s">
        <v>481</v>
      </c>
      <c r="E486" s="5" t="s">
        <v>226</v>
      </c>
      <c r="F486" s="6">
        <f>HLR!BA17</f>
        <v>1495.3779259333332</v>
      </c>
      <c r="G486" s="7" t="s">
        <v>190</v>
      </c>
      <c r="H486" s="6">
        <f>HLR!BC17</f>
        <v>1575.3779259333332</v>
      </c>
      <c r="I486" s="369">
        <f>HLR!AY17</f>
        <v>1</v>
      </c>
      <c r="J486" s="368"/>
      <c r="K486" s="367">
        <f t="shared" si="8"/>
        <v>1495.3779259333332</v>
      </c>
      <c r="L486" s="367">
        <f>$F486-HLR!AZ17</f>
        <v>1358.0445925999998</v>
      </c>
      <c r="M486" s="367">
        <f>IFERROR(HLR!AZ17*HLR!AY17,0)</f>
        <v>137.33333333333337</v>
      </c>
    </row>
    <row r="487" spans="2:13" ht="42.75" customHeight="1" x14ac:dyDescent="0.3">
      <c r="B487" s="4" t="s">
        <v>492</v>
      </c>
      <c r="C487" s="4" t="s">
        <v>480</v>
      </c>
      <c r="D487" s="4" t="s">
        <v>481</v>
      </c>
      <c r="E487" s="5" t="s">
        <v>230</v>
      </c>
      <c r="F487" s="6">
        <f>HLR!BA18</f>
        <v>1914.5842343333334</v>
      </c>
      <c r="G487" s="7" t="s">
        <v>190</v>
      </c>
      <c r="H487" s="6">
        <f>HLR!BC18</f>
        <v>1994.5842343333334</v>
      </c>
      <c r="I487" s="369">
        <f>HLR!AY18</f>
        <v>1</v>
      </c>
      <c r="J487" s="368"/>
      <c r="K487" s="367">
        <f t="shared" ref="K487:K550" si="9">IF(OR($J487="",$J487&lt;=0),$F487,$L487+$M487/$J487)</f>
        <v>1914.5842343333334</v>
      </c>
      <c r="L487" s="367">
        <f>$F487-HLR!AZ18</f>
        <v>1757.2509009999999</v>
      </c>
      <c r="M487" s="367">
        <f>IFERROR(HLR!AZ18*HLR!AY18,0)</f>
        <v>157.33333333333337</v>
      </c>
    </row>
    <row r="488" spans="2:13" ht="42.75" customHeight="1" x14ac:dyDescent="0.3">
      <c r="B488" s="4" t="s">
        <v>493</v>
      </c>
      <c r="C488" s="4" t="s">
        <v>480</v>
      </c>
      <c r="D488" s="4" t="s">
        <v>481</v>
      </c>
      <c r="E488" s="5" t="s">
        <v>234</v>
      </c>
      <c r="F488" s="6">
        <f>HLR!BA19</f>
        <v>2008.5898089</v>
      </c>
      <c r="G488" s="7" t="s">
        <v>190</v>
      </c>
      <c r="H488" s="6">
        <f>HLR!BC19</f>
        <v>2088.5898089000002</v>
      </c>
      <c r="I488" s="369">
        <f>HLR!AY19</f>
        <v>1</v>
      </c>
      <c r="J488" s="368"/>
      <c r="K488" s="367">
        <f t="shared" si="9"/>
        <v>2008.5898089</v>
      </c>
      <c r="L488" s="367">
        <f>$F488-HLR!AZ19</f>
        <v>1804.5898089</v>
      </c>
      <c r="M488" s="367">
        <f>IFERROR(HLR!AZ19*HLR!AY19,0)</f>
        <v>203.99999999999994</v>
      </c>
    </row>
    <row r="489" spans="2:13" ht="42.75" customHeight="1" x14ac:dyDescent="0.3">
      <c r="B489" s="4" t="s">
        <v>494</v>
      </c>
      <c r="C489" s="4" t="s">
        <v>480</v>
      </c>
      <c r="D489" s="4" t="s">
        <v>481</v>
      </c>
      <c r="E489" s="5" t="s">
        <v>238</v>
      </c>
      <c r="F489" s="6">
        <f>HLR!BA20</f>
        <v>2731.6761586333332</v>
      </c>
      <c r="G489" s="7" t="s">
        <v>190</v>
      </c>
      <c r="H489" s="6">
        <f>HLR!BC20</f>
        <v>2811.6761586333332</v>
      </c>
      <c r="I489" s="369">
        <f>HLR!AY20</f>
        <v>1</v>
      </c>
      <c r="J489" s="368"/>
      <c r="K489" s="367">
        <f t="shared" si="9"/>
        <v>2731.6761586333332</v>
      </c>
      <c r="L489" s="367">
        <f>$F489-HLR!AZ20</f>
        <v>2428.3428253000002</v>
      </c>
      <c r="M489" s="367">
        <f>IFERROR(HLR!AZ20*HLR!AY20,0)</f>
        <v>303.33333333333326</v>
      </c>
    </row>
    <row r="490" spans="2:13" ht="42.75" customHeight="1" x14ac:dyDescent="0.3">
      <c r="B490" s="4" t="s">
        <v>495</v>
      </c>
      <c r="C490" s="4" t="s">
        <v>480</v>
      </c>
      <c r="D490" s="4" t="s">
        <v>481</v>
      </c>
      <c r="E490" s="5" t="s">
        <v>242</v>
      </c>
      <c r="F490" s="6">
        <f>HLR!BA21</f>
        <v>2996.7246455333334</v>
      </c>
      <c r="G490" s="7" t="s">
        <v>190</v>
      </c>
      <c r="H490" s="6">
        <f>HLR!BC21</f>
        <v>3076.7246455333334</v>
      </c>
      <c r="I490" s="369">
        <f>HLR!AY21</f>
        <v>1</v>
      </c>
      <c r="J490" s="368"/>
      <c r="K490" s="367">
        <f t="shared" si="9"/>
        <v>2996.7246455333334</v>
      </c>
      <c r="L490" s="367">
        <f>$F490-HLR!AZ21</f>
        <v>2693.3913122000004</v>
      </c>
      <c r="M490" s="367">
        <f>IFERROR(HLR!AZ21*HLR!AY21,0)</f>
        <v>303.33333333333326</v>
      </c>
    </row>
    <row r="491" spans="2:13" ht="42.75" customHeight="1" x14ac:dyDescent="0.3">
      <c r="B491" s="4" t="s">
        <v>496</v>
      </c>
      <c r="C491" s="4" t="s">
        <v>480</v>
      </c>
      <c r="D491" s="4" t="s">
        <v>481</v>
      </c>
      <c r="E491" s="5" t="s">
        <v>246</v>
      </c>
      <c r="F491" s="6">
        <f>HLR!BA22</f>
        <v>3188.9997535333332</v>
      </c>
      <c r="G491" s="7" t="s">
        <v>190</v>
      </c>
      <c r="H491" s="6">
        <f>HLR!BC22</f>
        <v>3268.9997535333332</v>
      </c>
      <c r="I491" s="369">
        <f>HLR!AY22</f>
        <v>1</v>
      </c>
      <c r="J491" s="368"/>
      <c r="K491" s="367">
        <f t="shared" si="9"/>
        <v>3188.9997535333332</v>
      </c>
      <c r="L491" s="367">
        <f>$F491-HLR!AZ22</f>
        <v>2885.6664202000002</v>
      </c>
      <c r="M491" s="367">
        <f>IFERROR(HLR!AZ22*HLR!AY22,0)</f>
        <v>303.33333333333326</v>
      </c>
    </row>
    <row r="492" spans="2:13" ht="42.75" customHeight="1" x14ac:dyDescent="0.3">
      <c r="B492" s="4" t="s">
        <v>497</v>
      </c>
      <c r="C492" s="4" t="s">
        <v>480</v>
      </c>
      <c r="D492" s="4" t="s">
        <v>481</v>
      </c>
      <c r="E492" s="5" t="s">
        <v>250</v>
      </c>
      <c r="F492" s="6">
        <f>HLR!BA23</f>
        <v>4124.0097193333331</v>
      </c>
      <c r="G492" s="7" t="s">
        <v>190</v>
      </c>
      <c r="H492" s="6">
        <f>HLR!BC23</f>
        <v>4204.0097193333331</v>
      </c>
      <c r="I492" s="369">
        <f>HLR!AY23</f>
        <v>1</v>
      </c>
      <c r="J492" s="368"/>
      <c r="K492" s="367">
        <f t="shared" si="9"/>
        <v>4124.0097193333331</v>
      </c>
      <c r="L492" s="367">
        <f>$F492-HLR!AZ23</f>
        <v>3820.6763860000001</v>
      </c>
      <c r="M492" s="367">
        <f>IFERROR(HLR!AZ23*HLR!AY23,0)</f>
        <v>303.33333333333326</v>
      </c>
    </row>
    <row r="493" spans="2:13" ht="42.75" customHeight="1" x14ac:dyDescent="0.3">
      <c r="B493" s="4" t="s">
        <v>498</v>
      </c>
      <c r="C493" s="4" t="s">
        <v>480</v>
      </c>
      <c r="D493" s="4" t="s">
        <v>481</v>
      </c>
      <c r="E493" s="5" t="s">
        <v>254</v>
      </c>
      <c r="F493" s="6">
        <f>HLR!BA24</f>
        <v>4728.5763878333328</v>
      </c>
      <c r="G493" s="7" t="s">
        <v>190</v>
      </c>
      <c r="H493" s="6">
        <f>HLR!BC24</f>
        <v>4808.5763878333328</v>
      </c>
      <c r="I493" s="369">
        <f>HLR!AY24</f>
        <v>1</v>
      </c>
      <c r="J493" s="368"/>
      <c r="K493" s="367">
        <f t="shared" si="9"/>
        <v>4728.5763878333328</v>
      </c>
      <c r="L493" s="367">
        <f>$F493-HLR!AZ24</f>
        <v>4425.2430544999997</v>
      </c>
      <c r="M493" s="367">
        <f>IFERROR(HLR!AZ24*HLR!AY24,0)</f>
        <v>303.33333333333326</v>
      </c>
    </row>
    <row r="494" spans="2:13" ht="42.75" customHeight="1" x14ac:dyDescent="0.3">
      <c r="B494" s="4" t="s">
        <v>499</v>
      </c>
      <c r="C494" s="4" t="s">
        <v>480</v>
      </c>
      <c r="D494" s="4" t="s">
        <v>481</v>
      </c>
      <c r="E494" s="5" t="s">
        <v>258</v>
      </c>
      <c r="F494" s="6">
        <f>HLR!BA25</f>
        <v>5169.5763353333332</v>
      </c>
      <c r="G494" s="7" t="s">
        <v>190</v>
      </c>
      <c r="H494" s="6">
        <f>HLR!BC25</f>
        <v>5249.5763353333332</v>
      </c>
      <c r="I494" s="369">
        <f>HLR!AY25</f>
        <v>1</v>
      </c>
      <c r="J494" s="368"/>
      <c r="K494" s="367">
        <f t="shared" si="9"/>
        <v>5169.5763353333332</v>
      </c>
      <c r="L494" s="367">
        <f>$F494-HLR!AZ25</f>
        <v>4826.2430020000002</v>
      </c>
      <c r="M494" s="367">
        <f>IFERROR(HLR!AZ25*HLR!AY25,0)</f>
        <v>343.33333333333331</v>
      </c>
    </row>
    <row r="495" spans="2:13" ht="42.75" customHeight="1" x14ac:dyDescent="0.3">
      <c r="B495" s="4" t="s">
        <v>500</v>
      </c>
      <c r="C495" s="4" t="s">
        <v>480</v>
      </c>
      <c r="D495" s="4" t="s">
        <v>481</v>
      </c>
      <c r="E495" s="5" t="s">
        <v>262</v>
      </c>
      <c r="F495" s="6">
        <f>HLR!BA26</f>
        <v>5694.3019898333341</v>
      </c>
      <c r="G495" s="7" t="s">
        <v>190</v>
      </c>
      <c r="H495" s="6">
        <f>HLR!BC26</f>
        <v>5774.3019898333341</v>
      </c>
      <c r="I495" s="369">
        <f>HLR!AY26</f>
        <v>1</v>
      </c>
      <c r="J495" s="368"/>
      <c r="K495" s="367">
        <f t="shared" si="9"/>
        <v>5694.3019898333341</v>
      </c>
      <c r="L495" s="367">
        <f>$F495-HLR!AZ26</f>
        <v>5350.9686565000011</v>
      </c>
      <c r="M495" s="367">
        <f>IFERROR(HLR!AZ26*HLR!AY26,0)</f>
        <v>343.33333333333331</v>
      </c>
    </row>
    <row r="496" spans="2:13" ht="42.75" customHeight="1" x14ac:dyDescent="0.3">
      <c r="B496" s="4" t="s">
        <v>501</v>
      </c>
      <c r="C496" s="4" t="s">
        <v>480</v>
      </c>
      <c r="D496" s="4" t="s">
        <v>481</v>
      </c>
      <c r="E496" s="5" t="s">
        <v>266</v>
      </c>
      <c r="F496" s="6">
        <f>HLR!BA27</f>
        <v>6489.734314833333</v>
      </c>
      <c r="G496" s="7" t="s">
        <v>190</v>
      </c>
      <c r="H496" s="6">
        <f>HLR!BC27</f>
        <v>6569.734314833333</v>
      </c>
      <c r="I496" s="369">
        <f>HLR!AY27</f>
        <v>1</v>
      </c>
      <c r="J496" s="368"/>
      <c r="K496" s="367">
        <f t="shared" si="9"/>
        <v>6489.734314833333</v>
      </c>
      <c r="L496" s="367">
        <f>$F496-HLR!AZ27</f>
        <v>6106.4009814999999</v>
      </c>
      <c r="M496" s="367">
        <f>IFERROR(HLR!AZ27*HLR!AY27,0)</f>
        <v>383.33333333333331</v>
      </c>
    </row>
    <row r="497" spans="2:13" ht="42.75" customHeight="1" x14ac:dyDescent="0.3">
      <c r="B497" s="4" t="s">
        <v>502</v>
      </c>
      <c r="C497" s="4" t="s">
        <v>480</v>
      </c>
      <c r="D497" s="4" t="s">
        <v>481</v>
      </c>
      <c r="E497" s="5" t="s">
        <v>270</v>
      </c>
      <c r="F497" s="6">
        <f>HLR!BA28</f>
        <v>6969.4857236666658</v>
      </c>
      <c r="G497" s="7" t="s">
        <v>190</v>
      </c>
      <c r="H497" s="6">
        <f>HLR!BC28</f>
        <v>7049.4857236666658</v>
      </c>
      <c r="I497" s="369">
        <f>HLR!AY28</f>
        <v>1</v>
      </c>
      <c r="J497" s="368"/>
      <c r="K497" s="367">
        <f t="shared" si="9"/>
        <v>6969.4857236666658</v>
      </c>
      <c r="L497" s="367">
        <f>$F497-HLR!AZ28</f>
        <v>6572.8190569999988</v>
      </c>
      <c r="M497" s="367">
        <f>IFERROR(HLR!AZ28*HLR!AY28,0)</f>
        <v>396.66666666666669</v>
      </c>
    </row>
    <row r="498" spans="2:13" ht="42.75" customHeight="1" x14ac:dyDescent="0.3">
      <c r="B498" s="4" t="s">
        <v>503</v>
      </c>
      <c r="C498" s="4" t="s">
        <v>480</v>
      </c>
      <c r="D498" s="4" t="s">
        <v>481</v>
      </c>
      <c r="E498" s="5" t="s">
        <v>274</v>
      </c>
      <c r="F498" s="6">
        <f>HLR!BA29</f>
        <v>7711.9801867666674</v>
      </c>
      <c r="G498" s="7" t="s">
        <v>190</v>
      </c>
      <c r="H498" s="6">
        <f>HLR!BC29</f>
        <v>7791.9801867666674</v>
      </c>
      <c r="I498" s="369">
        <f>HLR!AY29</f>
        <v>1</v>
      </c>
      <c r="J498" s="368"/>
      <c r="K498" s="367">
        <f t="shared" si="9"/>
        <v>7711.9801867666674</v>
      </c>
      <c r="L498" s="367">
        <f>$F498-HLR!AZ29</f>
        <v>7315.3135201000005</v>
      </c>
      <c r="M498" s="367">
        <f>IFERROR(HLR!AZ29*HLR!AY29,0)</f>
        <v>396.66666666666669</v>
      </c>
    </row>
    <row r="499" spans="2:13" ht="42.75" customHeight="1" x14ac:dyDescent="0.3">
      <c r="B499" s="4" t="s">
        <v>504</v>
      </c>
      <c r="C499" s="4" t="s">
        <v>480</v>
      </c>
      <c r="D499" s="4" t="s">
        <v>481</v>
      </c>
      <c r="E499" s="5" t="s">
        <v>278</v>
      </c>
      <c r="F499" s="6">
        <f>HLR!BA30</f>
        <v>8915.0051336666675</v>
      </c>
      <c r="G499" s="7" t="s">
        <v>190</v>
      </c>
      <c r="H499" s="6">
        <f>HLR!BC30</f>
        <v>8995.0051336666675</v>
      </c>
      <c r="I499" s="369">
        <f>HLR!AY30</f>
        <v>1</v>
      </c>
      <c r="J499" s="368"/>
      <c r="K499" s="367">
        <f t="shared" si="9"/>
        <v>8915.0051336666675</v>
      </c>
      <c r="L499" s="367">
        <f>$F499-HLR!AZ30</f>
        <v>8518.3384670000014</v>
      </c>
      <c r="M499" s="367">
        <f>IFERROR(HLR!AZ30*HLR!AY30,0)</f>
        <v>396.66666666666669</v>
      </c>
    </row>
    <row r="500" spans="2:13" ht="42.75" customHeight="1" x14ac:dyDescent="0.3">
      <c r="B500" s="4" t="s">
        <v>505</v>
      </c>
      <c r="C500" s="4" t="s">
        <v>480</v>
      </c>
      <c r="D500" s="4" t="s">
        <v>506</v>
      </c>
      <c r="E500" s="5" t="s">
        <v>196</v>
      </c>
      <c r="F500" s="6">
        <f>HLR!BA31</f>
        <v>57.822806033333322</v>
      </c>
      <c r="G500" s="7" t="s">
        <v>190</v>
      </c>
      <c r="H500" s="6">
        <f>HLR!BC31</f>
        <v>137.82280603333334</v>
      </c>
      <c r="I500" s="369">
        <f>HLR!AY31</f>
        <v>4</v>
      </c>
      <c r="J500" s="368"/>
      <c r="K500" s="367">
        <f t="shared" si="9"/>
        <v>57.822806033333322</v>
      </c>
      <c r="L500" s="367">
        <f>$F500-HLR!AZ31</f>
        <v>25.989472699999993</v>
      </c>
      <c r="M500" s="367">
        <f>IFERROR(HLR!AZ31*HLR!AY31,0)</f>
        <v>127.33333333333331</v>
      </c>
    </row>
    <row r="501" spans="2:13" ht="42.75" customHeight="1" x14ac:dyDescent="0.3">
      <c r="B501" s="4" t="s">
        <v>507</v>
      </c>
      <c r="C501" s="4" t="s">
        <v>480</v>
      </c>
      <c r="D501" s="4" t="s">
        <v>506</v>
      </c>
      <c r="E501" s="5" t="s">
        <v>200</v>
      </c>
      <c r="F501" s="6">
        <f>HLR!BA32</f>
        <v>79.711737333333332</v>
      </c>
      <c r="G501" s="7" t="s">
        <v>190</v>
      </c>
      <c r="H501" s="6">
        <f>HLR!BC32</f>
        <v>159.71173733333333</v>
      </c>
      <c r="I501" s="369">
        <f>HLR!AY32</f>
        <v>4</v>
      </c>
      <c r="J501" s="368"/>
      <c r="K501" s="367">
        <f t="shared" si="9"/>
        <v>79.711737333333332</v>
      </c>
      <c r="L501" s="367">
        <f>$F501-HLR!AZ32</f>
        <v>47.878404000000003</v>
      </c>
      <c r="M501" s="367">
        <f>IFERROR(HLR!AZ32*HLR!AY32,0)</f>
        <v>127.33333333333331</v>
      </c>
    </row>
    <row r="502" spans="2:13" ht="42.75" customHeight="1" x14ac:dyDescent="0.3">
      <c r="B502" s="4" t="s">
        <v>508</v>
      </c>
      <c r="C502" s="4" t="s">
        <v>480</v>
      </c>
      <c r="D502" s="4" t="s">
        <v>506</v>
      </c>
      <c r="E502" s="5" t="s">
        <v>185</v>
      </c>
      <c r="F502" s="6">
        <f>HLR!BA33</f>
        <v>130.75166074444445</v>
      </c>
      <c r="G502" s="7" t="s">
        <v>190</v>
      </c>
      <c r="H502" s="6">
        <f>HLR!BC33</f>
        <v>210.75166074444445</v>
      </c>
      <c r="I502" s="369">
        <f>HLR!AY33</f>
        <v>3</v>
      </c>
      <c r="J502" s="368"/>
      <c r="K502" s="367">
        <f t="shared" si="9"/>
        <v>130.75166074444445</v>
      </c>
      <c r="L502" s="367">
        <f>$F502-HLR!AZ33</f>
        <v>88.307216300000022</v>
      </c>
      <c r="M502" s="367">
        <f>IFERROR(HLR!AZ33*HLR!AY33,0)</f>
        <v>127.33333333333331</v>
      </c>
    </row>
    <row r="503" spans="2:13" ht="42.75" customHeight="1" x14ac:dyDescent="0.3">
      <c r="B503" s="4" t="s">
        <v>509</v>
      </c>
      <c r="C503" s="4" t="s">
        <v>480</v>
      </c>
      <c r="D503" s="4" t="s">
        <v>506</v>
      </c>
      <c r="E503" s="5" t="s">
        <v>39</v>
      </c>
      <c r="F503" s="6">
        <f>HLR!BA34</f>
        <v>231.90711694444443</v>
      </c>
      <c r="G503" s="7" t="s">
        <v>190</v>
      </c>
      <c r="H503" s="6">
        <f>HLR!BC34</f>
        <v>311.9071169444444</v>
      </c>
      <c r="I503" s="369">
        <f>HLR!AY34</f>
        <v>3</v>
      </c>
      <c r="J503" s="368"/>
      <c r="K503" s="367">
        <f t="shared" si="9"/>
        <v>231.90711694444443</v>
      </c>
      <c r="L503" s="367">
        <f>$F503-HLR!AZ34</f>
        <v>189.4626725</v>
      </c>
      <c r="M503" s="367">
        <f>IFERROR(HLR!AZ34*HLR!AY34,0)</f>
        <v>127.33333333333331</v>
      </c>
    </row>
    <row r="504" spans="2:13" ht="42.75" customHeight="1" x14ac:dyDescent="0.3">
      <c r="B504" s="4" t="s">
        <v>510</v>
      </c>
      <c r="C504" s="4" t="s">
        <v>480</v>
      </c>
      <c r="D504" s="4" t="s">
        <v>506</v>
      </c>
      <c r="E504" s="5" t="s">
        <v>300</v>
      </c>
      <c r="F504" s="6">
        <f>HLR!BA35</f>
        <v>327.61559018888886</v>
      </c>
      <c r="G504" s="7" t="s">
        <v>190</v>
      </c>
      <c r="H504" s="6">
        <f>HLR!BC35</f>
        <v>407.61559018888886</v>
      </c>
      <c r="I504" s="369">
        <f>HLR!AY35</f>
        <v>3</v>
      </c>
      <c r="J504" s="368"/>
      <c r="K504" s="367">
        <f t="shared" si="9"/>
        <v>327.61559018888886</v>
      </c>
      <c r="L504" s="367">
        <f>$F504-HLR!AZ35</f>
        <v>290.7267013</v>
      </c>
      <c r="M504" s="367">
        <f>IFERROR(HLR!AZ35*HLR!AY35,0)</f>
        <v>110.66666666666663</v>
      </c>
    </row>
    <row r="505" spans="2:13" ht="42.75" customHeight="1" x14ac:dyDescent="0.3">
      <c r="B505" s="4" t="s">
        <v>511</v>
      </c>
      <c r="C505" s="4" t="s">
        <v>480</v>
      </c>
      <c r="D505" s="4" t="s">
        <v>506</v>
      </c>
      <c r="E505" s="5" t="s">
        <v>41</v>
      </c>
      <c r="F505" s="6">
        <f>HLR!BA36</f>
        <v>386.23856713333333</v>
      </c>
      <c r="G505" s="7" t="s">
        <v>190</v>
      </c>
      <c r="H505" s="6">
        <f>HLR!BC36</f>
        <v>466.23856713333333</v>
      </c>
      <c r="I505" s="369">
        <f>HLR!AY36</f>
        <v>2</v>
      </c>
      <c r="J505" s="368"/>
      <c r="K505" s="367">
        <f t="shared" si="9"/>
        <v>386.23856713333333</v>
      </c>
      <c r="L505" s="367">
        <f>$F505-HLR!AZ36</f>
        <v>330.90523380000002</v>
      </c>
      <c r="M505" s="367">
        <f>IFERROR(HLR!AZ36*HLR!AY36,0)</f>
        <v>110.66666666666663</v>
      </c>
    </row>
    <row r="506" spans="2:13" ht="42.75" customHeight="1" x14ac:dyDescent="0.3">
      <c r="B506" s="4" t="s">
        <v>512</v>
      </c>
      <c r="C506" s="4" t="s">
        <v>480</v>
      </c>
      <c r="D506" s="4" t="s">
        <v>506</v>
      </c>
      <c r="E506" s="5" t="s">
        <v>43</v>
      </c>
      <c r="F506" s="6">
        <f>HLR!BA37</f>
        <v>516.99000016666662</v>
      </c>
      <c r="G506" s="7" t="s">
        <v>190</v>
      </c>
      <c r="H506" s="6">
        <f>HLR!BC37</f>
        <v>596.99000016666662</v>
      </c>
      <c r="I506" s="369">
        <f>HLR!AY37</f>
        <v>2</v>
      </c>
      <c r="J506" s="368"/>
      <c r="K506" s="367">
        <f t="shared" si="9"/>
        <v>516.99000016666662</v>
      </c>
      <c r="L506" s="367">
        <f>$F506-HLR!AZ37</f>
        <v>458.32333349999999</v>
      </c>
      <c r="M506" s="367">
        <f>IFERROR(HLR!AZ37*HLR!AY37,0)</f>
        <v>117.3333333333333</v>
      </c>
    </row>
    <row r="507" spans="2:13" ht="42.75" customHeight="1" x14ac:dyDescent="0.3">
      <c r="B507" s="4" t="s">
        <v>513</v>
      </c>
      <c r="C507" s="4" t="s">
        <v>480</v>
      </c>
      <c r="D507" s="4" t="s">
        <v>506</v>
      </c>
      <c r="E507" s="5" t="s">
        <v>45</v>
      </c>
      <c r="F507" s="6">
        <f>HLR!BA38</f>
        <v>706.68739946666676</v>
      </c>
      <c r="G507" s="7" t="s">
        <v>190</v>
      </c>
      <c r="H507" s="6">
        <f>HLR!BC38</f>
        <v>786.68739946666676</v>
      </c>
      <c r="I507" s="369">
        <f>HLR!AY38</f>
        <v>2</v>
      </c>
      <c r="J507" s="368"/>
      <c r="K507" s="367">
        <f t="shared" si="9"/>
        <v>706.68739946666676</v>
      </c>
      <c r="L507" s="367">
        <f>$F507-HLR!AZ38</f>
        <v>648.02073280000013</v>
      </c>
      <c r="M507" s="367">
        <f>IFERROR(HLR!AZ38*HLR!AY38,0)</f>
        <v>117.3333333333333</v>
      </c>
    </row>
    <row r="508" spans="2:13" ht="42.75" customHeight="1" x14ac:dyDescent="0.3">
      <c r="B508" s="4" t="s">
        <v>514</v>
      </c>
      <c r="C508" s="4" t="s">
        <v>480</v>
      </c>
      <c r="D508" s="4" t="s">
        <v>506</v>
      </c>
      <c r="E508" s="5" t="s">
        <v>47</v>
      </c>
      <c r="F508" s="6">
        <f>HLR!BA39</f>
        <v>1005.9480749333331</v>
      </c>
      <c r="G508" s="7" t="s">
        <v>190</v>
      </c>
      <c r="H508" s="6">
        <f>HLR!BC39</f>
        <v>1085.9480749333331</v>
      </c>
      <c r="I508" s="369">
        <f>HLR!AY39</f>
        <v>1</v>
      </c>
      <c r="J508" s="368"/>
      <c r="K508" s="367">
        <f t="shared" si="9"/>
        <v>1005.9480749333331</v>
      </c>
      <c r="L508" s="367">
        <f>$F508-HLR!AZ39</f>
        <v>868.61474159999977</v>
      </c>
      <c r="M508" s="367">
        <f>IFERROR(HLR!AZ39*HLR!AY39,0)</f>
        <v>137.33333333333337</v>
      </c>
    </row>
    <row r="509" spans="2:13" ht="42.75" customHeight="1" x14ac:dyDescent="0.3">
      <c r="B509" s="4" t="s">
        <v>515</v>
      </c>
      <c r="C509" s="4" t="s">
        <v>480</v>
      </c>
      <c r="D509" s="4" t="s">
        <v>506</v>
      </c>
      <c r="E509" s="5" t="s">
        <v>222</v>
      </c>
      <c r="F509" s="6">
        <f>HLR!BA40</f>
        <v>1147.2521702333333</v>
      </c>
      <c r="G509" s="7" t="s">
        <v>190</v>
      </c>
      <c r="H509" s="6">
        <f>HLR!BC40</f>
        <v>1227.2521702333333</v>
      </c>
      <c r="I509" s="369">
        <f>HLR!AY40</f>
        <v>1</v>
      </c>
      <c r="J509" s="368"/>
      <c r="K509" s="367">
        <f t="shared" si="9"/>
        <v>1147.2521702333333</v>
      </c>
      <c r="L509" s="367">
        <f>$F509-HLR!AZ40</f>
        <v>1009.9188369</v>
      </c>
      <c r="M509" s="367">
        <f>IFERROR(HLR!AZ40*HLR!AY40,0)</f>
        <v>137.33333333333337</v>
      </c>
    </row>
    <row r="510" spans="2:13" ht="42.75" customHeight="1" x14ac:dyDescent="0.3">
      <c r="B510" s="4" t="s">
        <v>516</v>
      </c>
      <c r="C510" s="4" t="s">
        <v>480</v>
      </c>
      <c r="D510" s="4" t="s">
        <v>506</v>
      </c>
      <c r="E510" s="5" t="s">
        <v>226</v>
      </c>
      <c r="F510" s="6">
        <f>HLR!BA41</f>
        <v>1593.563005933333</v>
      </c>
      <c r="G510" s="7" t="s">
        <v>190</v>
      </c>
      <c r="H510" s="6">
        <f>HLR!BC41</f>
        <v>1673.563005933333</v>
      </c>
      <c r="I510" s="369">
        <f>HLR!AY41</f>
        <v>1</v>
      </c>
      <c r="J510" s="368"/>
      <c r="K510" s="367">
        <f t="shared" si="9"/>
        <v>1593.563005933333</v>
      </c>
      <c r="L510" s="367">
        <f>$F510-HLR!AZ41</f>
        <v>1456.2296725999995</v>
      </c>
      <c r="M510" s="367">
        <f>IFERROR(HLR!AZ41*HLR!AY41,0)</f>
        <v>137.33333333333337</v>
      </c>
    </row>
    <row r="511" spans="2:13" ht="42.75" customHeight="1" x14ac:dyDescent="0.3">
      <c r="B511" s="4" t="s">
        <v>517</v>
      </c>
      <c r="C511" s="4" t="s">
        <v>480</v>
      </c>
      <c r="D511" s="4" t="s">
        <v>506</v>
      </c>
      <c r="E511" s="5" t="s">
        <v>230</v>
      </c>
      <c r="F511" s="6">
        <f>HLR!BA42</f>
        <v>2024.2882343333335</v>
      </c>
      <c r="G511" s="7" t="s">
        <v>190</v>
      </c>
      <c r="H511" s="6">
        <f>HLR!BC42</f>
        <v>2104.2882343333335</v>
      </c>
      <c r="I511" s="369">
        <f>HLR!AY42</f>
        <v>1</v>
      </c>
      <c r="J511" s="368"/>
      <c r="K511" s="367">
        <f t="shared" si="9"/>
        <v>2024.2882343333335</v>
      </c>
      <c r="L511" s="367">
        <f>$F511-HLR!AZ42</f>
        <v>1866.9549010000001</v>
      </c>
      <c r="M511" s="367">
        <f>IFERROR(HLR!AZ42*HLR!AY42,0)</f>
        <v>157.33333333333337</v>
      </c>
    </row>
    <row r="512" spans="2:13" ht="42.75" customHeight="1" x14ac:dyDescent="0.3">
      <c r="B512" s="4" t="s">
        <v>518</v>
      </c>
      <c r="C512" s="4" t="s">
        <v>480</v>
      </c>
      <c r="D512" s="4" t="s">
        <v>506</v>
      </c>
      <c r="E512" s="5" t="s">
        <v>234</v>
      </c>
      <c r="F512" s="6">
        <f>HLR!BA43</f>
        <v>2155.5148088999995</v>
      </c>
      <c r="G512" s="7" t="s">
        <v>190</v>
      </c>
      <c r="H512" s="6">
        <f>HLR!BC43</f>
        <v>2235.5148088999995</v>
      </c>
      <c r="I512" s="369">
        <f>HLR!AY43</f>
        <v>1</v>
      </c>
      <c r="J512" s="368"/>
      <c r="K512" s="367">
        <f t="shared" si="9"/>
        <v>2155.5148088999995</v>
      </c>
      <c r="L512" s="367">
        <f>$F512-HLR!AZ43</f>
        <v>1951.5148088999995</v>
      </c>
      <c r="M512" s="367">
        <f>IFERROR(HLR!AZ43*HLR!AY43,0)</f>
        <v>203.99999999999994</v>
      </c>
    </row>
    <row r="513" spans="2:13" ht="42.75" customHeight="1" x14ac:dyDescent="0.3">
      <c r="B513" s="4" t="s">
        <v>519</v>
      </c>
      <c r="C513" s="4" t="s">
        <v>480</v>
      </c>
      <c r="D513" s="4" t="s">
        <v>506</v>
      </c>
      <c r="E513" s="5" t="s">
        <v>238</v>
      </c>
      <c r="F513" s="6">
        <f>HLR!BA44</f>
        <v>2941.2891586333335</v>
      </c>
      <c r="G513" s="7" t="s">
        <v>190</v>
      </c>
      <c r="H513" s="6">
        <f>HLR!BC44</f>
        <v>3021.2891586333335</v>
      </c>
      <c r="I513" s="369">
        <f>HLR!AY44</f>
        <v>1</v>
      </c>
      <c r="J513" s="368"/>
      <c r="K513" s="367">
        <f t="shared" si="9"/>
        <v>2941.2891586333335</v>
      </c>
      <c r="L513" s="367">
        <f>$F513-HLR!AZ44</f>
        <v>2637.9558253000005</v>
      </c>
      <c r="M513" s="367">
        <f>IFERROR(HLR!AZ44*HLR!AY44,0)</f>
        <v>303.33333333333326</v>
      </c>
    </row>
    <row r="514" spans="2:13" ht="42.75" customHeight="1" x14ac:dyDescent="0.3">
      <c r="B514" s="4" t="s">
        <v>520</v>
      </c>
      <c r="C514" s="4" t="s">
        <v>480</v>
      </c>
      <c r="D514" s="4" t="s">
        <v>506</v>
      </c>
      <c r="E514" s="5" t="s">
        <v>242</v>
      </c>
      <c r="F514" s="6">
        <f>HLR!BA45</f>
        <v>3331.713645533333</v>
      </c>
      <c r="G514" s="7" t="s">
        <v>190</v>
      </c>
      <c r="H514" s="6">
        <f>HLR!BC45</f>
        <v>3411.713645533333</v>
      </c>
      <c r="I514" s="369">
        <f>HLR!AY45</f>
        <v>1</v>
      </c>
      <c r="J514" s="368"/>
      <c r="K514" s="367">
        <f t="shared" si="9"/>
        <v>3331.713645533333</v>
      </c>
      <c r="L514" s="367">
        <f>$F514-HLR!AZ45</f>
        <v>3028.3803121999999</v>
      </c>
      <c r="M514" s="367">
        <f>IFERROR(HLR!AZ45*HLR!AY45,0)</f>
        <v>303.33333333333326</v>
      </c>
    </row>
    <row r="515" spans="2:13" ht="42.75" customHeight="1" x14ac:dyDescent="0.3">
      <c r="B515" s="4" t="s">
        <v>521</v>
      </c>
      <c r="C515" s="4" t="s">
        <v>480</v>
      </c>
      <c r="D515" s="4" t="s">
        <v>506</v>
      </c>
      <c r="E515" s="5" t="s">
        <v>246</v>
      </c>
      <c r="F515" s="6">
        <f>HLR!BA46</f>
        <v>3736.5402535333333</v>
      </c>
      <c r="G515" s="7" t="s">
        <v>190</v>
      </c>
      <c r="H515" s="6">
        <f>HLR!BC46</f>
        <v>3816.5402535333333</v>
      </c>
      <c r="I515" s="369">
        <f>HLR!AY46</f>
        <v>1</v>
      </c>
      <c r="J515" s="368"/>
      <c r="K515" s="367">
        <f t="shared" si="9"/>
        <v>3736.5402535333333</v>
      </c>
      <c r="L515" s="367">
        <f>$F515-HLR!AZ46</f>
        <v>3433.2069202000002</v>
      </c>
      <c r="M515" s="367">
        <f>IFERROR(HLR!AZ46*HLR!AY46,0)</f>
        <v>303.33333333333326</v>
      </c>
    </row>
    <row r="516" spans="2:13" ht="42.75" customHeight="1" x14ac:dyDescent="0.3">
      <c r="B516" s="4" t="s">
        <v>522</v>
      </c>
      <c r="C516" s="4" t="s">
        <v>480</v>
      </c>
      <c r="D516" s="4" t="s">
        <v>506</v>
      </c>
      <c r="E516" s="5" t="s">
        <v>250</v>
      </c>
      <c r="F516" s="6">
        <f>HLR!BA47</f>
        <v>4549.1127193333323</v>
      </c>
      <c r="G516" s="7" t="s">
        <v>190</v>
      </c>
      <c r="H516" s="6">
        <f>HLR!BC47</f>
        <v>4629.1127193333323</v>
      </c>
      <c r="I516" s="369">
        <f>HLR!AY47</f>
        <v>1</v>
      </c>
      <c r="J516" s="368"/>
      <c r="K516" s="367">
        <f t="shared" si="9"/>
        <v>4549.1127193333323</v>
      </c>
      <c r="L516" s="367">
        <f>$F516-HLR!AZ47</f>
        <v>4245.7793859999992</v>
      </c>
      <c r="M516" s="367">
        <f>IFERROR(HLR!AZ47*HLR!AY47,0)</f>
        <v>303.33333333333326</v>
      </c>
    </row>
    <row r="517" spans="2:13" ht="42.75" customHeight="1" x14ac:dyDescent="0.3">
      <c r="B517" s="4" t="s">
        <v>523</v>
      </c>
      <c r="C517" s="4" t="s">
        <v>480</v>
      </c>
      <c r="D517" s="4" t="s">
        <v>506</v>
      </c>
      <c r="E517" s="5" t="s">
        <v>254</v>
      </c>
      <c r="F517" s="6">
        <f>HLR!BA48</f>
        <v>4987.1643878333325</v>
      </c>
      <c r="G517" s="7" t="s">
        <v>190</v>
      </c>
      <c r="H517" s="6">
        <f>HLR!BC48</f>
        <v>5067.1643878333325</v>
      </c>
      <c r="I517" s="369">
        <f>HLR!AY48</f>
        <v>1</v>
      </c>
      <c r="J517" s="368"/>
      <c r="K517" s="367">
        <f t="shared" si="9"/>
        <v>4987.1643878333325</v>
      </c>
      <c r="L517" s="367">
        <f>$F517-HLR!AZ48</f>
        <v>4683.8310544999995</v>
      </c>
      <c r="M517" s="367">
        <f>IFERROR(HLR!AZ48*HLR!AY48,0)</f>
        <v>303.33333333333326</v>
      </c>
    </row>
    <row r="518" spans="2:13" ht="42.75" customHeight="1" x14ac:dyDescent="0.3">
      <c r="B518" s="4" t="s">
        <v>524</v>
      </c>
      <c r="C518" s="4" t="s">
        <v>480</v>
      </c>
      <c r="D518" s="4" t="s">
        <v>506</v>
      </c>
      <c r="E518" s="5" t="s">
        <v>258</v>
      </c>
      <c r="F518" s="6">
        <f>HLR!BA49</f>
        <v>5840.5338353333327</v>
      </c>
      <c r="G518" s="7" t="s">
        <v>190</v>
      </c>
      <c r="H518" s="6">
        <f>HLR!BC49</f>
        <v>5920.5338353333327</v>
      </c>
      <c r="I518" s="369">
        <f>HLR!AY49</f>
        <v>1</v>
      </c>
      <c r="J518" s="368"/>
      <c r="K518" s="367">
        <f t="shared" si="9"/>
        <v>5840.5338353333327</v>
      </c>
      <c r="L518" s="367">
        <f>$F518-HLR!AZ49</f>
        <v>5497.2005019999997</v>
      </c>
      <c r="M518" s="367">
        <f>IFERROR(HLR!AZ49*HLR!AY49,0)</f>
        <v>343.33333333333331</v>
      </c>
    </row>
    <row r="519" spans="2:13" ht="42.75" customHeight="1" x14ac:dyDescent="0.3">
      <c r="B519" s="4" t="s">
        <v>525</v>
      </c>
      <c r="C519" s="4" t="s">
        <v>480</v>
      </c>
      <c r="D519" s="4" t="s">
        <v>506</v>
      </c>
      <c r="E519" s="5" t="s">
        <v>262</v>
      </c>
      <c r="F519" s="6">
        <f>HLR!BA50</f>
        <v>6575.8519898333334</v>
      </c>
      <c r="G519" s="7" t="s">
        <v>190</v>
      </c>
      <c r="H519" s="6">
        <f>HLR!BC50</f>
        <v>6655.8519898333334</v>
      </c>
      <c r="I519" s="369">
        <f>HLR!AY50</f>
        <v>1</v>
      </c>
      <c r="J519" s="368"/>
      <c r="K519" s="367">
        <f t="shared" si="9"/>
        <v>6575.8519898333334</v>
      </c>
      <c r="L519" s="367">
        <f>$F519-HLR!AZ50</f>
        <v>6232.5186565000004</v>
      </c>
      <c r="M519" s="367">
        <f>IFERROR(HLR!AZ50*HLR!AY50,0)</f>
        <v>343.33333333333331</v>
      </c>
    </row>
    <row r="520" spans="2:13" ht="42.75" customHeight="1" x14ac:dyDescent="0.3">
      <c r="B520" s="4" t="s">
        <v>526</v>
      </c>
      <c r="C520" s="4" t="s">
        <v>480</v>
      </c>
      <c r="D520" s="4" t="s">
        <v>506</v>
      </c>
      <c r="E520" s="5" t="s">
        <v>266</v>
      </c>
      <c r="F520" s="6">
        <f>HLR!BA51</f>
        <v>7508.4143148333342</v>
      </c>
      <c r="G520" s="7" t="s">
        <v>190</v>
      </c>
      <c r="H520" s="6">
        <f>HLR!BC51</f>
        <v>7588.4143148333342</v>
      </c>
      <c r="I520" s="369">
        <f>HLR!AY51</f>
        <v>1</v>
      </c>
      <c r="J520" s="368"/>
      <c r="K520" s="367">
        <f t="shared" si="9"/>
        <v>7508.4143148333342</v>
      </c>
      <c r="L520" s="367">
        <f>$F520-HLR!AZ51</f>
        <v>7125.0809815000011</v>
      </c>
      <c r="M520" s="367">
        <f>IFERROR(HLR!AZ51*HLR!AY51,0)</f>
        <v>383.33333333333331</v>
      </c>
    </row>
    <row r="521" spans="2:13" ht="42.75" customHeight="1" x14ac:dyDescent="0.3">
      <c r="B521" s="4" t="s">
        <v>527</v>
      </c>
      <c r="C521" s="4" t="s">
        <v>480</v>
      </c>
      <c r="D521" s="4" t="s">
        <v>506</v>
      </c>
      <c r="E521" s="5" t="s">
        <v>270</v>
      </c>
      <c r="F521" s="6">
        <f>HLR!BA52</f>
        <v>7988.1657236666651</v>
      </c>
      <c r="G521" s="7" t="s">
        <v>190</v>
      </c>
      <c r="H521" s="6">
        <f>HLR!BC52</f>
        <v>8068.1657236666651</v>
      </c>
      <c r="I521" s="369">
        <f>HLR!AY52</f>
        <v>1</v>
      </c>
      <c r="J521" s="368"/>
      <c r="K521" s="367">
        <f t="shared" si="9"/>
        <v>7988.1657236666651</v>
      </c>
      <c r="L521" s="367">
        <f>$F521-HLR!AZ52</f>
        <v>7591.4990569999982</v>
      </c>
      <c r="M521" s="367">
        <f>IFERROR(HLR!AZ52*HLR!AY52,0)</f>
        <v>396.66666666666669</v>
      </c>
    </row>
    <row r="522" spans="2:13" ht="42.75" customHeight="1" x14ac:dyDescent="0.3">
      <c r="B522" s="4" t="s">
        <v>528</v>
      </c>
      <c r="C522" s="4" t="s">
        <v>480</v>
      </c>
      <c r="D522" s="4" t="s">
        <v>506</v>
      </c>
      <c r="E522" s="5" t="s">
        <v>274</v>
      </c>
      <c r="F522" s="6">
        <f>HLR!BA53</f>
        <v>8760.0451867666652</v>
      </c>
      <c r="G522" s="7" t="s">
        <v>190</v>
      </c>
      <c r="H522" s="6">
        <f>HLR!BC53</f>
        <v>8840.0451867666652</v>
      </c>
      <c r="I522" s="369">
        <f>HLR!AY53</f>
        <v>1</v>
      </c>
      <c r="J522" s="368"/>
      <c r="K522" s="367">
        <f t="shared" si="9"/>
        <v>8760.0451867666652</v>
      </c>
      <c r="L522" s="367">
        <f>$F522-HLR!AZ53</f>
        <v>8363.3785200999992</v>
      </c>
      <c r="M522" s="367">
        <f>IFERROR(HLR!AZ53*HLR!AY53,0)</f>
        <v>396.66666666666669</v>
      </c>
    </row>
    <row r="523" spans="2:13" ht="42.75" customHeight="1" x14ac:dyDescent="0.3">
      <c r="B523" s="4" t="s">
        <v>529</v>
      </c>
      <c r="C523" s="4" t="s">
        <v>480</v>
      </c>
      <c r="D523" s="4" t="s">
        <v>506</v>
      </c>
      <c r="E523" s="5" t="s">
        <v>278</v>
      </c>
      <c r="F523" s="6">
        <f>HLR!BA54</f>
        <v>10139.380133666666</v>
      </c>
      <c r="G523" s="7" t="s">
        <v>190</v>
      </c>
      <c r="H523" s="6">
        <f>HLR!BC54</f>
        <v>10219.380133666666</v>
      </c>
      <c r="I523" s="369">
        <f>HLR!AY54</f>
        <v>1</v>
      </c>
      <c r="J523" s="368"/>
      <c r="K523" s="367">
        <f t="shared" si="9"/>
        <v>10139.380133666666</v>
      </c>
      <c r="L523" s="367">
        <f>$F523-HLR!AZ54</f>
        <v>9742.7134669999996</v>
      </c>
      <c r="M523" s="367">
        <f>IFERROR(HLR!AZ54*HLR!AY54,0)</f>
        <v>396.66666666666669</v>
      </c>
    </row>
    <row r="524" spans="2:13" ht="42.75" customHeight="1" x14ac:dyDescent="0.3">
      <c r="B524" s="4" t="s">
        <v>530</v>
      </c>
      <c r="C524" s="4" t="s">
        <v>531</v>
      </c>
      <c r="D524" s="4" t="s">
        <v>532</v>
      </c>
      <c r="E524" s="5" t="s">
        <v>196</v>
      </c>
      <c r="F524" s="6">
        <f>'HLR X'!BA7</f>
        <v>81.39355603333334</v>
      </c>
      <c r="G524" s="7" t="s">
        <v>190</v>
      </c>
      <c r="H524" s="6">
        <f>'HLR X'!BX7</f>
        <v>161.39355603333334</v>
      </c>
      <c r="I524" s="369">
        <f>'HLR X'!AY7</f>
        <v>4</v>
      </c>
      <c r="J524" s="368"/>
      <c r="K524" s="367">
        <f t="shared" si="9"/>
        <v>81.39355603333334</v>
      </c>
      <c r="L524" s="367">
        <f>$F524-'HLR X'!AZ7</f>
        <v>44.560222700000004</v>
      </c>
      <c r="M524" s="367">
        <f>IFERROR('HLR X'!AZ7*'HLR X'!AY7,0)</f>
        <v>147.33333333333334</v>
      </c>
    </row>
    <row r="525" spans="2:13" ht="42.75" customHeight="1" x14ac:dyDescent="0.3">
      <c r="B525" s="4" t="s">
        <v>533</v>
      </c>
      <c r="C525" s="4" t="s">
        <v>531</v>
      </c>
      <c r="D525" s="4" t="s">
        <v>532</v>
      </c>
      <c r="E525" s="5" t="s">
        <v>200</v>
      </c>
      <c r="F525" s="6">
        <f>'HLR X'!BA8</f>
        <v>121.64818733333331</v>
      </c>
      <c r="G525" s="7" t="s">
        <v>190</v>
      </c>
      <c r="H525" s="6">
        <f>'HLR X'!BX8</f>
        <v>201.64818733333331</v>
      </c>
      <c r="I525" s="369">
        <f>'HLR X'!AY8</f>
        <v>4</v>
      </c>
      <c r="J525" s="368"/>
      <c r="K525" s="367">
        <f t="shared" si="9"/>
        <v>121.64818733333331</v>
      </c>
      <c r="L525" s="367">
        <f>$F525-'HLR X'!AZ8</f>
        <v>84.814853999999968</v>
      </c>
      <c r="M525" s="367">
        <f>IFERROR('HLR X'!AZ8*'HLR X'!AY8,0)</f>
        <v>147.33333333333334</v>
      </c>
    </row>
    <row r="526" spans="2:13" ht="42.75" customHeight="1" x14ac:dyDescent="0.3">
      <c r="B526" s="4" t="s">
        <v>534</v>
      </c>
      <c r="C526" s="4" t="s">
        <v>531</v>
      </c>
      <c r="D526" s="4" t="s">
        <v>532</v>
      </c>
      <c r="E526" s="5" t="s">
        <v>185</v>
      </c>
      <c r="F526" s="6">
        <f>'HLR X'!BA9</f>
        <v>207.03402852222223</v>
      </c>
      <c r="G526" s="7" t="s">
        <v>190</v>
      </c>
      <c r="H526" s="6">
        <f>'HLR X'!BX9</f>
        <v>287.03402852222223</v>
      </c>
      <c r="I526" s="369">
        <f>'HLR X'!AY9</f>
        <v>3</v>
      </c>
      <c r="J526" s="368"/>
      <c r="K526" s="367">
        <f t="shared" si="9"/>
        <v>207.03402852222223</v>
      </c>
      <c r="L526" s="367">
        <f>$F526-'HLR X'!AZ9</f>
        <v>156.8118063</v>
      </c>
      <c r="M526" s="367">
        <f>IFERROR('HLR X'!AZ9*'HLR X'!AY9,0)</f>
        <v>150.66666666666666</v>
      </c>
    </row>
    <row r="527" spans="2:13" ht="42.75" customHeight="1" x14ac:dyDescent="0.3">
      <c r="B527" s="4" t="s">
        <v>535</v>
      </c>
      <c r="C527" s="4" t="s">
        <v>531</v>
      </c>
      <c r="D527" s="4" t="s">
        <v>532</v>
      </c>
      <c r="E527" s="5" t="s">
        <v>39</v>
      </c>
      <c r="F527" s="6">
        <f>'HLR X'!BA10</f>
        <v>379.66411694444446</v>
      </c>
      <c r="G527" s="7" t="s">
        <v>190</v>
      </c>
      <c r="H527" s="6">
        <f>'HLR X'!BX10</f>
        <v>459.66411694444446</v>
      </c>
      <c r="I527" s="369">
        <f>'HLR X'!AY10</f>
        <v>3</v>
      </c>
      <c r="J527" s="368"/>
      <c r="K527" s="367">
        <f t="shared" si="9"/>
        <v>379.66411694444446</v>
      </c>
      <c r="L527" s="367">
        <f>$F527-'HLR X'!AZ10</f>
        <v>327.2196725</v>
      </c>
      <c r="M527" s="367">
        <f>IFERROR('HLR X'!AZ10*'HLR X'!AY10,0)</f>
        <v>157.33333333333337</v>
      </c>
    </row>
    <row r="528" spans="2:13" ht="42.75" customHeight="1" x14ac:dyDescent="0.3">
      <c r="B528" s="4" t="s">
        <v>536</v>
      </c>
      <c r="C528" s="4" t="s">
        <v>531</v>
      </c>
      <c r="D528" s="4" t="s">
        <v>532</v>
      </c>
      <c r="E528" s="5" t="s">
        <v>300</v>
      </c>
      <c r="F528" s="6">
        <f>'HLR X'!BA11</f>
        <v>557.1207290777777</v>
      </c>
      <c r="G528" s="7" t="s">
        <v>190</v>
      </c>
      <c r="H528" s="6">
        <f>'HLR X'!BX11</f>
        <v>637.1207290777777</v>
      </c>
      <c r="I528" s="369">
        <f>'HLR X'!AY11</f>
        <v>3</v>
      </c>
      <c r="J528" s="368"/>
      <c r="K528" s="367">
        <f t="shared" si="9"/>
        <v>557.1207290777777</v>
      </c>
      <c r="L528" s="367">
        <f>$F528-'HLR X'!AZ11</f>
        <v>511.34295129999992</v>
      </c>
      <c r="M528" s="367">
        <f>IFERROR('HLR X'!AZ11*'HLR X'!AY11,0)</f>
        <v>137.33333333333331</v>
      </c>
    </row>
    <row r="529" spans="2:13" ht="42.75" customHeight="1" x14ac:dyDescent="0.3">
      <c r="B529" s="4" t="s">
        <v>537</v>
      </c>
      <c r="C529" s="4" t="s">
        <v>531</v>
      </c>
      <c r="D529" s="4" t="s">
        <v>532</v>
      </c>
      <c r="E529" s="5" t="s">
        <v>41</v>
      </c>
      <c r="F529" s="6">
        <f>'HLR X'!BA12</f>
        <v>637.40647046666675</v>
      </c>
      <c r="G529" s="7" t="s">
        <v>190</v>
      </c>
      <c r="H529" s="6">
        <f>'HLR X'!BX12</f>
        <v>717.40647046666675</v>
      </c>
      <c r="I529" s="369">
        <f>'HLR X'!AY12</f>
        <v>2</v>
      </c>
      <c r="J529" s="368"/>
      <c r="K529" s="367">
        <f t="shared" si="9"/>
        <v>637.40647046666675</v>
      </c>
      <c r="L529" s="367">
        <f>$F529-'HLR X'!AZ12</f>
        <v>568.73980380000012</v>
      </c>
      <c r="M529" s="367">
        <f>IFERROR('HLR X'!AZ12*'HLR X'!AY12,0)</f>
        <v>137.33333333333331</v>
      </c>
    </row>
    <row r="530" spans="2:13" ht="42.75" customHeight="1" x14ac:dyDescent="0.3">
      <c r="B530" s="4" t="s">
        <v>538</v>
      </c>
      <c r="C530" s="4" t="s">
        <v>531</v>
      </c>
      <c r="D530" s="4" t="s">
        <v>532</v>
      </c>
      <c r="E530" s="5" t="s">
        <v>43</v>
      </c>
      <c r="F530" s="6">
        <f>'HLR X'!BA13</f>
        <v>832.71919683333329</v>
      </c>
      <c r="G530" s="7" t="s">
        <v>190</v>
      </c>
      <c r="H530" s="6">
        <f>'HLR X'!BX13</f>
        <v>912.71919683333329</v>
      </c>
      <c r="I530" s="369">
        <f>'HLR X'!AY13</f>
        <v>2</v>
      </c>
      <c r="J530" s="368"/>
      <c r="K530" s="367">
        <f t="shared" si="9"/>
        <v>832.71919683333329</v>
      </c>
      <c r="L530" s="367">
        <f>$F530-'HLR X'!AZ13</f>
        <v>757.38586349999991</v>
      </c>
      <c r="M530" s="367">
        <f>IFERROR('HLR X'!AZ13*'HLR X'!AY13,0)</f>
        <v>150.66666666666674</v>
      </c>
    </row>
    <row r="531" spans="2:13" ht="42.75" customHeight="1" x14ac:dyDescent="0.3">
      <c r="B531" s="4" t="s">
        <v>539</v>
      </c>
      <c r="C531" s="4" t="s">
        <v>531</v>
      </c>
      <c r="D531" s="4" t="s">
        <v>532</v>
      </c>
      <c r="E531" s="5" t="s">
        <v>45</v>
      </c>
      <c r="F531" s="6">
        <f>'HLR X'!BA14</f>
        <v>1124.188449466667</v>
      </c>
      <c r="G531" s="7" t="s">
        <v>190</v>
      </c>
      <c r="H531" s="6">
        <f>'HLR X'!BX14</f>
        <v>1204.188449466667</v>
      </c>
      <c r="I531" s="369">
        <f>'HLR X'!AY14</f>
        <v>2</v>
      </c>
      <c r="J531" s="368"/>
      <c r="K531" s="367">
        <f t="shared" si="9"/>
        <v>1124.188449466667</v>
      </c>
      <c r="L531" s="367">
        <f>$F531-'HLR X'!AZ14</f>
        <v>1045.5217828000002</v>
      </c>
      <c r="M531" s="367">
        <f>IFERROR('HLR X'!AZ14*'HLR X'!AY14,0)</f>
        <v>157.33333333333337</v>
      </c>
    </row>
    <row r="532" spans="2:13" ht="42.75" customHeight="1" x14ac:dyDescent="0.3">
      <c r="B532" s="4" t="s">
        <v>540</v>
      </c>
      <c r="C532" s="4" t="s">
        <v>531</v>
      </c>
      <c r="D532" s="4" t="s">
        <v>532</v>
      </c>
      <c r="E532" s="5" t="s">
        <v>47</v>
      </c>
      <c r="F532" s="6">
        <f>'HLR X'!BA15</f>
        <v>1541.6161249333331</v>
      </c>
      <c r="G532" s="7" t="s">
        <v>190</v>
      </c>
      <c r="H532" s="6">
        <f>'HLR X'!BX15</f>
        <v>1621.6161249333331</v>
      </c>
      <c r="I532" s="369">
        <f>'HLR X'!AY15</f>
        <v>1</v>
      </c>
      <c r="J532" s="368"/>
      <c r="K532" s="367">
        <f t="shared" si="9"/>
        <v>1541.6161249333331</v>
      </c>
      <c r="L532" s="367">
        <f>$F532-'HLR X'!AZ15</f>
        <v>1384.2827915999997</v>
      </c>
      <c r="M532" s="367">
        <f>IFERROR('HLR X'!AZ15*'HLR X'!AY15,0)</f>
        <v>157.33333333333337</v>
      </c>
    </row>
    <row r="533" spans="2:13" ht="42.75" customHeight="1" x14ac:dyDescent="0.3">
      <c r="B533" s="4" t="s">
        <v>541</v>
      </c>
      <c r="C533" s="4" t="s">
        <v>531</v>
      </c>
      <c r="D533" s="4" t="s">
        <v>532</v>
      </c>
      <c r="E533" s="5" t="s">
        <v>222</v>
      </c>
      <c r="F533" s="6">
        <f>'HLR X'!BA16</f>
        <v>1702.9477702333334</v>
      </c>
      <c r="G533" s="7" t="s">
        <v>190</v>
      </c>
      <c r="H533" s="6">
        <f>'HLR X'!BX16</f>
        <v>1782.9477702333334</v>
      </c>
      <c r="I533" s="369">
        <f>'HLR X'!AY16</f>
        <v>1</v>
      </c>
      <c r="J533" s="368"/>
      <c r="K533" s="367">
        <f t="shared" si="9"/>
        <v>1702.9477702333334</v>
      </c>
      <c r="L533" s="367">
        <f>$F533-'HLR X'!AZ16</f>
        <v>1545.6144368999999</v>
      </c>
      <c r="M533" s="367">
        <f>IFERROR('HLR X'!AZ16*'HLR X'!AY16,0)</f>
        <v>157.33333333333337</v>
      </c>
    </row>
    <row r="534" spans="2:13" ht="42.75" customHeight="1" x14ac:dyDescent="0.3">
      <c r="B534" s="4" t="s">
        <v>542</v>
      </c>
      <c r="C534" s="4" t="s">
        <v>531</v>
      </c>
      <c r="D534" s="4" t="s">
        <v>532</v>
      </c>
      <c r="E534" s="5" t="s">
        <v>226</v>
      </c>
      <c r="F534" s="6">
        <f>'HLR X'!BA17</f>
        <v>2300.1474759333332</v>
      </c>
      <c r="G534" s="7" t="s">
        <v>190</v>
      </c>
      <c r="H534" s="6">
        <f>'HLR X'!BX17</f>
        <v>2380.1474759333332</v>
      </c>
      <c r="I534" s="369">
        <f>'HLR X'!AY17</f>
        <v>1</v>
      </c>
      <c r="J534" s="368"/>
      <c r="K534" s="367">
        <f t="shared" si="9"/>
        <v>2300.1474759333332</v>
      </c>
      <c r="L534" s="367">
        <f>$F534-'HLR X'!AZ17</f>
        <v>2142.8141425999997</v>
      </c>
      <c r="M534" s="367">
        <f>IFERROR('HLR X'!AZ17*'HLR X'!AY17,0)</f>
        <v>157.33333333333337</v>
      </c>
    </row>
    <row r="535" spans="2:13" ht="42.75" customHeight="1" x14ac:dyDescent="0.3">
      <c r="B535" s="4" t="s">
        <v>543</v>
      </c>
      <c r="C535" s="4" t="s">
        <v>531</v>
      </c>
      <c r="D535" s="4" t="s">
        <v>532</v>
      </c>
      <c r="E535" s="5" t="s">
        <v>230</v>
      </c>
      <c r="F535" s="6">
        <f>'HLR X'!BA18</f>
        <v>2898.9430343333333</v>
      </c>
      <c r="G535" s="7" t="s">
        <v>190</v>
      </c>
      <c r="H535" s="6">
        <f>'HLR X'!BX18</f>
        <v>2978.9430343333333</v>
      </c>
      <c r="I535" s="369">
        <f>'HLR X'!AY18</f>
        <v>1</v>
      </c>
      <c r="J535" s="368"/>
      <c r="K535" s="367">
        <f t="shared" si="9"/>
        <v>2898.9430343333333</v>
      </c>
      <c r="L535" s="367">
        <f>$F535-'HLR X'!AZ18</f>
        <v>2741.6097009999999</v>
      </c>
      <c r="M535" s="367">
        <f>IFERROR('HLR X'!AZ18*'HLR X'!AY18,0)</f>
        <v>157.33333333333337</v>
      </c>
    </row>
    <row r="536" spans="2:13" ht="42.75" customHeight="1" x14ac:dyDescent="0.3">
      <c r="B536" s="4" t="s">
        <v>544</v>
      </c>
      <c r="C536" s="4" t="s">
        <v>531</v>
      </c>
      <c r="D536" s="4" t="s">
        <v>532</v>
      </c>
      <c r="E536" s="5" t="s">
        <v>234</v>
      </c>
      <c r="F536" s="6">
        <f>'HLR X'!BA19</f>
        <v>2872.1184755666673</v>
      </c>
      <c r="G536" s="7" t="s">
        <v>190</v>
      </c>
      <c r="H536" s="6">
        <f>'HLR X'!BX19</f>
        <v>2952.1184755666673</v>
      </c>
      <c r="I536" s="369">
        <f>'HLR X'!AY19</f>
        <v>1</v>
      </c>
      <c r="J536" s="368"/>
      <c r="K536" s="367">
        <f t="shared" si="9"/>
        <v>2872.1184755666673</v>
      </c>
      <c r="L536" s="367">
        <f>$F536-'HLR X'!AZ19</f>
        <v>2581.4518089000003</v>
      </c>
      <c r="M536" s="367">
        <f>IFERROR('HLR X'!AZ19*'HLR X'!AY19,0)</f>
        <v>290.66666666666691</v>
      </c>
    </row>
    <row r="537" spans="2:13" ht="42.75" customHeight="1" x14ac:dyDescent="0.3">
      <c r="B537" s="4" t="s">
        <v>545</v>
      </c>
      <c r="C537" s="4" t="s">
        <v>531</v>
      </c>
      <c r="D537" s="4" t="s">
        <v>532</v>
      </c>
      <c r="E537" s="5" t="s">
        <v>238</v>
      </c>
      <c r="F537" s="6">
        <f>'HLR X'!BA20</f>
        <v>3985.2082252999999</v>
      </c>
      <c r="G537" s="7" t="s">
        <v>190</v>
      </c>
      <c r="H537" s="6">
        <f>'HLR X'!BX20</f>
        <v>4065.2082252999999</v>
      </c>
      <c r="I537" s="369">
        <f>'HLR X'!AY20</f>
        <v>1</v>
      </c>
      <c r="J537" s="368"/>
      <c r="K537" s="367">
        <f t="shared" si="9"/>
        <v>3985.2082252999999</v>
      </c>
      <c r="L537" s="367">
        <f>$F537-'HLR X'!AZ20</f>
        <v>3675.2082252999999</v>
      </c>
      <c r="M537" s="367">
        <f>IFERROR('HLR X'!AZ20*'HLR X'!AY20,0)</f>
        <v>310.00000000000023</v>
      </c>
    </row>
    <row r="538" spans="2:13" ht="42.75" customHeight="1" x14ac:dyDescent="0.3">
      <c r="B538" s="4" t="s">
        <v>546</v>
      </c>
      <c r="C538" s="4" t="s">
        <v>531</v>
      </c>
      <c r="D538" s="4" t="s">
        <v>532</v>
      </c>
      <c r="E538" s="5" t="s">
        <v>242</v>
      </c>
      <c r="F538" s="6">
        <f>'HLR X'!BA21</f>
        <v>4260.4906122000002</v>
      </c>
      <c r="G538" s="7" t="s">
        <v>190</v>
      </c>
      <c r="H538" s="6">
        <f>'HLR X'!BX21</f>
        <v>4340.4906122000002</v>
      </c>
      <c r="I538" s="369">
        <f>'HLR X'!AY21</f>
        <v>1</v>
      </c>
      <c r="J538" s="368"/>
      <c r="K538" s="367">
        <f t="shared" si="9"/>
        <v>4260.4906122000002</v>
      </c>
      <c r="L538" s="367">
        <f>$F538-'HLR X'!AZ21</f>
        <v>3950.4906122000002</v>
      </c>
      <c r="M538" s="367">
        <f>IFERROR('HLR X'!AZ21*'HLR X'!AY21,0)</f>
        <v>310.00000000000023</v>
      </c>
    </row>
    <row r="539" spans="2:13" ht="42.75" customHeight="1" x14ac:dyDescent="0.3">
      <c r="B539" s="4" t="s">
        <v>547</v>
      </c>
      <c r="C539" s="4" t="s">
        <v>531</v>
      </c>
      <c r="D539" s="4" t="s">
        <v>532</v>
      </c>
      <c r="E539" s="5" t="s">
        <v>246</v>
      </c>
      <c r="F539" s="6">
        <f>'HLR X'!BA22</f>
        <v>4410.7897535333332</v>
      </c>
      <c r="G539" s="7" t="s">
        <v>190</v>
      </c>
      <c r="H539" s="6">
        <f>'HLR X'!BX22</f>
        <v>4490.7897535333332</v>
      </c>
      <c r="I539" s="369">
        <f>'HLR X'!AY22</f>
        <v>1</v>
      </c>
      <c r="J539" s="368"/>
      <c r="K539" s="367">
        <f t="shared" si="9"/>
        <v>4410.7897535333332</v>
      </c>
      <c r="L539" s="367">
        <f>$F539-'HLR X'!AZ22</f>
        <v>4127.4564202000001</v>
      </c>
      <c r="M539" s="367">
        <f>IFERROR('HLR X'!AZ22*'HLR X'!AY22,0)</f>
        <v>283.33333333333331</v>
      </c>
    </row>
    <row r="540" spans="2:13" ht="42.75" customHeight="1" x14ac:dyDescent="0.3">
      <c r="B540" s="4" t="s">
        <v>548</v>
      </c>
      <c r="C540" s="4" t="s">
        <v>531</v>
      </c>
      <c r="D540" s="4" t="s">
        <v>532</v>
      </c>
      <c r="E540" s="5" t="s">
        <v>250</v>
      </c>
      <c r="F540" s="6">
        <f>'HLR X'!BA23</f>
        <v>5537.7901193333328</v>
      </c>
      <c r="G540" s="7" t="s">
        <v>190</v>
      </c>
      <c r="H540" s="6">
        <f>'HLR X'!BX23</f>
        <v>5617.7901193333328</v>
      </c>
      <c r="I540" s="369">
        <f>'HLR X'!AY23</f>
        <v>1</v>
      </c>
      <c r="J540" s="368"/>
      <c r="K540" s="367">
        <f t="shared" si="9"/>
        <v>5537.7901193333328</v>
      </c>
      <c r="L540" s="367">
        <f>$F540-'HLR X'!AZ23</f>
        <v>5254.4567859999997</v>
      </c>
      <c r="M540" s="367">
        <f>IFERROR('HLR X'!AZ23*'HLR X'!AY23,0)</f>
        <v>283.33333333333331</v>
      </c>
    </row>
    <row r="541" spans="2:13" ht="42.75" customHeight="1" x14ac:dyDescent="0.3">
      <c r="B541" s="4" t="s">
        <v>549</v>
      </c>
      <c r="C541" s="4" t="s">
        <v>531</v>
      </c>
      <c r="D541" s="4" t="s">
        <v>532</v>
      </c>
      <c r="E541" s="5" t="s">
        <v>254</v>
      </c>
      <c r="F541" s="6">
        <f>'HLR X'!BA24</f>
        <v>6497.0803878333327</v>
      </c>
      <c r="G541" s="7" t="s">
        <v>190</v>
      </c>
      <c r="H541" s="6">
        <f>'HLR X'!BX24</f>
        <v>6577.0803878333327</v>
      </c>
      <c r="I541" s="369">
        <f>'HLR X'!AY24</f>
        <v>1</v>
      </c>
      <c r="J541" s="368"/>
      <c r="K541" s="367">
        <f t="shared" si="9"/>
        <v>6497.0803878333327</v>
      </c>
      <c r="L541" s="367">
        <f>$F541-'HLR X'!AZ24</f>
        <v>6153.7470544999996</v>
      </c>
      <c r="M541" s="367">
        <f>IFERROR('HLR X'!AZ24*'HLR X'!AY24,0)</f>
        <v>343.33333333333331</v>
      </c>
    </row>
    <row r="542" spans="2:13" ht="42.75" customHeight="1" x14ac:dyDescent="0.3">
      <c r="B542" s="4" t="s">
        <v>550</v>
      </c>
      <c r="C542" s="4" t="s">
        <v>531</v>
      </c>
      <c r="D542" s="4" t="s">
        <v>532</v>
      </c>
      <c r="E542" s="5" t="s">
        <v>258</v>
      </c>
      <c r="F542" s="6">
        <f>'HLR X'!BA25</f>
        <v>6927.5019353333328</v>
      </c>
      <c r="G542" s="7" t="s">
        <v>190</v>
      </c>
      <c r="H542" s="6">
        <f>'HLR X'!BX25</f>
        <v>7007.5019353333328</v>
      </c>
      <c r="I542" s="369">
        <f>'HLR X'!AY25</f>
        <v>1</v>
      </c>
      <c r="J542" s="368"/>
      <c r="K542" s="367">
        <f t="shared" si="9"/>
        <v>6927.5019353333328</v>
      </c>
      <c r="L542" s="367">
        <f>$F542-'HLR X'!AZ25</f>
        <v>6584.1686019999997</v>
      </c>
      <c r="M542" s="367">
        <f>IFERROR('HLR X'!AZ25*'HLR X'!AY25,0)</f>
        <v>343.33333333333331</v>
      </c>
    </row>
    <row r="543" spans="2:13" ht="42.75" customHeight="1" x14ac:dyDescent="0.3">
      <c r="B543" s="4" t="s">
        <v>551</v>
      </c>
      <c r="C543" s="4" t="s">
        <v>531</v>
      </c>
      <c r="D543" s="4" t="s">
        <v>532</v>
      </c>
      <c r="E543" s="5" t="s">
        <v>262</v>
      </c>
      <c r="F543" s="6">
        <f>'HLR X'!BA26</f>
        <v>7451.064589833335</v>
      </c>
      <c r="G543" s="7" t="s">
        <v>190</v>
      </c>
      <c r="H543" s="6">
        <f>'HLR X'!BX26</f>
        <v>7531.064589833335</v>
      </c>
      <c r="I543" s="369">
        <f>'HLR X'!AY26</f>
        <v>1</v>
      </c>
      <c r="J543" s="368"/>
      <c r="K543" s="367">
        <f t="shared" si="9"/>
        <v>7451.064589833335</v>
      </c>
      <c r="L543" s="367">
        <f>$F543-'HLR X'!AZ26</f>
        <v>7067.7312565000011</v>
      </c>
      <c r="M543" s="367">
        <f>IFERROR('HLR X'!AZ26*'HLR X'!AY26,0)</f>
        <v>383.3333333333336</v>
      </c>
    </row>
    <row r="544" spans="2:13" ht="42.75" customHeight="1" x14ac:dyDescent="0.3">
      <c r="B544" s="4" t="s">
        <v>552</v>
      </c>
      <c r="C544" s="4" t="s">
        <v>531</v>
      </c>
      <c r="D544" s="4" t="s">
        <v>532</v>
      </c>
      <c r="E544" s="5" t="s">
        <v>266</v>
      </c>
      <c r="F544" s="6">
        <f>'HLR X'!BA27</f>
        <v>8224.1883148333327</v>
      </c>
      <c r="G544" s="7" t="s">
        <v>190</v>
      </c>
      <c r="H544" s="6">
        <f>'HLR X'!BX27</f>
        <v>8304.1883148333327</v>
      </c>
      <c r="I544" s="369">
        <f>'HLR X'!AY27</f>
        <v>1</v>
      </c>
      <c r="J544" s="368"/>
      <c r="K544" s="367">
        <f t="shared" si="9"/>
        <v>8224.1883148333327</v>
      </c>
      <c r="L544" s="367">
        <f>$F544-'HLR X'!AZ27</f>
        <v>7800.8549814999988</v>
      </c>
      <c r="M544" s="367">
        <f>IFERROR('HLR X'!AZ27*'HLR X'!AY27,0)</f>
        <v>423.3333333333336</v>
      </c>
    </row>
    <row r="545" spans="2:13" ht="42.75" customHeight="1" x14ac:dyDescent="0.3">
      <c r="B545" s="4" t="s">
        <v>553</v>
      </c>
      <c r="C545" s="4" t="s">
        <v>531</v>
      </c>
      <c r="D545" s="4" t="s">
        <v>532</v>
      </c>
      <c r="E545" s="5" t="s">
        <v>270</v>
      </c>
      <c r="F545" s="6">
        <f>'HLR X'!BA28</f>
        <v>8829.025790333335</v>
      </c>
      <c r="G545" s="7" t="s">
        <v>190</v>
      </c>
      <c r="H545" s="6">
        <f>'HLR X'!BX28</f>
        <v>8909.025790333335</v>
      </c>
      <c r="I545" s="369">
        <f>'HLR X'!AY28</f>
        <v>1</v>
      </c>
      <c r="J545" s="368"/>
      <c r="K545" s="367">
        <f t="shared" si="9"/>
        <v>8829.025790333335</v>
      </c>
      <c r="L545" s="367">
        <f>$F545-'HLR X'!AZ28</f>
        <v>8405.692457000001</v>
      </c>
      <c r="M545" s="367">
        <f>IFERROR('HLR X'!AZ28*'HLR X'!AY28,0)</f>
        <v>423.3333333333336</v>
      </c>
    </row>
    <row r="546" spans="2:13" ht="42.75" customHeight="1" x14ac:dyDescent="0.3">
      <c r="B546" s="4" t="s">
        <v>554</v>
      </c>
      <c r="C546" s="4" t="s">
        <v>531</v>
      </c>
      <c r="D546" s="4" t="s">
        <v>532</v>
      </c>
      <c r="E546" s="5" t="s">
        <v>274</v>
      </c>
      <c r="F546" s="6">
        <f>'HLR X'!BA29</f>
        <v>9720.7492534333342</v>
      </c>
      <c r="G546" s="7" t="s">
        <v>190</v>
      </c>
      <c r="H546" s="6">
        <f>'HLR X'!BX29</f>
        <v>9800.7492534333342</v>
      </c>
      <c r="I546" s="369">
        <f>'HLR X'!AY29</f>
        <v>1</v>
      </c>
      <c r="J546" s="368"/>
      <c r="K546" s="367">
        <f t="shared" si="9"/>
        <v>9720.7492534333342</v>
      </c>
      <c r="L546" s="367">
        <f>$F546-'HLR X'!AZ29</f>
        <v>9297.4159201000002</v>
      </c>
      <c r="M546" s="367">
        <f>IFERROR('HLR X'!AZ29*'HLR X'!AY29,0)</f>
        <v>423.3333333333336</v>
      </c>
    </row>
    <row r="547" spans="2:13" ht="42.75" customHeight="1" x14ac:dyDescent="0.3">
      <c r="B547" s="4" t="s">
        <v>555</v>
      </c>
      <c r="C547" s="4" t="s">
        <v>531</v>
      </c>
      <c r="D547" s="4" t="s">
        <v>532</v>
      </c>
      <c r="E547" s="5" t="s">
        <v>278</v>
      </c>
      <c r="F547" s="6">
        <f>'HLR X'!BA30</f>
        <v>11212.793750333334</v>
      </c>
      <c r="G547" s="7" t="s">
        <v>190</v>
      </c>
      <c r="H547" s="6">
        <f>'HLR X'!BX30</f>
        <v>11292.793750333334</v>
      </c>
      <c r="I547" s="369">
        <f>'HLR X'!AY30</f>
        <v>1</v>
      </c>
      <c r="J547" s="368"/>
      <c r="K547" s="367">
        <f t="shared" si="9"/>
        <v>11212.793750333334</v>
      </c>
      <c r="L547" s="367">
        <f>$F547-'HLR X'!AZ30</f>
        <v>10789.460417</v>
      </c>
      <c r="M547" s="367">
        <f>IFERROR('HLR X'!AZ30*'HLR X'!AY30,0)</f>
        <v>423.3333333333336</v>
      </c>
    </row>
    <row r="548" spans="2:13" ht="42.75" customHeight="1" x14ac:dyDescent="0.3">
      <c r="B548" s="4" t="s">
        <v>556</v>
      </c>
      <c r="C548" s="4" t="s">
        <v>531</v>
      </c>
      <c r="D548" s="4" t="s">
        <v>557</v>
      </c>
      <c r="E548" s="5" t="s">
        <v>196</v>
      </c>
      <c r="F548" s="6">
        <f>'HLR X'!BA31</f>
        <v>81.64822603333333</v>
      </c>
      <c r="G548" s="7" t="s">
        <v>190</v>
      </c>
      <c r="H548" s="6">
        <f>'HLR X'!BX31</f>
        <v>161.64822603333334</v>
      </c>
      <c r="I548" s="369">
        <f>'HLR X'!AY31</f>
        <v>4</v>
      </c>
      <c r="J548" s="368"/>
      <c r="K548" s="367">
        <f t="shared" si="9"/>
        <v>81.64822603333333</v>
      </c>
      <c r="L548" s="367">
        <f>$F548-'HLR X'!AZ31</f>
        <v>44.814892699999994</v>
      </c>
      <c r="M548" s="367">
        <f>IFERROR('HLR X'!AZ31*'HLR X'!AY31,0)</f>
        <v>147.33333333333334</v>
      </c>
    </row>
    <row r="549" spans="2:13" ht="42.75" customHeight="1" x14ac:dyDescent="0.3">
      <c r="B549" s="4" t="s">
        <v>558</v>
      </c>
      <c r="C549" s="4" t="s">
        <v>531</v>
      </c>
      <c r="D549" s="4" t="s">
        <v>557</v>
      </c>
      <c r="E549" s="5" t="s">
        <v>200</v>
      </c>
      <c r="F549" s="6">
        <f>'HLR X'!BA32</f>
        <v>122.03998733333333</v>
      </c>
      <c r="G549" s="7" t="s">
        <v>190</v>
      </c>
      <c r="H549" s="6">
        <f>'HLR X'!BX32</f>
        <v>202.03998733333333</v>
      </c>
      <c r="I549" s="369">
        <f>'HLR X'!AY32</f>
        <v>4</v>
      </c>
      <c r="J549" s="368"/>
      <c r="K549" s="367">
        <f t="shared" si="9"/>
        <v>122.03998733333333</v>
      </c>
      <c r="L549" s="367">
        <f>$F549-'HLR X'!AZ32</f>
        <v>85.206653999999986</v>
      </c>
      <c r="M549" s="367">
        <f>IFERROR('HLR X'!AZ32*'HLR X'!AY32,0)</f>
        <v>147.33333333333334</v>
      </c>
    </row>
    <row r="550" spans="2:13" ht="42.75" customHeight="1" x14ac:dyDescent="0.3">
      <c r="B550" s="4" t="s">
        <v>559</v>
      </c>
      <c r="C550" s="4" t="s">
        <v>531</v>
      </c>
      <c r="D550" s="4" t="s">
        <v>557</v>
      </c>
      <c r="E550" s="5" t="s">
        <v>185</v>
      </c>
      <c r="F550" s="6">
        <f>'HLR X'!BA33</f>
        <v>208.13106852222222</v>
      </c>
      <c r="G550" s="7" t="s">
        <v>190</v>
      </c>
      <c r="H550" s="6">
        <f>'HLR X'!BX33</f>
        <v>288.13106852222222</v>
      </c>
      <c r="I550" s="369">
        <f>'HLR X'!AY33</f>
        <v>3</v>
      </c>
      <c r="J550" s="368"/>
      <c r="K550" s="367">
        <f t="shared" si="9"/>
        <v>208.13106852222222</v>
      </c>
      <c r="L550" s="367">
        <f>$F550-'HLR X'!AZ33</f>
        <v>157.90884629999999</v>
      </c>
      <c r="M550" s="367">
        <f>IFERROR('HLR X'!AZ33*'HLR X'!AY33,0)</f>
        <v>150.66666666666666</v>
      </c>
    </row>
    <row r="551" spans="2:13" ht="42.75" customHeight="1" x14ac:dyDescent="0.3">
      <c r="B551" s="4" t="s">
        <v>560</v>
      </c>
      <c r="C551" s="4" t="s">
        <v>531</v>
      </c>
      <c r="D551" s="4" t="s">
        <v>557</v>
      </c>
      <c r="E551" s="5" t="s">
        <v>39</v>
      </c>
      <c r="F551" s="6">
        <f>'HLR X'!BA34</f>
        <v>383.97391694444445</v>
      </c>
      <c r="G551" s="7" t="s">
        <v>190</v>
      </c>
      <c r="H551" s="6">
        <f>'HLR X'!BX34</f>
        <v>463.97391694444445</v>
      </c>
      <c r="I551" s="369">
        <f>'HLR X'!AY34</f>
        <v>3</v>
      </c>
      <c r="J551" s="368"/>
      <c r="K551" s="367">
        <f t="shared" ref="K551:K614" si="10">IF(OR($J551="",$J551&lt;=0),$F551,$L551+$M551/$J551)</f>
        <v>383.97391694444445</v>
      </c>
      <c r="L551" s="367">
        <f>$F551-'HLR X'!AZ34</f>
        <v>331.5294725</v>
      </c>
      <c r="M551" s="367">
        <f>IFERROR('HLR X'!AZ34*'HLR X'!AY34,0)</f>
        <v>157.33333333333337</v>
      </c>
    </row>
    <row r="552" spans="2:13" ht="42.75" customHeight="1" x14ac:dyDescent="0.3">
      <c r="B552" s="4" t="s">
        <v>561</v>
      </c>
      <c r="C552" s="4" t="s">
        <v>531</v>
      </c>
      <c r="D552" s="4" t="s">
        <v>557</v>
      </c>
      <c r="E552" s="5" t="s">
        <v>300</v>
      </c>
      <c r="F552" s="6">
        <f>'HLR X'!BA35</f>
        <v>562.70387907777786</v>
      </c>
      <c r="G552" s="7" t="s">
        <v>190</v>
      </c>
      <c r="H552" s="6">
        <f>'HLR X'!BX35</f>
        <v>642.70387907777786</v>
      </c>
      <c r="I552" s="369">
        <f>'HLR X'!AY35</f>
        <v>3</v>
      </c>
      <c r="J552" s="368"/>
      <c r="K552" s="367">
        <f t="shared" si="10"/>
        <v>562.70387907777786</v>
      </c>
      <c r="L552" s="367">
        <f>$F552-'HLR X'!AZ35</f>
        <v>516.92610130000003</v>
      </c>
      <c r="M552" s="367">
        <f>IFERROR('HLR X'!AZ35*'HLR X'!AY35,0)</f>
        <v>137.33333333333331</v>
      </c>
    </row>
    <row r="553" spans="2:13" ht="42.75" customHeight="1" x14ac:dyDescent="0.3">
      <c r="B553" s="4" t="s">
        <v>562</v>
      </c>
      <c r="C553" s="4" t="s">
        <v>531</v>
      </c>
      <c r="D553" s="4" t="s">
        <v>557</v>
      </c>
      <c r="E553" s="5" t="s">
        <v>41</v>
      </c>
      <c r="F553" s="6">
        <f>'HLR X'!BA36</f>
        <v>645.77140046666671</v>
      </c>
      <c r="G553" s="7" t="s">
        <v>190</v>
      </c>
      <c r="H553" s="6">
        <f>'HLR X'!BX36</f>
        <v>725.77140046666671</v>
      </c>
      <c r="I553" s="369">
        <f>'HLR X'!AY36</f>
        <v>2</v>
      </c>
      <c r="J553" s="368"/>
      <c r="K553" s="367">
        <f t="shared" si="10"/>
        <v>645.77140046666671</v>
      </c>
      <c r="L553" s="367">
        <f>$F553-'HLR X'!AZ36</f>
        <v>577.10473380000008</v>
      </c>
      <c r="M553" s="367">
        <f>IFERROR('HLR X'!AZ36*'HLR X'!AY36,0)</f>
        <v>137.33333333333331</v>
      </c>
    </row>
    <row r="554" spans="2:13" ht="42.75" customHeight="1" x14ac:dyDescent="0.3">
      <c r="B554" s="4" t="s">
        <v>563</v>
      </c>
      <c r="C554" s="4" t="s">
        <v>531</v>
      </c>
      <c r="D554" s="4" t="s">
        <v>557</v>
      </c>
      <c r="E554" s="5" t="s">
        <v>43</v>
      </c>
      <c r="F554" s="6">
        <f>'HLR X'!BA37</f>
        <v>848.54791683333337</v>
      </c>
      <c r="G554" s="7" t="s">
        <v>190</v>
      </c>
      <c r="H554" s="6">
        <f>'HLR X'!BX37</f>
        <v>928.54791683333337</v>
      </c>
      <c r="I554" s="369">
        <f>'HLR X'!AY37</f>
        <v>2</v>
      </c>
      <c r="J554" s="368"/>
      <c r="K554" s="367">
        <f t="shared" si="10"/>
        <v>848.54791683333337</v>
      </c>
      <c r="L554" s="367">
        <f>$F554-'HLR X'!AZ37</f>
        <v>773.2145835</v>
      </c>
      <c r="M554" s="367">
        <f>IFERROR('HLR X'!AZ37*'HLR X'!AY37,0)</f>
        <v>150.66666666666674</v>
      </c>
    </row>
    <row r="555" spans="2:13" ht="42.75" customHeight="1" x14ac:dyDescent="0.3">
      <c r="B555" s="4" t="s">
        <v>564</v>
      </c>
      <c r="C555" s="4" t="s">
        <v>531</v>
      </c>
      <c r="D555" s="4" t="s">
        <v>557</v>
      </c>
      <c r="E555" s="5" t="s">
        <v>45</v>
      </c>
      <c r="F555" s="6">
        <f>'HLR X'!BA38</f>
        <v>1150.2431494666669</v>
      </c>
      <c r="G555" s="7" t="s">
        <v>190</v>
      </c>
      <c r="H555" s="6">
        <f>'HLR X'!BX38</f>
        <v>1230.2431494666669</v>
      </c>
      <c r="I555" s="369">
        <f>'HLR X'!AY38</f>
        <v>2</v>
      </c>
      <c r="J555" s="368"/>
      <c r="K555" s="367">
        <f t="shared" si="10"/>
        <v>1150.2431494666669</v>
      </c>
      <c r="L555" s="367">
        <f>$F555-'HLR X'!AZ38</f>
        <v>1071.5764828000001</v>
      </c>
      <c r="M555" s="367">
        <f>IFERROR('HLR X'!AZ38*'HLR X'!AY38,0)</f>
        <v>157.33333333333337</v>
      </c>
    </row>
    <row r="556" spans="2:13" ht="42.75" customHeight="1" x14ac:dyDescent="0.3">
      <c r="B556" s="4" t="s">
        <v>565</v>
      </c>
      <c r="C556" s="4" t="s">
        <v>531</v>
      </c>
      <c r="D556" s="4" t="s">
        <v>557</v>
      </c>
      <c r="E556" s="5" t="s">
        <v>47</v>
      </c>
      <c r="F556" s="6">
        <f>'HLR X'!BA39</f>
        <v>1578.3473749333334</v>
      </c>
      <c r="G556" s="7" t="s">
        <v>190</v>
      </c>
      <c r="H556" s="6">
        <f>'HLR X'!BX39</f>
        <v>1658.3473749333334</v>
      </c>
      <c r="I556" s="369">
        <f>'HLR X'!AY39</f>
        <v>1</v>
      </c>
      <c r="J556" s="368"/>
      <c r="K556" s="367">
        <f t="shared" si="10"/>
        <v>1578.3473749333334</v>
      </c>
      <c r="L556" s="367">
        <f>$F556-'HLR X'!AZ39</f>
        <v>1421.0140415999999</v>
      </c>
      <c r="M556" s="367">
        <f>IFERROR('HLR X'!AZ39*'HLR X'!AY39,0)</f>
        <v>157.33333333333337</v>
      </c>
    </row>
    <row r="557" spans="2:13" ht="42.75" customHeight="1" x14ac:dyDescent="0.3">
      <c r="B557" s="4" t="s">
        <v>566</v>
      </c>
      <c r="C557" s="4" t="s">
        <v>531</v>
      </c>
      <c r="D557" s="4" t="s">
        <v>557</v>
      </c>
      <c r="E557" s="5" t="s">
        <v>222</v>
      </c>
      <c r="F557" s="6">
        <f>'HLR X'!BA40</f>
        <v>1752.9022702333332</v>
      </c>
      <c r="G557" s="7" t="s">
        <v>190</v>
      </c>
      <c r="H557" s="6">
        <f>'HLR X'!BX40</f>
        <v>1832.9022702333332</v>
      </c>
      <c r="I557" s="369">
        <f>'HLR X'!AY40</f>
        <v>1</v>
      </c>
      <c r="J557" s="368"/>
      <c r="K557" s="367">
        <f t="shared" si="10"/>
        <v>1752.9022702333332</v>
      </c>
      <c r="L557" s="367">
        <f>$F557-'HLR X'!AZ40</f>
        <v>1595.5689368999997</v>
      </c>
      <c r="M557" s="367">
        <f>IFERROR('HLR X'!AZ40*'HLR X'!AY40,0)</f>
        <v>157.33333333333337</v>
      </c>
    </row>
    <row r="558" spans="2:13" ht="42.75" customHeight="1" x14ac:dyDescent="0.3">
      <c r="B558" s="4" t="s">
        <v>567</v>
      </c>
      <c r="C558" s="4" t="s">
        <v>531</v>
      </c>
      <c r="D558" s="4" t="s">
        <v>557</v>
      </c>
      <c r="E558" s="5" t="s">
        <v>226</v>
      </c>
      <c r="F558" s="6">
        <f>'HLR X'!BA41</f>
        <v>2398.3325559333334</v>
      </c>
      <c r="G558" s="7" t="s">
        <v>190</v>
      </c>
      <c r="H558" s="6">
        <f>'HLR X'!BX41</f>
        <v>2478.3325559333334</v>
      </c>
      <c r="I558" s="369">
        <f>'HLR X'!AY41</f>
        <v>1</v>
      </c>
      <c r="J558" s="368"/>
      <c r="K558" s="367">
        <f t="shared" si="10"/>
        <v>2398.3325559333334</v>
      </c>
      <c r="L558" s="367">
        <f>$F558-'HLR X'!AZ41</f>
        <v>2240.9992225999999</v>
      </c>
      <c r="M558" s="367">
        <f>IFERROR('HLR X'!AZ41*'HLR X'!AY41,0)</f>
        <v>157.33333333333337</v>
      </c>
    </row>
    <row r="559" spans="2:13" ht="42.75" customHeight="1" x14ac:dyDescent="0.3">
      <c r="B559" s="4" t="s">
        <v>568</v>
      </c>
      <c r="C559" s="4" t="s">
        <v>531</v>
      </c>
      <c r="D559" s="4" t="s">
        <v>557</v>
      </c>
      <c r="E559" s="5" t="s">
        <v>230</v>
      </c>
      <c r="F559" s="6">
        <f>'HLR X'!BA42</f>
        <v>3008.6470343333335</v>
      </c>
      <c r="G559" s="7" t="s">
        <v>190</v>
      </c>
      <c r="H559" s="6">
        <f>'HLR X'!BX42</f>
        <v>3088.6470343333335</v>
      </c>
      <c r="I559" s="369">
        <f>'HLR X'!AY42</f>
        <v>1</v>
      </c>
      <c r="J559" s="368"/>
      <c r="K559" s="367">
        <f t="shared" si="10"/>
        <v>3008.6470343333335</v>
      </c>
      <c r="L559" s="367">
        <f>$F559-'HLR X'!AZ42</f>
        <v>2851.313701</v>
      </c>
      <c r="M559" s="367">
        <f>IFERROR('HLR X'!AZ42*'HLR X'!AY42,0)</f>
        <v>157.33333333333337</v>
      </c>
    </row>
    <row r="560" spans="2:13" ht="42.75" customHeight="1" x14ac:dyDescent="0.3">
      <c r="B560" s="4" t="s">
        <v>569</v>
      </c>
      <c r="C560" s="4" t="s">
        <v>531</v>
      </c>
      <c r="D560" s="4" t="s">
        <v>557</v>
      </c>
      <c r="E560" s="5" t="s">
        <v>234</v>
      </c>
      <c r="F560" s="6">
        <f>'HLR X'!BA43</f>
        <v>3019.043475566667</v>
      </c>
      <c r="G560" s="7" t="s">
        <v>190</v>
      </c>
      <c r="H560" s="6">
        <f>'HLR X'!BX43</f>
        <v>3099.043475566667</v>
      </c>
      <c r="I560" s="369">
        <f>'HLR X'!AY43</f>
        <v>1</v>
      </c>
      <c r="J560" s="368"/>
      <c r="K560" s="367">
        <f t="shared" si="10"/>
        <v>3019.043475566667</v>
      </c>
      <c r="L560" s="367">
        <f>$F560-'HLR X'!AZ43</f>
        <v>2728.3768089</v>
      </c>
      <c r="M560" s="367">
        <f>IFERROR('HLR X'!AZ43*'HLR X'!AY43,0)</f>
        <v>290.66666666666691</v>
      </c>
    </row>
    <row r="561" spans="2:13" ht="42.75" customHeight="1" x14ac:dyDescent="0.3">
      <c r="B561" s="4" t="s">
        <v>570</v>
      </c>
      <c r="C561" s="4" t="s">
        <v>531</v>
      </c>
      <c r="D561" s="4" t="s">
        <v>557</v>
      </c>
      <c r="E561" s="5" t="s">
        <v>238</v>
      </c>
      <c r="F561" s="6">
        <f>'HLR X'!BA44</f>
        <v>4194.8212253000002</v>
      </c>
      <c r="G561" s="7" t="s">
        <v>190</v>
      </c>
      <c r="H561" s="6">
        <f>'HLR X'!BX44</f>
        <v>4274.8212253000002</v>
      </c>
      <c r="I561" s="369">
        <f>'HLR X'!AY44</f>
        <v>1</v>
      </c>
      <c r="J561" s="368"/>
      <c r="K561" s="367">
        <f t="shared" si="10"/>
        <v>4194.8212253000002</v>
      </c>
      <c r="L561" s="367">
        <f>$F561-'HLR X'!AZ44</f>
        <v>3884.8212253000002</v>
      </c>
      <c r="M561" s="367">
        <f>IFERROR('HLR X'!AZ44*'HLR X'!AY44,0)</f>
        <v>310.00000000000023</v>
      </c>
    </row>
    <row r="562" spans="2:13" ht="42.75" customHeight="1" x14ac:dyDescent="0.3">
      <c r="B562" s="4" t="s">
        <v>571</v>
      </c>
      <c r="C562" s="4" t="s">
        <v>531</v>
      </c>
      <c r="D562" s="4" t="s">
        <v>557</v>
      </c>
      <c r="E562" s="5" t="s">
        <v>242</v>
      </c>
      <c r="F562" s="6">
        <f>'HLR X'!BA45</f>
        <v>4595.4796122000007</v>
      </c>
      <c r="G562" s="7" t="s">
        <v>190</v>
      </c>
      <c r="H562" s="6">
        <f>'HLR X'!BX45</f>
        <v>4675.4796122000007</v>
      </c>
      <c r="I562" s="369">
        <f>'HLR X'!AY45</f>
        <v>1</v>
      </c>
      <c r="J562" s="368"/>
      <c r="K562" s="367">
        <f t="shared" si="10"/>
        <v>4595.4796122000007</v>
      </c>
      <c r="L562" s="367">
        <f>$F562-'HLR X'!AZ45</f>
        <v>4285.4796122000007</v>
      </c>
      <c r="M562" s="367">
        <f>IFERROR('HLR X'!AZ45*'HLR X'!AY45,0)</f>
        <v>310.00000000000023</v>
      </c>
    </row>
    <row r="563" spans="2:13" ht="42.75" customHeight="1" x14ac:dyDescent="0.3">
      <c r="B563" s="4" t="s">
        <v>572</v>
      </c>
      <c r="C563" s="4" t="s">
        <v>531</v>
      </c>
      <c r="D563" s="4" t="s">
        <v>557</v>
      </c>
      <c r="E563" s="5" t="s">
        <v>246</v>
      </c>
      <c r="F563" s="6">
        <f>'HLR X'!BA46</f>
        <v>4958.3302535333332</v>
      </c>
      <c r="G563" s="7" t="s">
        <v>190</v>
      </c>
      <c r="H563" s="6">
        <f>'HLR X'!BX46</f>
        <v>5038.3302535333332</v>
      </c>
      <c r="I563" s="369">
        <f>'HLR X'!AY46</f>
        <v>1</v>
      </c>
      <c r="J563" s="368"/>
      <c r="K563" s="367">
        <f t="shared" si="10"/>
        <v>4958.3302535333332</v>
      </c>
      <c r="L563" s="367">
        <f>$F563-'HLR X'!AZ46</f>
        <v>4674.9969202000002</v>
      </c>
      <c r="M563" s="367">
        <f>IFERROR('HLR X'!AZ46*'HLR X'!AY46,0)</f>
        <v>283.33333333333331</v>
      </c>
    </row>
    <row r="564" spans="2:13" ht="42.75" customHeight="1" x14ac:dyDescent="0.3">
      <c r="B564" s="4" t="s">
        <v>573</v>
      </c>
      <c r="C564" s="4" t="s">
        <v>531</v>
      </c>
      <c r="D564" s="4" t="s">
        <v>557</v>
      </c>
      <c r="E564" s="5" t="s">
        <v>250</v>
      </c>
      <c r="F564" s="6">
        <f>'HLR X'!BA47</f>
        <v>5962.8931193333337</v>
      </c>
      <c r="G564" s="7" t="s">
        <v>190</v>
      </c>
      <c r="H564" s="6">
        <f>'HLR X'!BX47</f>
        <v>6042.8931193333337</v>
      </c>
      <c r="I564" s="369">
        <f>'HLR X'!AY47</f>
        <v>1</v>
      </c>
      <c r="J564" s="368"/>
      <c r="K564" s="367">
        <f t="shared" si="10"/>
        <v>5962.8931193333337</v>
      </c>
      <c r="L564" s="367">
        <f>$F564-'HLR X'!AZ47</f>
        <v>5679.5597860000007</v>
      </c>
      <c r="M564" s="367">
        <f>IFERROR('HLR X'!AZ47*'HLR X'!AY47,0)</f>
        <v>283.33333333333331</v>
      </c>
    </row>
    <row r="565" spans="2:13" ht="42.75" customHeight="1" x14ac:dyDescent="0.3">
      <c r="B565" s="4" t="s">
        <v>574</v>
      </c>
      <c r="C565" s="4" t="s">
        <v>531</v>
      </c>
      <c r="D565" s="4" t="s">
        <v>557</v>
      </c>
      <c r="E565" s="5" t="s">
        <v>254</v>
      </c>
      <c r="F565" s="6">
        <f>'HLR X'!BA48</f>
        <v>6755.6683878333324</v>
      </c>
      <c r="G565" s="7" t="s">
        <v>190</v>
      </c>
      <c r="H565" s="6">
        <f>'HLR X'!BX48</f>
        <v>6835.6683878333324</v>
      </c>
      <c r="I565" s="369">
        <f>'HLR X'!AY48</f>
        <v>1</v>
      </c>
      <c r="J565" s="368"/>
      <c r="K565" s="367">
        <f t="shared" si="10"/>
        <v>6755.6683878333324</v>
      </c>
      <c r="L565" s="367">
        <f>$F565-'HLR X'!AZ48</f>
        <v>6412.3350544999994</v>
      </c>
      <c r="M565" s="367">
        <f>IFERROR('HLR X'!AZ48*'HLR X'!AY48,0)</f>
        <v>343.33333333333331</v>
      </c>
    </row>
    <row r="566" spans="2:13" ht="42.75" customHeight="1" x14ac:dyDescent="0.3">
      <c r="B566" s="4" t="s">
        <v>575</v>
      </c>
      <c r="C566" s="4" t="s">
        <v>531</v>
      </c>
      <c r="D566" s="4" t="s">
        <v>557</v>
      </c>
      <c r="E566" s="5" t="s">
        <v>258</v>
      </c>
      <c r="F566" s="6">
        <f>'HLR X'!BA49</f>
        <v>7598.4594353333323</v>
      </c>
      <c r="G566" s="7" t="s">
        <v>190</v>
      </c>
      <c r="H566" s="6">
        <f>'HLR X'!BX49</f>
        <v>7678.4594353333323</v>
      </c>
      <c r="I566" s="369">
        <f>'HLR X'!AY49</f>
        <v>1</v>
      </c>
      <c r="J566" s="368"/>
      <c r="K566" s="367">
        <f t="shared" si="10"/>
        <v>7598.4594353333323</v>
      </c>
      <c r="L566" s="367">
        <f>$F566-'HLR X'!AZ49</f>
        <v>7255.1261019999993</v>
      </c>
      <c r="M566" s="367">
        <f>IFERROR('HLR X'!AZ49*'HLR X'!AY49,0)</f>
        <v>343.33333333333331</v>
      </c>
    </row>
    <row r="567" spans="2:13" ht="42.75" customHeight="1" x14ac:dyDescent="0.3">
      <c r="B567" s="4" t="s">
        <v>576</v>
      </c>
      <c r="C567" s="4" t="s">
        <v>531</v>
      </c>
      <c r="D567" s="4" t="s">
        <v>557</v>
      </c>
      <c r="E567" s="5" t="s">
        <v>262</v>
      </c>
      <c r="F567" s="6">
        <f>'HLR X'!BA50</f>
        <v>8332.6145898333343</v>
      </c>
      <c r="G567" s="7" t="s">
        <v>190</v>
      </c>
      <c r="H567" s="6">
        <f>'HLR X'!BX50</f>
        <v>8412.6145898333343</v>
      </c>
      <c r="I567" s="369">
        <f>'HLR X'!AY50</f>
        <v>1</v>
      </c>
      <c r="J567" s="368"/>
      <c r="K567" s="367">
        <f t="shared" si="10"/>
        <v>8332.6145898333343</v>
      </c>
      <c r="L567" s="367">
        <f>$F567-'HLR X'!AZ50</f>
        <v>7949.2812565000004</v>
      </c>
      <c r="M567" s="367">
        <f>IFERROR('HLR X'!AZ50*'HLR X'!AY50,0)</f>
        <v>383.3333333333336</v>
      </c>
    </row>
    <row r="568" spans="2:13" ht="42.75" customHeight="1" x14ac:dyDescent="0.3">
      <c r="B568" s="4" t="s">
        <v>577</v>
      </c>
      <c r="C568" s="4" t="s">
        <v>531</v>
      </c>
      <c r="D568" s="4" t="s">
        <v>557</v>
      </c>
      <c r="E568" s="5" t="s">
        <v>266</v>
      </c>
      <c r="F568" s="6">
        <f>'HLR X'!BA51</f>
        <v>9242.8683148333348</v>
      </c>
      <c r="G568" s="7" t="s">
        <v>190</v>
      </c>
      <c r="H568" s="6">
        <f>'HLR X'!BX51</f>
        <v>9322.8683148333348</v>
      </c>
      <c r="I568" s="369">
        <f>'HLR X'!AY51</f>
        <v>1</v>
      </c>
      <c r="J568" s="368"/>
      <c r="K568" s="367">
        <f t="shared" si="10"/>
        <v>9242.8683148333348</v>
      </c>
      <c r="L568" s="367">
        <f>$F568-'HLR X'!AZ51</f>
        <v>8819.5349815000009</v>
      </c>
      <c r="M568" s="367">
        <f>IFERROR('HLR X'!AZ51*'HLR X'!AY51,0)</f>
        <v>423.3333333333336</v>
      </c>
    </row>
    <row r="569" spans="2:13" ht="42.75" customHeight="1" x14ac:dyDescent="0.3">
      <c r="B569" s="4" t="s">
        <v>578</v>
      </c>
      <c r="C569" s="4" t="s">
        <v>531</v>
      </c>
      <c r="D569" s="4" t="s">
        <v>557</v>
      </c>
      <c r="E569" s="5" t="s">
        <v>270</v>
      </c>
      <c r="F569" s="6">
        <f>'HLR X'!BA52</f>
        <v>9847.7057903333334</v>
      </c>
      <c r="G569" s="7" t="s">
        <v>190</v>
      </c>
      <c r="H569" s="6">
        <f>'HLR X'!BX52</f>
        <v>9927.7057903333334</v>
      </c>
      <c r="I569" s="369">
        <f>'HLR X'!AY52</f>
        <v>1</v>
      </c>
      <c r="J569" s="368"/>
      <c r="K569" s="367">
        <f t="shared" si="10"/>
        <v>9847.7057903333334</v>
      </c>
      <c r="L569" s="367">
        <f>$F569-'HLR X'!AZ52</f>
        <v>9424.3724569999995</v>
      </c>
      <c r="M569" s="367">
        <f>IFERROR('HLR X'!AZ52*'HLR X'!AY52,0)</f>
        <v>423.3333333333336</v>
      </c>
    </row>
    <row r="570" spans="2:13" ht="42.75" customHeight="1" x14ac:dyDescent="0.3">
      <c r="B570" s="4" t="s">
        <v>579</v>
      </c>
      <c r="C570" s="4" t="s">
        <v>531</v>
      </c>
      <c r="D570" s="4" t="s">
        <v>557</v>
      </c>
      <c r="E570" s="5" t="s">
        <v>274</v>
      </c>
      <c r="F570" s="6">
        <f>'HLR X'!BA53</f>
        <v>10768.814253433333</v>
      </c>
      <c r="G570" s="7" t="s">
        <v>190</v>
      </c>
      <c r="H570" s="6">
        <f>'HLR X'!BX53</f>
        <v>10848.814253433333</v>
      </c>
      <c r="I570" s="369">
        <f>'HLR X'!AY53</f>
        <v>1</v>
      </c>
      <c r="J570" s="368"/>
      <c r="K570" s="367">
        <f t="shared" si="10"/>
        <v>10768.814253433333</v>
      </c>
      <c r="L570" s="367">
        <f>$F570-'HLR X'!AZ53</f>
        <v>10345.480920099999</v>
      </c>
      <c r="M570" s="367">
        <f>IFERROR('HLR X'!AZ53*'HLR X'!AY53,0)</f>
        <v>423.3333333333336</v>
      </c>
    </row>
    <row r="571" spans="2:13" ht="42.75" customHeight="1" x14ac:dyDescent="0.3">
      <c r="B571" s="4" t="s">
        <v>580</v>
      </c>
      <c r="C571" s="4" t="s">
        <v>531</v>
      </c>
      <c r="D571" s="4" t="s">
        <v>557</v>
      </c>
      <c r="E571" s="5" t="s">
        <v>278</v>
      </c>
      <c r="F571" s="6">
        <f>'HLR X'!BA54</f>
        <v>12437.168750333332</v>
      </c>
      <c r="G571" s="7" t="s">
        <v>190</v>
      </c>
      <c r="H571" s="6">
        <f>'HLR X'!BX54</f>
        <v>12517.168750333332</v>
      </c>
      <c r="I571" s="369">
        <f>'HLR X'!AY54</f>
        <v>1</v>
      </c>
      <c r="J571" s="368"/>
      <c r="K571" s="367">
        <f t="shared" si="10"/>
        <v>12437.168750333332</v>
      </c>
      <c r="L571" s="367">
        <f>$F571-'HLR X'!AZ54</f>
        <v>12013.835416999998</v>
      </c>
      <c r="M571" s="367">
        <f>IFERROR('HLR X'!AZ54*'HLR X'!AY54,0)</f>
        <v>423.3333333333336</v>
      </c>
    </row>
    <row r="572" spans="2:13" ht="42.75" customHeight="1" x14ac:dyDescent="0.3">
      <c r="B572" s="4" t="s">
        <v>581</v>
      </c>
      <c r="C572" s="4" t="s">
        <v>582</v>
      </c>
      <c r="D572" s="4" t="s">
        <v>583</v>
      </c>
      <c r="E572" s="5" t="s">
        <v>196</v>
      </c>
      <c r="F572" s="6">
        <f>'HLR R'!BA7</f>
        <v>57.568136033333332</v>
      </c>
      <c r="G572" s="7" t="s">
        <v>190</v>
      </c>
      <c r="H572" s="6">
        <f>'HLR R'!BW7</f>
        <v>137.56813603333333</v>
      </c>
      <c r="I572" s="369">
        <f>'HLR R'!AY7</f>
        <v>4</v>
      </c>
      <c r="J572" s="368"/>
      <c r="K572" s="367">
        <f t="shared" si="10"/>
        <v>57.568136033333332</v>
      </c>
      <c r="L572" s="367">
        <f>$F572-'HLR R'!AZ7</f>
        <v>25.734802700000003</v>
      </c>
      <c r="M572" s="367">
        <f>IFERROR('HLR R'!AZ7*'HLR R'!AY7,0)</f>
        <v>127.33333333333331</v>
      </c>
    </row>
    <row r="573" spans="2:13" ht="42.75" customHeight="1" x14ac:dyDescent="0.3">
      <c r="B573" s="4" t="s">
        <v>584</v>
      </c>
      <c r="C573" s="4" t="s">
        <v>582</v>
      </c>
      <c r="D573" s="4" t="s">
        <v>583</v>
      </c>
      <c r="E573" s="5" t="s">
        <v>200</v>
      </c>
      <c r="F573" s="6">
        <f>'HLR R'!BA8</f>
        <v>79.319937333333328</v>
      </c>
      <c r="G573" s="7" t="s">
        <v>190</v>
      </c>
      <c r="H573" s="6">
        <f>'HLR R'!BW8</f>
        <v>159.31993733333331</v>
      </c>
      <c r="I573" s="369">
        <f>'HLR R'!AY8</f>
        <v>4</v>
      </c>
      <c r="J573" s="368"/>
      <c r="K573" s="367">
        <f t="shared" si="10"/>
        <v>79.319937333333328</v>
      </c>
      <c r="L573" s="367">
        <f>$F573-'HLR R'!AZ8</f>
        <v>47.486604</v>
      </c>
      <c r="M573" s="367">
        <f>IFERROR('HLR R'!AZ8*'HLR R'!AY8,0)</f>
        <v>127.33333333333331</v>
      </c>
    </row>
    <row r="574" spans="2:13" ht="42.75" customHeight="1" x14ac:dyDescent="0.3">
      <c r="B574" s="4" t="s">
        <v>585</v>
      </c>
      <c r="C574" s="4" t="s">
        <v>582</v>
      </c>
      <c r="D574" s="4" t="s">
        <v>583</v>
      </c>
      <c r="E574" s="5" t="s">
        <v>185</v>
      </c>
      <c r="F574" s="6">
        <f>'HLR R'!BA9</f>
        <v>129.65462074444443</v>
      </c>
      <c r="G574" s="7" t="s">
        <v>190</v>
      </c>
      <c r="H574" s="6">
        <f>'HLR R'!BW9</f>
        <v>209.65462074444443</v>
      </c>
      <c r="I574" s="369">
        <f>'HLR R'!AY9</f>
        <v>3</v>
      </c>
      <c r="J574" s="368"/>
      <c r="K574" s="367">
        <f t="shared" si="10"/>
        <v>129.65462074444443</v>
      </c>
      <c r="L574" s="367">
        <f>$F574-'HLR R'!AZ9</f>
        <v>87.210176300000001</v>
      </c>
      <c r="M574" s="367">
        <f>IFERROR('HLR R'!AZ9*'HLR R'!AY9,0)</f>
        <v>127.33333333333331</v>
      </c>
    </row>
    <row r="575" spans="2:13" ht="42.75" customHeight="1" x14ac:dyDescent="0.3">
      <c r="B575" s="4" t="s">
        <v>586</v>
      </c>
      <c r="C575" s="4" t="s">
        <v>582</v>
      </c>
      <c r="D575" s="4" t="s">
        <v>583</v>
      </c>
      <c r="E575" s="5" t="s">
        <v>39</v>
      </c>
      <c r="F575" s="6">
        <f>'HLR R'!BA10</f>
        <v>227.59731694444443</v>
      </c>
      <c r="G575" s="7" t="s">
        <v>190</v>
      </c>
      <c r="H575" s="6">
        <f>'HLR R'!BW10</f>
        <v>307.5973169444444</v>
      </c>
      <c r="I575" s="369">
        <f>'HLR R'!AY10</f>
        <v>3</v>
      </c>
      <c r="J575" s="368"/>
      <c r="K575" s="367">
        <f t="shared" si="10"/>
        <v>227.59731694444443</v>
      </c>
      <c r="L575" s="367">
        <f>$F575-'HLR R'!AZ10</f>
        <v>185.1528725</v>
      </c>
      <c r="M575" s="367">
        <f>IFERROR('HLR R'!AZ10*'HLR R'!AY10,0)</f>
        <v>127.33333333333331</v>
      </c>
    </row>
    <row r="576" spans="2:13" ht="42.75" customHeight="1" x14ac:dyDescent="0.3">
      <c r="B576" s="4" t="s">
        <v>587</v>
      </c>
      <c r="C576" s="4" t="s">
        <v>582</v>
      </c>
      <c r="D576" s="4" t="s">
        <v>583</v>
      </c>
      <c r="E576" s="5" t="s">
        <v>300</v>
      </c>
      <c r="F576" s="6">
        <f>'HLR R'!BA11</f>
        <v>322.03244018888887</v>
      </c>
      <c r="G576" s="7" t="s">
        <v>190</v>
      </c>
      <c r="H576" s="6">
        <f>'HLR R'!BW11</f>
        <v>402.03244018888887</v>
      </c>
      <c r="I576" s="369">
        <f>'HLR R'!AY11</f>
        <v>3</v>
      </c>
      <c r="J576" s="368"/>
      <c r="K576" s="367">
        <f t="shared" si="10"/>
        <v>322.03244018888887</v>
      </c>
      <c r="L576" s="367">
        <f>$F576-'HLR R'!AZ11</f>
        <v>285.14355130000001</v>
      </c>
      <c r="M576" s="367">
        <f>IFERROR('HLR R'!AZ11*'HLR R'!AY11,0)</f>
        <v>110.66666666666663</v>
      </c>
    </row>
    <row r="577" spans="2:13" ht="42.75" customHeight="1" x14ac:dyDescent="0.3">
      <c r="B577" s="4" t="s">
        <v>588</v>
      </c>
      <c r="C577" s="4" t="s">
        <v>582</v>
      </c>
      <c r="D577" s="4" t="s">
        <v>583</v>
      </c>
      <c r="E577" s="5" t="s">
        <v>41</v>
      </c>
      <c r="F577" s="6">
        <f>'HLR R'!BA12</f>
        <v>377.87363713333332</v>
      </c>
      <c r="G577" s="7" t="s">
        <v>190</v>
      </c>
      <c r="H577" s="6">
        <f>'HLR R'!BW12</f>
        <v>457.87363713333332</v>
      </c>
      <c r="I577" s="369">
        <f>'HLR R'!AY12</f>
        <v>2</v>
      </c>
      <c r="J577" s="368"/>
      <c r="K577" s="367">
        <f t="shared" si="10"/>
        <v>377.87363713333332</v>
      </c>
      <c r="L577" s="367">
        <f>$F577-'HLR R'!AZ12</f>
        <v>322.5403038</v>
      </c>
      <c r="M577" s="367">
        <f>IFERROR('HLR R'!AZ12*'HLR R'!AY12,0)</f>
        <v>110.66666666666663</v>
      </c>
    </row>
    <row r="578" spans="2:13" ht="42.75" customHeight="1" x14ac:dyDescent="0.3">
      <c r="B578" s="4" t="s">
        <v>589</v>
      </c>
      <c r="C578" s="4" t="s">
        <v>582</v>
      </c>
      <c r="D578" s="4" t="s">
        <v>583</v>
      </c>
      <c r="E578" s="5" t="s">
        <v>43</v>
      </c>
      <c r="F578" s="6">
        <f>'HLR R'!BA13</f>
        <v>501.16128016666664</v>
      </c>
      <c r="G578" s="7" t="s">
        <v>190</v>
      </c>
      <c r="H578" s="6">
        <f>'HLR R'!BW13</f>
        <v>581.16128016666664</v>
      </c>
      <c r="I578" s="369">
        <f>'HLR R'!AY13</f>
        <v>2</v>
      </c>
      <c r="J578" s="368"/>
      <c r="K578" s="367">
        <f t="shared" si="10"/>
        <v>501.16128016666664</v>
      </c>
      <c r="L578" s="367">
        <f>$F578-'HLR R'!AZ13</f>
        <v>442.49461350000001</v>
      </c>
      <c r="M578" s="367">
        <f>IFERROR('HLR R'!AZ13*'HLR R'!AY13,0)</f>
        <v>117.3333333333333</v>
      </c>
    </row>
    <row r="579" spans="2:13" ht="42.75" customHeight="1" x14ac:dyDescent="0.3">
      <c r="B579" s="4" t="s">
        <v>590</v>
      </c>
      <c r="C579" s="4" t="s">
        <v>582</v>
      </c>
      <c r="D579" s="4" t="s">
        <v>583</v>
      </c>
      <c r="E579" s="5" t="s">
        <v>45</v>
      </c>
      <c r="F579" s="6">
        <f>'HLR R'!BA14</f>
        <v>680.63269946666674</v>
      </c>
      <c r="G579" s="7" t="s">
        <v>190</v>
      </c>
      <c r="H579" s="6">
        <f>'HLR R'!BW14</f>
        <v>760.63269946666674</v>
      </c>
      <c r="I579" s="369">
        <f>'HLR R'!AY14</f>
        <v>2</v>
      </c>
      <c r="J579" s="368"/>
      <c r="K579" s="367">
        <f t="shared" si="10"/>
        <v>680.63269946666674</v>
      </c>
      <c r="L579" s="367">
        <f>$F579-'HLR R'!AZ14</f>
        <v>621.96603280000011</v>
      </c>
      <c r="M579" s="367">
        <f>IFERROR('HLR R'!AZ14*'HLR R'!AY14,0)</f>
        <v>117.3333333333333</v>
      </c>
    </row>
    <row r="580" spans="2:13" ht="42.75" customHeight="1" x14ac:dyDescent="0.3">
      <c r="B580" s="4" t="s">
        <v>591</v>
      </c>
      <c r="C580" s="4" t="s">
        <v>582</v>
      </c>
      <c r="D580" s="4" t="s">
        <v>583</v>
      </c>
      <c r="E580" s="5" t="s">
        <v>47</v>
      </c>
      <c r="F580" s="6">
        <f>'HLR R'!BA15</f>
        <v>969.21682493333321</v>
      </c>
      <c r="G580" s="7" t="s">
        <v>190</v>
      </c>
      <c r="H580" s="6">
        <f>'HLR R'!BW15</f>
        <v>1049.2168249333331</v>
      </c>
      <c r="I580" s="369">
        <f>'HLR R'!AY15</f>
        <v>1</v>
      </c>
      <c r="J580" s="368"/>
      <c r="K580" s="367">
        <f t="shared" si="10"/>
        <v>969.21682493333321</v>
      </c>
      <c r="L580" s="367">
        <f>$F580-'HLR R'!AZ15</f>
        <v>831.88349159999984</v>
      </c>
      <c r="M580" s="367">
        <f>IFERROR('HLR R'!AZ15*'HLR R'!AY15,0)</f>
        <v>137.33333333333337</v>
      </c>
    </row>
    <row r="581" spans="2:13" ht="42.75" customHeight="1" x14ac:dyDescent="0.3">
      <c r="B581" s="4" t="s">
        <v>592</v>
      </c>
      <c r="C581" s="4" t="s">
        <v>582</v>
      </c>
      <c r="D581" s="4" t="s">
        <v>583</v>
      </c>
      <c r="E581" s="5" t="s">
        <v>222</v>
      </c>
      <c r="F581" s="6">
        <f>'HLR R'!BA16</f>
        <v>1097.2976702333335</v>
      </c>
      <c r="G581" s="7" t="s">
        <v>190</v>
      </c>
      <c r="H581" s="6">
        <f>'HLR R'!BW16</f>
        <v>1177.2976702333335</v>
      </c>
      <c r="I581" s="369">
        <f>'HLR R'!AY16</f>
        <v>1</v>
      </c>
      <c r="J581" s="368"/>
      <c r="K581" s="367">
        <f t="shared" si="10"/>
        <v>1097.2976702333335</v>
      </c>
      <c r="L581" s="367">
        <f>$F581-'HLR R'!AZ16</f>
        <v>959.96433690000015</v>
      </c>
      <c r="M581" s="367">
        <f>IFERROR('HLR R'!AZ16*'HLR R'!AY16,0)</f>
        <v>137.33333333333337</v>
      </c>
    </row>
    <row r="582" spans="2:13" ht="42.75" customHeight="1" x14ac:dyDescent="0.3">
      <c r="B582" s="4" t="s">
        <v>593</v>
      </c>
      <c r="C582" s="4" t="s">
        <v>582</v>
      </c>
      <c r="D582" s="4" t="s">
        <v>583</v>
      </c>
      <c r="E582" s="5" t="s">
        <v>226</v>
      </c>
      <c r="F582" s="6">
        <f>'HLR R'!BA17</f>
        <v>1495.3779259333332</v>
      </c>
      <c r="G582" s="7" t="s">
        <v>190</v>
      </c>
      <c r="H582" s="6">
        <f>'HLR R'!BW17</f>
        <v>1575.3779259333332</v>
      </c>
      <c r="I582" s="369">
        <f>'HLR R'!AY17</f>
        <v>1</v>
      </c>
      <c r="J582" s="368"/>
      <c r="K582" s="367">
        <f t="shared" si="10"/>
        <v>1495.3779259333332</v>
      </c>
      <c r="L582" s="367">
        <f>$F582-'HLR R'!AZ17</f>
        <v>1358.0445925999998</v>
      </c>
      <c r="M582" s="367">
        <f>IFERROR('HLR R'!AZ17*'HLR R'!AY17,0)</f>
        <v>137.33333333333337</v>
      </c>
    </row>
    <row r="583" spans="2:13" ht="42.75" customHeight="1" x14ac:dyDescent="0.3">
      <c r="B583" s="4" t="s">
        <v>594</v>
      </c>
      <c r="C583" s="4" t="s">
        <v>582</v>
      </c>
      <c r="D583" s="4" t="s">
        <v>583</v>
      </c>
      <c r="E583" s="5" t="s">
        <v>230</v>
      </c>
      <c r="F583" s="6">
        <f>'HLR R'!BA18</f>
        <v>1914.5842343333334</v>
      </c>
      <c r="G583" s="7" t="s">
        <v>190</v>
      </c>
      <c r="H583" s="6">
        <f>'HLR R'!BW18</f>
        <v>1994.5842343333334</v>
      </c>
      <c r="I583" s="369">
        <f>'HLR R'!AY18</f>
        <v>1</v>
      </c>
      <c r="J583" s="368"/>
      <c r="K583" s="367">
        <f t="shared" si="10"/>
        <v>1914.5842343333334</v>
      </c>
      <c r="L583" s="367">
        <f>$F583-'HLR R'!AZ18</f>
        <v>1757.2509009999999</v>
      </c>
      <c r="M583" s="367">
        <f>IFERROR('HLR R'!AZ18*'HLR R'!AY18,0)</f>
        <v>157.33333333333337</v>
      </c>
    </row>
    <row r="584" spans="2:13" ht="42.75" customHeight="1" x14ac:dyDescent="0.3">
      <c r="B584" s="4" t="s">
        <v>595</v>
      </c>
      <c r="C584" s="4" t="s">
        <v>582</v>
      </c>
      <c r="D584" s="4" t="s">
        <v>583</v>
      </c>
      <c r="E584" s="5" t="s">
        <v>234</v>
      </c>
      <c r="F584" s="6">
        <f>'HLR R'!BA19</f>
        <v>2008.5898089</v>
      </c>
      <c r="G584" s="7" t="s">
        <v>190</v>
      </c>
      <c r="H584" s="6">
        <f>'HLR R'!BW19</f>
        <v>2088.5898089000002</v>
      </c>
      <c r="I584" s="369">
        <f>'HLR R'!AY19</f>
        <v>1</v>
      </c>
      <c r="J584" s="368"/>
      <c r="K584" s="367">
        <f t="shared" si="10"/>
        <v>2008.5898089</v>
      </c>
      <c r="L584" s="367">
        <f>$F584-'HLR R'!AZ19</f>
        <v>1804.5898089</v>
      </c>
      <c r="M584" s="367">
        <f>IFERROR('HLR R'!AZ19*'HLR R'!AY19,0)</f>
        <v>203.99999999999994</v>
      </c>
    </row>
    <row r="585" spans="2:13" ht="42.75" customHeight="1" x14ac:dyDescent="0.3">
      <c r="B585" s="4" t="s">
        <v>596</v>
      </c>
      <c r="C585" s="4" t="s">
        <v>582</v>
      </c>
      <c r="D585" s="4" t="s">
        <v>583</v>
      </c>
      <c r="E585" s="5" t="s">
        <v>238</v>
      </c>
      <c r="F585" s="6">
        <f>'HLR R'!BA20</f>
        <v>2731.6761586333332</v>
      </c>
      <c r="G585" s="7" t="s">
        <v>190</v>
      </c>
      <c r="H585" s="6">
        <f>'HLR R'!BW20</f>
        <v>2811.6761586333332</v>
      </c>
      <c r="I585" s="369">
        <f>'HLR R'!AY20</f>
        <v>1</v>
      </c>
      <c r="J585" s="368"/>
      <c r="K585" s="367">
        <f t="shared" si="10"/>
        <v>2731.6761586333332</v>
      </c>
      <c r="L585" s="367">
        <f>$F585-'HLR R'!AZ20</f>
        <v>2428.3428253000002</v>
      </c>
      <c r="M585" s="367">
        <f>IFERROR('HLR R'!AZ20*'HLR R'!AY20,0)</f>
        <v>303.33333333333326</v>
      </c>
    </row>
    <row r="586" spans="2:13" ht="42.75" customHeight="1" x14ac:dyDescent="0.3">
      <c r="B586" s="4" t="s">
        <v>597</v>
      </c>
      <c r="C586" s="4" t="s">
        <v>582</v>
      </c>
      <c r="D586" s="4" t="s">
        <v>583</v>
      </c>
      <c r="E586" s="5" t="s">
        <v>242</v>
      </c>
      <c r="F586" s="6">
        <f>'HLR R'!BA21</f>
        <v>2996.7246455333334</v>
      </c>
      <c r="G586" s="7" t="s">
        <v>190</v>
      </c>
      <c r="H586" s="6">
        <f>'HLR R'!BW21</f>
        <v>3076.7246455333334</v>
      </c>
      <c r="I586" s="369">
        <f>'HLR R'!AY21</f>
        <v>1</v>
      </c>
      <c r="J586" s="368"/>
      <c r="K586" s="367">
        <f t="shared" si="10"/>
        <v>2996.7246455333334</v>
      </c>
      <c r="L586" s="367">
        <f>$F586-'HLR R'!AZ21</f>
        <v>2693.3913122000004</v>
      </c>
      <c r="M586" s="367">
        <f>IFERROR('HLR R'!AZ21*'HLR R'!AY21,0)</f>
        <v>303.33333333333326</v>
      </c>
    </row>
    <row r="587" spans="2:13" ht="42.75" customHeight="1" x14ac:dyDescent="0.3">
      <c r="B587" s="4" t="s">
        <v>598</v>
      </c>
      <c r="C587" s="4" t="s">
        <v>582</v>
      </c>
      <c r="D587" s="4" t="s">
        <v>583</v>
      </c>
      <c r="E587" s="5" t="s">
        <v>246</v>
      </c>
      <c r="F587" s="6">
        <f>'HLR R'!BA22</f>
        <v>3188.9997535333332</v>
      </c>
      <c r="G587" s="7" t="s">
        <v>190</v>
      </c>
      <c r="H587" s="6">
        <f>'HLR R'!BW22</f>
        <v>3268.9997535333332</v>
      </c>
      <c r="I587" s="369">
        <f>'HLR R'!AY22</f>
        <v>1</v>
      </c>
      <c r="J587" s="368"/>
      <c r="K587" s="367">
        <f t="shared" si="10"/>
        <v>3188.9997535333332</v>
      </c>
      <c r="L587" s="367">
        <f>$F587-'HLR R'!AZ22</f>
        <v>2885.6664202000002</v>
      </c>
      <c r="M587" s="367">
        <f>IFERROR('HLR R'!AZ22*'HLR R'!AY22,0)</f>
        <v>303.33333333333326</v>
      </c>
    </row>
    <row r="588" spans="2:13" ht="42.75" customHeight="1" x14ac:dyDescent="0.3">
      <c r="B588" s="4" t="s">
        <v>599</v>
      </c>
      <c r="C588" s="4" t="s">
        <v>582</v>
      </c>
      <c r="D588" s="4" t="s">
        <v>583</v>
      </c>
      <c r="E588" s="5" t="s">
        <v>250</v>
      </c>
      <c r="F588" s="6">
        <f>'HLR R'!BA23</f>
        <v>4124.0097193333331</v>
      </c>
      <c r="G588" s="7" t="s">
        <v>190</v>
      </c>
      <c r="H588" s="6">
        <f>'HLR R'!BW23</f>
        <v>4204.0097193333331</v>
      </c>
      <c r="I588" s="369">
        <f>'HLR R'!AY23</f>
        <v>1</v>
      </c>
      <c r="J588" s="368"/>
      <c r="K588" s="367">
        <f t="shared" si="10"/>
        <v>4124.0097193333331</v>
      </c>
      <c r="L588" s="367">
        <f>$F588-'HLR R'!AZ23</f>
        <v>3820.6763860000001</v>
      </c>
      <c r="M588" s="367">
        <f>IFERROR('HLR R'!AZ23*'HLR R'!AY23,0)</f>
        <v>303.33333333333326</v>
      </c>
    </row>
    <row r="589" spans="2:13" ht="42.75" customHeight="1" x14ac:dyDescent="0.3">
      <c r="B589" s="4" t="s">
        <v>600</v>
      </c>
      <c r="C589" s="4" t="s">
        <v>582</v>
      </c>
      <c r="D589" s="4" t="s">
        <v>583</v>
      </c>
      <c r="E589" s="5" t="s">
        <v>254</v>
      </c>
      <c r="F589" s="6">
        <f>'HLR R'!BA24</f>
        <v>4728.5763878333328</v>
      </c>
      <c r="G589" s="7" t="s">
        <v>190</v>
      </c>
      <c r="H589" s="6">
        <f>'HLR R'!BW24</f>
        <v>4808.5763878333328</v>
      </c>
      <c r="I589" s="369">
        <f>'HLR R'!AY24</f>
        <v>1</v>
      </c>
      <c r="J589" s="368"/>
      <c r="K589" s="367">
        <f t="shared" si="10"/>
        <v>4728.5763878333328</v>
      </c>
      <c r="L589" s="367">
        <f>$F589-'HLR R'!AZ24</f>
        <v>4425.2430544999997</v>
      </c>
      <c r="M589" s="367">
        <f>IFERROR('HLR R'!AZ24*'HLR R'!AY24,0)</f>
        <v>303.33333333333326</v>
      </c>
    </row>
    <row r="590" spans="2:13" ht="42.75" customHeight="1" x14ac:dyDescent="0.3">
      <c r="B590" s="4" t="s">
        <v>601</v>
      </c>
      <c r="C590" s="4" t="s">
        <v>582</v>
      </c>
      <c r="D590" s="4" t="s">
        <v>583</v>
      </c>
      <c r="E590" s="5" t="s">
        <v>258</v>
      </c>
      <c r="F590" s="6">
        <f>'HLR R'!BA25</f>
        <v>5169.5763353333332</v>
      </c>
      <c r="G590" s="7" t="s">
        <v>190</v>
      </c>
      <c r="H590" s="6">
        <f>'HLR R'!BW25</f>
        <v>5249.5763353333332</v>
      </c>
      <c r="I590" s="369">
        <f>'HLR R'!AY25</f>
        <v>1</v>
      </c>
      <c r="J590" s="368"/>
      <c r="K590" s="367">
        <f t="shared" si="10"/>
        <v>5169.5763353333332</v>
      </c>
      <c r="L590" s="367">
        <f>$F590-'HLR R'!AZ25</f>
        <v>4826.2430020000002</v>
      </c>
      <c r="M590" s="367">
        <f>IFERROR('HLR R'!AZ25*'HLR R'!AY25,0)</f>
        <v>343.33333333333331</v>
      </c>
    </row>
    <row r="591" spans="2:13" ht="42.75" customHeight="1" x14ac:dyDescent="0.3">
      <c r="B591" s="4" t="s">
        <v>602</v>
      </c>
      <c r="C591" s="4" t="s">
        <v>582</v>
      </c>
      <c r="D591" s="4" t="s">
        <v>583</v>
      </c>
      <c r="E591" s="5" t="s">
        <v>262</v>
      </c>
      <c r="F591" s="6">
        <f>'HLR R'!BA26</f>
        <v>5694.3019898333341</v>
      </c>
      <c r="G591" s="7" t="s">
        <v>190</v>
      </c>
      <c r="H591" s="6">
        <f>'HLR R'!BW26</f>
        <v>5774.3019898333341</v>
      </c>
      <c r="I591" s="369">
        <f>'HLR R'!AY26</f>
        <v>1</v>
      </c>
      <c r="J591" s="368"/>
      <c r="K591" s="367">
        <f t="shared" si="10"/>
        <v>5694.3019898333341</v>
      </c>
      <c r="L591" s="367">
        <f>$F591-'HLR R'!AZ26</f>
        <v>5350.9686565000011</v>
      </c>
      <c r="M591" s="367">
        <f>IFERROR('HLR R'!AZ26*'HLR R'!AY26,0)</f>
        <v>343.33333333333331</v>
      </c>
    </row>
    <row r="592" spans="2:13" ht="42.75" customHeight="1" x14ac:dyDescent="0.3">
      <c r="B592" s="4" t="s">
        <v>603</v>
      </c>
      <c r="C592" s="4" t="s">
        <v>582</v>
      </c>
      <c r="D592" s="4" t="s">
        <v>583</v>
      </c>
      <c r="E592" s="5" t="s">
        <v>266</v>
      </c>
      <c r="F592" s="6">
        <f>'HLR R'!BA27</f>
        <v>6489.734314833333</v>
      </c>
      <c r="G592" s="7" t="s">
        <v>190</v>
      </c>
      <c r="H592" s="6">
        <f>'HLR R'!BW27</f>
        <v>6569.734314833333</v>
      </c>
      <c r="I592" s="369">
        <f>'HLR R'!AY27</f>
        <v>1</v>
      </c>
      <c r="J592" s="368"/>
      <c r="K592" s="367">
        <f t="shared" si="10"/>
        <v>6489.734314833333</v>
      </c>
      <c r="L592" s="367">
        <f>$F592-'HLR R'!AZ27</f>
        <v>6106.4009814999999</v>
      </c>
      <c r="M592" s="367">
        <f>IFERROR('HLR R'!AZ27*'HLR R'!AY27,0)</f>
        <v>383.33333333333331</v>
      </c>
    </row>
    <row r="593" spans="2:13" ht="42.75" customHeight="1" x14ac:dyDescent="0.3">
      <c r="B593" s="4" t="s">
        <v>604</v>
      </c>
      <c r="C593" s="4" t="s">
        <v>582</v>
      </c>
      <c r="D593" s="4" t="s">
        <v>583</v>
      </c>
      <c r="E593" s="5" t="s">
        <v>270</v>
      </c>
      <c r="F593" s="6">
        <f>'HLR R'!BA28</f>
        <v>6969.4857236666658</v>
      </c>
      <c r="G593" s="7" t="s">
        <v>190</v>
      </c>
      <c r="H593" s="6">
        <f>'HLR R'!BW28</f>
        <v>7049.4857236666658</v>
      </c>
      <c r="I593" s="369">
        <f>'HLR R'!AY28</f>
        <v>1</v>
      </c>
      <c r="J593" s="368"/>
      <c r="K593" s="367">
        <f t="shared" si="10"/>
        <v>6969.4857236666658</v>
      </c>
      <c r="L593" s="367">
        <f>$F593-'HLR R'!AZ28</f>
        <v>6572.8190569999988</v>
      </c>
      <c r="M593" s="367">
        <f>IFERROR('HLR R'!AZ28*'HLR R'!AY28,0)</f>
        <v>396.66666666666669</v>
      </c>
    </row>
    <row r="594" spans="2:13" ht="42.75" customHeight="1" x14ac:dyDescent="0.3">
      <c r="B594" s="4" t="s">
        <v>605</v>
      </c>
      <c r="C594" s="4" t="s">
        <v>582</v>
      </c>
      <c r="D594" s="4" t="s">
        <v>583</v>
      </c>
      <c r="E594" s="5" t="s">
        <v>274</v>
      </c>
      <c r="F594" s="6">
        <f>'HLR R'!BA29</f>
        <v>7711.9801867666674</v>
      </c>
      <c r="G594" s="7" t="s">
        <v>190</v>
      </c>
      <c r="H594" s="6">
        <f>'HLR R'!BW29</f>
        <v>7791.9801867666674</v>
      </c>
      <c r="I594" s="369">
        <f>'HLR R'!AY29</f>
        <v>1</v>
      </c>
      <c r="J594" s="368"/>
      <c r="K594" s="367">
        <f t="shared" si="10"/>
        <v>7711.9801867666674</v>
      </c>
      <c r="L594" s="367">
        <f>$F594-'HLR R'!AZ29</f>
        <v>7315.3135201000005</v>
      </c>
      <c r="M594" s="367">
        <f>IFERROR('HLR R'!AZ29*'HLR R'!AY29,0)</f>
        <v>396.66666666666669</v>
      </c>
    </row>
    <row r="595" spans="2:13" ht="42.75" customHeight="1" x14ac:dyDescent="0.3">
      <c r="B595" s="4" t="s">
        <v>606</v>
      </c>
      <c r="C595" s="4" t="s">
        <v>582</v>
      </c>
      <c r="D595" s="4" t="s">
        <v>583</v>
      </c>
      <c r="E595" s="5" t="s">
        <v>278</v>
      </c>
      <c r="F595" s="6">
        <f>'HLR R'!BA30</f>
        <v>8915.0051336666675</v>
      </c>
      <c r="G595" s="7" t="s">
        <v>190</v>
      </c>
      <c r="H595" s="6">
        <f>'HLR R'!BW30</f>
        <v>8995.0051336666675</v>
      </c>
      <c r="I595" s="369">
        <f>'HLR R'!AY30</f>
        <v>1</v>
      </c>
      <c r="J595" s="368"/>
      <c r="K595" s="367">
        <f t="shared" si="10"/>
        <v>8915.0051336666675</v>
      </c>
      <c r="L595" s="367">
        <f>$F595-'HLR R'!AZ30</f>
        <v>8518.3384670000014</v>
      </c>
      <c r="M595" s="367">
        <f>IFERROR('HLR R'!AZ30*'HLR R'!AY30,0)</f>
        <v>396.66666666666669</v>
      </c>
    </row>
    <row r="596" spans="2:13" ht="42.75" customHeight="1" x14ac:dyDescent="0.3">
      <c r="B596" s="4" t="s">
        <v>607</v>
      </c>
      <c r="C596" s="4" t="s">
        <v>582</v>
      </c>
      <c r="D596" s="4" t="s">
        <v>608</v>
      </c>
      <c r="E596" s="5" t="s">
        <v>196</v>
      </c>
      <c r="F596" s="6">
        <f>'HLR R'!BA31</f>
        <v>57.822806033333322</v>
      </c>
      <c r="G596" s="7" t="s">
        <v>190</v>
      </c>
      <c r="H596" s="6">
        <f>'HLR R'!BW31</f>
        <v>137.82280603333334</v>
      </c>
      <c r="I596" s="369">
        <f>'HLR R'!AY31</f>
        <v>4</v>
      </c>
      <c r="J596" s="368"/>
      <c r="K596" s="367">
        <f t="shared" si="10"/>
        <v>57.822806033333322</v>
      </c>
      <c r="L596" s="367">
        <f>$F596-'HLR R'!AZ31</f>
        <v>25.989472699999993</v>
      </c>
      <c r="M596" s="367">
        <f>IFERROR('HLR R'!AZ31*'HLR R'!AY31,0)</f>
        <v>127.33333333333331</v>
      </c>
    </row>
    <row r="597" spans="2:13" ht="42.75" customHeight="1" x14ac:dyDescent="0.3">
      <c r="B597" s="4" t="s">
        <v>609</v>
      </c>
      <c r="C597" s="4" t="s">
        <v>582</v>
      </c>
      <c r="D597" s="4" t="s">
        <v>608</v>
      </c>
      <c r="E597" s="5" t="s">
        <v>200</v>
      </c>
      <c r="F597" s="6">
        <f>'HLR R'!BA32</f>
        <v>79.711737333333332</v>
      </c>
      <c r="G597" s="7" t="s">
        <v>190</v>
      </c>
      <c r="H597" s="6">
        <f>'HLR R'!BW32</f>
        <v>159.71173733333333</v>
      </c>
      <c r="I597" s="369">
        <f>'HLR R'!AY32</f>
        <v>4</v>
      </c>
      <c r="J597" s="368"/>
      <c r="K597" s="367">
        <f t="shared" si="10"/>
        <v>79.711737333333332</v>
      </c>
      <c r="L597" s="367">
        <f>$F597-'HLR R'!AZ32</f>
        <v>47.878404000000003</v>
      </c>
      <c r="M597" s="367">
        <f>IFERROR('HLR R'!AZ32*'HLR R'!AY32,0)</f>
        <v>127.33333333333331</v>
      </c>
    </row>
    <row r="598" spans="2:13" ht="42.75" customHeight="1" x14ac:dyDescent="0.3">
      <c r="B598" s="4" t="s">
        <v>610</v>
      </c>
      <c r="C598" s="4" t="s">
        <v>582</v>
      </c>
      <c r="D598" s="4" t="s">
        <v>608</v>
      </c>
      <c r="E598" s="5" t="s">
        <v>185</v>
      </c>
      <c r="F598" s="6">
        <f>'HLR R'!BA33</f>
        <v>130.75166074444445</v>
      </c>
      <c r="G598" s="7" t="s">
        <v>190</v>
      </c>
      <c r="H598" s="6">
        <f>'HLR R'!BW33</f>
        <v>210.75166074444445</v>
      </c>
      <c r="I598" s="369">
        <f>'HLR R'!AY33</f>
        <v>3</v>
      </c>
      <c r="J598" s="368"/>
      <c r="K598" s="367">
        <f t="shared" si="10"/>
        <v>130.75166074444445</v>
      </c>
      <c r="L598" s="367">
        <f>$F598-'HLR R'!AZ33</f>
        <v>88.307216300000022</v>
      </c>
      <c r="M598" s="367">
        <f>IFERROR('HLR R'!AZ33*'HLR R'!AY33,0)</f>
        <v>127.33333333333331</v>
      </c>
    </row>
    <row r="599" spans="2:13" ht="42.75" customHeight="1" x14ac:dyDescent="0.3">
      <c r="B599" s="4" t="s">
        <v>611</v>
      </c>
      <c r="C599" s="4" t="s">
        <v>582</v>
      </c>
      <c r="D599" s="4" t="s">
        <v>608</v>
      </c>
      <c r="E599" s="5" t="s">
        <v>39</v>
      </c>
      <c r="F599" s="6">
        <f>'HLR R'!BA34</f>
        <v>231.90711694444443</v>
      </c>
      <c r="G599" s="7" t="s">
        <v>190</v>
      </c>
      <c r="H599" s="6">
        <f>'HLR R'!BW34</f>
        <v>311.9071169444444</v>
      </c>
      <c r="I599" s="369">
        <f>'HLR R'!AY34</f>
        <v>3</v>
      </c>
      <c r="J599" s="368"/>
      <c r="K599" s="367">
        <f t="shared" si="10"/>
        <v>231.90711694444443</v>
      </c>
      <c r="L599" s="367">
        <f>$F599-'HLR R'!AZ34</f>
        <v>189.4626725</v>
      </c>
      <c r="M599" s="367">
        <f>IFERROR('HLR R'!AZ34*'HLR R'!AY34,0)</f>
        <v>127.33333333333331</v>
      </c>
    </row>
    <row r="600" spans="2:13" ht="42.75" customHeight="1" x14ac:dyDescent="0.3">
      <c r="B600" s="4" t="s">
        <v>612</v>
      </c>
      <c r="C600" s="4" t="s">
        <v>582</v>
      </c>
      <c r="D600" s="4" t="s">
        <v>608</v>
      </c>
      <c r="E600" s="5" t="s">
        <v>300</v>
      </c>
      <c r="F600" s="6">
        <f>'HLR R'!BA35</f>
        <v>327.61559018888886</v>
      </c>
      <c r="G600" s="7" t="s">
        <v>190</v>
      </c>
      <c r="H600" s="6">
        <f>'HLR R'!BW35</f>
        <v>407.61559018888886</v>
      </c>
      <c r="I600" s="369">
        <f>'HLR R'!AY35</f>
        <v>3</v>
      </c>
      <c r="J600" s="368"/>
      <c r="K600" s="367">
        <f t="shared" si="10"/>
        <v>327.61559018888886</v>
      </c>
      <c r="L600" s="367">
        <f>$F600-'HLR R'!AZ35</f>
        <v>290.7267013</v>
      </c>
      <c r="M600" s="367">
        <f>IFERROR('HLR R'!AZ35*'HLR R'!AY35,0)</f>
        <v>110.66666666666663</v>
      </c>
    </row>
    <row r="601" spans="2:13" ht="42.75" customHeight="1" x14ac:dyDescent="0.3">
      <c r="B601" s="4" t="s">
        <v>613</v>
      </c>
      <c r="C601" s="4" t="s">
        <v>582</v>
      </c>
      <c r="D601" s="4" t="s">
        <v>608</v>
      </c>
      <c r="E601" s="5" t="s">
        <v>41</v>
      </c>
      <c r="F601" s="6">
        <f>'HLR R'!BA36</f>
        <v>386.23856713333333</v>
      </c>
      <c r="G601" s="7" t="s">
        <v>190</v>
      </c>
      <c r="H601" s="6">
        <f>'HLR R'!BW36</f>
        <v>466.23856713333333</v>
      </c>
      <c r="I601" s="369">
        <f>'HLR R'!AY36</f>
        <v>2</v>
      </c>
      <c r="J601" s="368"/>
      <c r="K601" s="367">
        <f t="shared" si="10"/>
        <v>386.23856713333333</v>
      </c>
      <c r="L601" s="367">
        <f>$F601-'HLR R'!AZ36</f>
        <v>330.90523380000002</v>
      </c>
      <c r="M601" s="367">
        <f>IFERROR('HLR R'!AZ36*'HLR R'!AY36,0)</f>
        <v>110.66666666666663</v>
      </c>
    </row>
    <row r="602" spans="2:13" ht="42.75" customHeight="1" x14ac:dyDescent="0.3">
      <c r="B602" s="4" t="s">
        <v>614</v>
      </c>
      <c r="C602" s="4" t="s">
        <v>582</v>
      </c>
      <c r="D602" s="4" t="s">
        <v>608</v>
      </c>
      <c r="E602" s="5" t="s">
        <v>43</v>
      </c>
      <c r="F602" s="6">
        <f>'HLR R'!BA37</f>
        <v>516.99000016666662</v>
      </c>
      <c r="G602" s="7" t="s">
        <v>190</v>
      </c>
      <c r="H602" s="6">
        <f>'HLR R'!BW37</f>
        <v>596.99000016666662</v>
      </c>
      <c r="I602" s="369">
        <f>'HLR R'!AY37</f>
        <v>2</v>
      </c>
      <c r="J602" s="368"/>
      <c r="K602" s="367">
        <f t="shared" si="10"/>
        <v>516.99000016666662</v>
      </c>
      <c r="L602" s="367">
        <f>$F602-'HLR R'!AZ37</f>
        <v>458.32333349999999</v>
      </c>
      <c r="M602" s="367">
        <f>IFERROR('HLR R'!AZ37*'HLR R'!AY37,0)</f>
        <v>117.3333333333333</v>
      </c>
    </row>
    <row r="603" spans="2:13" ht="42.75" customHeight="1" x14ac:dyDescent="0.3">
      <c r="B603" s="4" t="s">
        <v>615</v>
      </c>
      <c r="C603" s="4" t="s">
        <v>582</v>
      </c>
      <c r="D603" s="4" t="s">
        <v>608</v>
      </c>
      <c r="E603" s="5" t="s">
        <v>45</v>
      </c>
      <c r="F603" s="6">
        <f>'HLR R'!BA38</f>
        <v>706.68739946666676</v>
      </c>
      <c r="G603" s="7" t="s">
        <v>190</v>
      </c>
      <c r="H603" s="6">
        <f>'HLR R'!BW38</f>
        <v>786.68739946666676</v>
      </c>
      <c r="I603" s="369">
        <f>'HLR R'!AY38</f>
        <v>2</v>
      </c>
      <c r="J603" s="368"/>
      <c r="K603" s="367">
        <f t="shared" si="10"/>
        <v>706.68739946666676</v>
      </c>
      <c r="L603" s="367">
        <f>$F603-'HLR R'!AZ38</f>
        <v>648.02073280000013</v>
      </c>
      <c r="M603" s="367">
        <f>IFERROR('HLR R'!AZ38*'HLR R'!AY38,0)</f>
        <v>117.3333333333333</v>
      </c>
    </row>
    <row r="604" spans="2:13" ht="42.75" customHeight="1" x14ac:dyDescent="0.3">
      <c r="B604" s="4" t="s">
        <v>616</v>
      </c>
      <c r="C604" s="4" t="s">
        <v>582</v>
      </c>
      <c r="D604" s="4" t="s">
        <v>608</v>
      </c>
      <c r="E604" s="5" t="s">
        <v>47</v>
      </c>
      <c r="F604" s="6">
        <f>'HLR R'!BA39</f>
        <v>1005.9480749333331</v>
      </c>
      <c r="G604" s="7" t="s">
        <v>190</v>
      </c>
      <c r="H604" s="6">
        <f>'HLR R'!BW39</f>
        <v>1085.9480749333331</v>
      </c>
      <c r="I604" s="369">
        <f>'HLR R'!AY39</f>
        <v>1</v>
      </c>
      <c r="J604" s="368"/>
      <c r="K604" s="367">
        <f t="shared" si="10"/>
        <v>1005.9480749333331</v>
      </c>
      <c r="L604" s="367">
        <f>$F604-'HLR R'!AZ39</f>
        <v>868.61474159999977</v>
      </c>
      <c r="M604" s="367">
        <f>IFERROR('HLR R'!AZ39*'HLR R'!AY39,0)</f>
        <v>137.33333333333337</v>
      </c>
    </row>
    <row r="605" spans="2:13" ht="42.75" customHeight="1" x14ac:dyDescent="0.3">
      <c r="B605" s="4" t="s">
        <v>617</v>
      </c>
      <c r="C605" s="4" t="s">
        <v>582</v>
      </c>
      <c r="D605" s="4" t="s">
        <v>608</v>
      </c>
      <c r="E605" s="5" t="s">
        <v>222</v>
      </c>
      <c r="F605" s="6">
        <f>'HLR R'!BA40</f>
        <v>1147.2521702333333</v>
      </c>
      <c r="G605" s="7" t="s">
        <v>190</v>
      </c>
      <c r="H605" s="6">
        <f>'HLR R'!BW40</f>
        <v>1227.2521702333333</v>
      </c>
      <c r="I605" s="369">
        <f>'HLR R'!AY40</f>
        <v>1</v>
      </c>
      <c r="J605" s="368"/>
      <c r="K605" s="367">
        <f t="shared" si="10"/>
        <v>1147.2521702333333</v>
      </c>
      <c r="L605" s="367">
        <f>$F605-'HLR R'!AZ40</f>
        <v>1009.9188369</v>
      </c>
      <c r="M605" s="367">
        <f>IFERROR('HLR R'!AZ40*'HLR R'!AY40,0)</f>
        <v>137.33333333333337</v>
      </c>
    </row>
    <row r="606" spans="2:13" ht="42.75" customHeight="1" x14ac:dyDescent="0.3">
      <c r="B606" s="4" t="s">
        <v>618</v>
      </c>
      <c r="C606" s="4" t="s">
        <v>582</v>
      </c>
      <c r="D606" s="4" t="s">
        <v>608</v>
      </c>
      <c r="E606" s="5" t="s">
        <v>226</v>
      </c>
      <c r="F606" s="6">
        <f>'HLR R'!BA41</f>
        <v>1593.563005933333</v>
      </c>
      <c r="G606" s="7" t="s">
        <v>190</v>
      </c>
      <c r="H606" s="6">
        <f>'HLR R'!BW41</f>
        <v>1673.563005933333</v>
      </c>
      <c r="I606" s="369">
        <f>'HLR R'!AY41</f>
        <v>1</v>
      </c>
      <c r="J606" s="368"/>
      <c r="K606" s="367">
        <f t="shared" si="10"/>
        <v>1593.563005933333</v>
      </c>
      <c r="L606" s="367">
        <f>$F606-'HLR R'!AZ41</f>
        <v>1456.2296725999995</v>
      </c>
      <c r="M606" s="367">
        <f>IFERROR('HLR R'!AZ41*'HLR R'!AY41,0)</f>
        <v>137.33333333333337</v>
      </c>
    </row>
    <row r="607" spans="2:13" ht="42.75" customHeight="1" x14ac:dyDescent="0.3">
      <c r="B607" s="4" t="s">
        <v>619</v>
      </c>
      <c r="C607" s="4" t="s">
        <v>582</v>
      </c>
      <c r="D607" s="4" t="s">
        <v>608</v>
      </c>
      <c r="E607" s="5" t="s">
        <v>230</v>
      </c>
      <c r="F607" s="6">
        <f>'HLR R'!BA42</f>
        <v>2024.2882343333335</v>
      </c>
      <c r="G607" s="7" t="s">
        <v>190</v>
      </c>
      <c r="H607" s="6">
        <f>'HLR R'!BW42</f>
        <v>2104.2882343333335</v>
      </c>
      <c r="I607" s="369">
        <f>'HLR R'!AY42</f>
        <v>1</v>
      </c>
      <c r="J607" s="368"/>
      <c r="K607" s="367">
        <f t="shared" si="10"/>
        <v>2024.2882343333335</v>
      </c>
      <c r="L607" s="367">
        <f>$F607-'HLR R'!AZ42</f>
        <v>1866.9549010000001</v>
      </c>
      <c r="M607" s="367">
        <f>IFERROR('HLR R'!AZ42*'HLR R'!AY42,0)</f>
        <v>157.33333333333337</v>
      </c>
    </row>
    <row r="608" spans="2:13" ht="42.75" customHeight="1" x14ac:dyDescent="0.3">
      <c r="B608" s="4" t="s">
        <v>620</v>
      </c>
      <c r="C608" s="4" t="s">
        <v>582</v>
      </c>
      <c r="D608" s="4" t="s">
        <v>608</v>
      </c>
      <c r="E608" s="5" t="s">
        <v>234</v>
      </c>
      <c r="F608" s="6">
        <f>'HLR R'!BA43</f>
        <v>2155.5148088999995</v>
      </c>
      <c r="G608" s="7" t="s">
        <v>190</v>
      </c>
      <c r="H608" s="6">
        <f>'HLR R'!BW43</f>
        <v>2235.5148088999995</v>
      </c>
      <c r="I608" s="369">
        <f>'HLR R'!AY43</f>
        <v>1</v>
      </c>
      <c r="J608" s="368"/>
      <c r="K608" s="367">
        <f t="shared" si="10"/>
        <v>2155.5148088999995</v>
      </c>
      <c r="L608" s="367">
        <f>$F608-'HLR R'!AZ43</f>
        <v>1951.5148088999995</v>
      </c>
      <c r="M608" s="367">
        <f>IFERROR('HLR R'!AZ43*'HLR R'!AY43,0)</f>
        <v>203.99999999999994</v>
      </c>
    </row>
    <row r="609" spans="2:13" ht="42.75" customHeight="1" x14ac:dyDescent="0.3">
      <c r="B609" s="4" t="s">
        <v>621</v>
      </c>
      <c r="C609" s="4" t="s">
        <v>582</v>
      </c>
      <c r="D609" s="4" t="s">
        <v>608</v>
      </c>
      <c r="E609" s="5" t="s">
        <v>238</v>
      </c>
      <c r="F609" s="6">
        <f>'HLR R'!BA44</f>
        <v>2941.2891586333335</v>
      </c>
      <c r="G609" s="7" t="s">
        <v>190</v>
      </c>
      <c r="H609" s="6">
        <f>'HLR R'!BW44</f>
        <v>3021.2891586333335</v>
      </c>
      <c r="I609" s="369">
        <f>'HLR R'!AY44</f>
        <v>1</v>
      </c>
      <c r="J609" s="368"/>
      <c r="K609" s="367">
        <f t="shared" si="10"/>
        <v>2941.2891586333335</v>
      </c>
      <c r="L609" s="367">
        <f>$F609-'HLR R'!AZ44</f>
        <v>2637.9558253000005</v>
      </c>
      <c r="M609" s="367">
        <f>IFERROR('HLR R'!AZ44*'HLR R'!AY44,0)</f>
        <v>303.33333333333326</v>
      </c>
    </row>
    <row r="610" spans="2:13" ht="42.75" customHeight="1" x14ac:dyDescent="0.3">
      <c r="B610" s="4" t="s">
        <v>622</v>
      </c>
      <c r="C610" s="4" t="s">
        <v>582</v>
      </c>
      <c r="D610" s="4" t="s">
        <v>608</v>
      </c>
      <c r="E610" s="5" t="s">
        <v>242</v>
      </c>
      <c r="F610" s="6">
        <f>'HLR R'!BA45</f>
        <v>3331.713645533333</v>
      </c>
      <c r="G610" s="7" t="s">
        <v>190</v>
      </c>
      <c r="H610" s="6">
        <f>'HLR R'!BW45</f>
        <v>3411.713645533333</v>
      </c>
      <c r="I610" s="369">
        <f>'HLR R'!AY45</f>
        <v>1</v>
      </c>
      <c r="J610" s="368"/>
      <c r="K610" s="367">
        <f t="shared" si="10"/>
        <v>3331.713645533333</v>
      </c>
      <c r="L610" s="367">
        <f>$F610-'HLR R'!AZ45</f>
        <v>3028.3803121999999</v>
      </c>
      <c r="M610" s="367">
        <f>IFERROR('HLR R'!AZ45*'HLR R'!AY45,0)</f>
        <v>303.33333333333326</v>
      </c>
    </row>
    <row r="611" spans="2:13" ht="42.75" customHeight="1" x14ac:dyDescent="0.3">
      <c r="B611" s="4" t="s">
        <v>623</v>
      </c>
      <c r="C611" s="4" t="s">
        <v>582</v>
      </c>
      <c r="D611" s="4" t="s">
        <v>608</v>
      </c>
      <c r="E611" s="5" t="s">
        <v>246</v>
      </c>
      <c r="F611" s="6">
        <f>'HLR R'!BA46</f>
        <v>3736.5402535333333</v>
      </c>
      <c r="G611" s="7" t="s">
        <v>190</v>
      </c>
      <c r="H611" s="6">
        <f>'HLR R'!BW46</f>
        <v>3816.5402535333333</v>
      </c>
      <c r="I611" s="369">
        <f>'HLR R'!AY46</f>
        <v>1</v>
      </c>
      <c r="J611" s="368"/>
      <c r="K611" s="367">
        <f t="shared" si="10"/>
        <v>3736.5402535333333</v>
      </c>
      <c r="L611" s="367">
        <f>$F611-'HLR R'!AZ46</f>
        <v>3433.2069202000002</v>
      </c>
      <c r="M611" s="367">
        <f>IFERROR('HLR R'!AZ46*'HLR R'!AY46,0)</f>
        <v>303.33333333333326</v>
      </c>
    </row>
    <row r="612" spans="2:13" ht="42.75" customHeight="1" x14ac:dyDescent="0.3">
      <c r="B612" s="4" t="s">
        <v>624</v>
      </c>
      <c r="C612" s="4" t="s">
        <v>582</v>
      </c>
      <c r="D612" s="4" t="s">
        <v>608</v>
      </c>
      <c r="E612" s="5" t="s">
        <v>250</v>
      </c>
      <c r="F612" s="6">
        <f>'HLR R'!BA47</f>
        <v>4549.1127193333323</v>
      </c>
      <c r="G612" s="7" t="s">
        <v>190</v>
      </c>
      <c r="H612" s="6">
        <f>'HLR R'!BW47</f>
        <v>4629.1127193333323</v>
      </c>
      <c r="I612" s="369">
        <f>'HLR R'!AY47</f>
        <v>1</v>
      </c>
      <c r="J612" s="368"/>
      <c r="K612" s="367">
        <f t="shared" si="10"/>
        <v>4549.1127193333323</v>
      </c>
      <c r="L612" s="367">
        <f>$F612-'HLR R'!AZ47</f>
        <v>4245.7793859999992</v>
      </c>
      <c r="M612" s="367">
        <f>IFERROR('HLR R'!AZ47*'HLR R'!AY47,0)</f>
        <v>303.33333333333326</v>
      </c>
    </row>
    <row r="613" spans="2:13" ht="42.75" customHeight="1" x14ac:dyDescent="0.3">
      <c r="B613" s="4" t="s">
        <v>625</v>
      </c>
      <c r="C613" s="4" t="s">
        <v>582</v>
      </c>
      <c r="D613" s="4" t="s">
        <v>608</v>
      </c>
      <c r="E613" s="5" t="s">
        <v>254</v>
      </c>
      <c r="F613" s="6">
        <f>'HLR R'!BA48</f>
        <v>4987.1643878333325</v>
      </c>
      <c r="G613" s="7" t="s">
        <v>190</v>
      </c>
      <c r="H613" s="6">
        <f>'HLR R'!BW48</f>
        <v>5067.1643878333325</v>
      </c>
      <c r="I613" s="369">
        <f>'HLR R'!AY48</f>
        <v>1</v>
      </c>
      <c r="J613" s="368"/>
      <c r="K613" s="367">
        <f t="shared" si="10"/>
        <v>4987.1643878333325</v>
      </c>
      <c r="L613" s="367">
        <f>$F613-'HLR R'!AZ48</f>
        <v>4683.8310544999995</v>
      </c>
      <c r="M613" s="367">
        <f>IFERROR('HLR R'!AZ48*'HLR R'!AY48,0)</f>
        <v>303.33333333333326</v>
      </c>
    </row>
    <row r="614" spans="2:13" ht="42.75" customHeight="1" x14ac:dyDescent="0.3">
      <c r="B614" s="4" t="s">
        <v>626</v>
      </c>
      <c r="C614" s="4" t="s">
        <v>582</v>
      </c>
      <c r="D614" s="4" t="s">
        <v>608</v>
      </c>
      <c r="E614" s="5" t="s">
        <v>258</v>
      </c>
      <c r="F614" s="6">
        <f>'HLR R'!BA49</f>
        <v>5840.5338353333327</v>
      </c>
      <c r="G614" s="7" t="s">
        <v>190</v>
      </c>
      <c r="H614" s="6">
        <f>'HLR R'!BW49</f>
        <v>5920.5338353333327</v>
      </c>
      <c r="I614" s="369">
        <f>'HLR R'!AY49</f>
        <v>1</v>
      </c>
      <c r="J614" s="368"/>
      <c r="K614" s="367">
        <f t="shared" si="10"/>
        <v>5840.5338353333327</v>
      </c>
      <c r="L614" s="367">
        <f>$F614-'HLR R'!AZ49</f>
        <v>5497.2005019999997</v>
      </c>
      <c r="M614" s="367">
        <f>IFERROR('HLR R'!AZ49*'HLR R'!AY49,0)</f>
        <v>343.33333333333331</v>
      </c>
    </row>
    <row r="615" spans="2:13" ht="42.75" customHeight="1" x14ac:dyDescent="0.3">
      <c r="B615" s="4" t="s">
        <v>627</v>
      </c>
      <c r="C615" s="4" t="s">
        <v>582</v>
      </c>
      <c r="D615" s="4" t="s">
        <v>608</v>
      </c>
      <c r="E615" s="5" t="s">
        <v>262</v>
      </c>
      <c r="F615" s="6">
        <f>'HLR R'!BA50</f>
        <v>6575.8519898333334</v>
      </c>
      <c r="G615" s="7" t="s">
        <v>190</v>
      </c>
      <c r="H615" s="6">
        <f>'HLR R'!BW50</f>
        <v>6655.8519898333334</v>
      </c>
      <c r="I615" s="369">
        <f>'HLR R'!AY50</f>
        <v>1</v>
      </c>
      <c r="J615" s="368"/>
      <c r="K615" s="367">
        <f t="shared" ref="K615:K678" si="11">IF(OR($J615="",$J615&lt;=0),$F615,$L615+$M615/$J615)</f>
        <v>6575.8519898333334</v>
      </c>
      <c r="L615" s="367">
        <f>$F615-'HLR R'!AZ50</f>
        <v>6232.5186565000004</v>
      </c>
      <c r="M615" s="367">
        <f>IFERROR('HLR R'!AZ50*'HLR R'!AY50,0)</f>
        <v>343.33333333333331</v>
      </c>
    </row>
    <row r="616" spans="2:13" ht="42.75" customHeight="1" x14ac:dyDescent="0.3">
      <c r="B616" s="4" t="s">
        <v>628</v>
      </c>
      <c r="C616" s="4" t="s">
        <v>582</v>
      </c>
      <c r="D616" s="4" t="s">
        <v>608</v>
      </c>
      <c r="E616" s="5" t="s">
        <v>266</v>
      </c>
      <c r="F616" s="6">
        <f>'HLR R'!BA51</f>
        <v>7508.4143148333342</v>
      </c>
      <c r="G616" s="7" t="s">
        <v>190</v>
      </c>
      <c r="H616" s="6">
        <f>'HLR R'!BW51</f>
        <v>7588.4143148333342</v>
      </c>
      <c r="I616" s="369">
        <f>'HLR R'!AY51</f>
        <v>1</v>
      </c>
      <c r="J616" s="368"/>
      <c r="K616" s="367">
        <f t="shared" si="11"/>
        <v>7508.4143148333342</v>
      </c>
      <c r="L616" s="367">
        <f>$F616-'HLR R'!AZ51</f>
        <v>7125.0809815000011</v>
      </c>
      <c r="M616" s="367">
        <f>IFERROR('HLR R'!AZ51*'HLR R'!AY51,0)</f>
        <v>383.33333333333331</v>
      </c>
    </row>
    <row r="617" spans="2:13" ht="42.75" customHeight="1" x14ac:dyDescent="0.3">
      <c r="B617" s="4" t="s">
        <v>629</v>
      </c>
      <c r="C617" s="4" t="s">
        <v>582</v>
      </c>
      <c r="D617" s="4" t="s">
        <v>608</v>
      </c>
      <c r="E617" s="5" t="s">
        <v>270</v>
      </c>
      <c r="F617" s="6">
        <f>'HLR R'!BA52</f>
        <v>7988.1657236666651</v>
      </c>
      <c r="G617" s="7" t="s">
        <v>190</v>
      </c>
      <c r="H617" s="6">
        <f>'HLR R'!BW52</f>
        <v>8068.1657236666651</v>
      </c>
      <c r="I617" s="369">
        <f>'HLR R'!AY52</f>
        <v>1</v>
      </c>
      <c r="J617" s="368"/>
      <c r="K617" s="367">
        <f t="shared" si="11"/>
        <v>7988.1657236666651</v>
      </c>
      <c r="L617" s="367">
        <f>$F617-'HLR R'!AZ52</f>
        <v>7591.4990569999982</v>
      </c>
      <c r="M617" s="367">
        <f>IFERROR('HLR R'!AZ52*'HLR R'!AY52,0)</f>
        <v>396.66666666666669</v>
      </c>
    </row>
    <row r="618" spans="2:13" ht="42.75" customHeight="1" x14ac:dyDescent="0.3">
      <c r="B618" s="4" t="s">
        <v>630</v>
      </c>
      <c r="C618" s="4" t="s">
        <v>582</v>
      </c>
      <c r="D618" s="4" t="s">
        <v>608</v>
      </c>
      <c r="E618" s="5" t="s">
        <v>274</v>
      </c>
      <c r="F618" s="6">
        <f>'HLR R'!BA53</f>
        <v>8760.0451867666652</v>
      </c>
      <c r="G618" s="7" t="s">
        <v>190</v>
      </c>
      <c r="H618" s="6">
        <f>'HLR R'!BW53</f>
        <v>8840.0451867666652</v>
      </c>
      <c r="I618" s="369">
        <f>'HLR R'!AY53</f>
        <v>1</v>
      </c>
      <c r="J618" s="368"/>
      <c r="K618" s="367">
        <f t="shared" si="11"/>
        <v>8760.0451867666652</v>
      </c>
      <c r="L618" s="367">
        <f>$F618-'HLR R'!AZ53</f>
        <v>8363.3785200999992</v>
      </c>
      <c r="M618" s="367">
        <f>IFERROR('HLR R'!AZ53*'HLR R'!AY53,0)</f>
        <v>396.66666666666669</v>
      </c>
    </row>
    <row r="619" spans="2:13" ht="42.75" customHeight="1" x14ac:dyDescent="0.3">
      <c r="B619" s="4" t="s">
        <v>631</v>
      </c>
      <c r="C619" s="4" t="s">
        <v>582</v>
      </c>
      <c r="D619" s="4" t="s">
        <v>608</v>
      </c>
      <c r="E619" s="5" t="s">
        <v>278</v>
      </c>
      <c r="F619" s="6">
        <f>'HLR R'!BA54</f>
        <v>10139.380133666666</v>
      </c>
      <c r="G619" s="7" t="s">
        <v>190</v>
      </c>
      <c r="H619" s="6">
        <f>'HLR R'!BW54</f>
        <v>10219.380133666666</v>
      </c>
      <c r="I619" s="369">
        <f>'HLR R'!AY54</f>
        <v>1</v>
      </c>
      <c r="J619" s="368"/>
      <c r="K619" s="367">
        <f t="shared" si="11"/>
        <v>10139.380133666666</v>
      </c>
      <c r="L619" s="367">
        <f>$F619-'HLR R'!AZ54</f>
        <v>9742.7134669999996</v>
      </c>
      <c r="M619" s="367">
        <f>IFERROR('HLR R'!AZ54*'HLR R'!AY54,0)</f>
        <v>396.66666666666669</v>
      </c>
    </row>
    <row r="620" spans="2:13" ht="42.75" customHeight="1" x14ac:dyDescent="0.3">
      <c r="B620" s="4" t="s">
        <v>632</v>
      </c>
      <c r="C620" s="4" t="s">
        <v>633</v>
      </c>
      <c r="D620" s="4" t="s">
        <v>634</v>
      </c>
      <c r="E620" s="5" t="s">
        <v>196</v>
      </c>
      <c r="F620" s="6">
        <f>'HLR V'!BA7</f>
        <v>37.013296033333347</v>
      </c>
      <c r="G620" s="7" t="s">
        <v>190</v>
      </c>
      <c r="H620" s="6">
        <f>'HLR V'!BV7</f>
        <v>117.01329603333335</v>
      </c>
      <c r="I620" s="369">
        <f>'HLR V'!AY7</f>
        <v>4</v>
      </c>
      <c r="J620" s="368"/>
      <c r="K620" s="367">
        <f t="shared" si="11"/>
        <v>37.013296033333347</v>
      </c>
      <c r="L620" s="367">
        <f>$F620-'HLR V'!AZ7</f>
        <v>7.6799627000000044</v>
      </c>
      <c r="M620" s="367">
        <f>IFERROR('HLR V'!AZ7*'HLR V'!AY7,0)</f>
        <v>117.33333333333337</v>
      </c>
    </row>
    <row r="621" spans="2:13" ht="42.75" customHeight="1" x14ac:dyDescent="0.3">
      <c r="B621" s="4" t="s">
        <v>635</v>
      </c>
      <c r="C621" s="4" t="s">
        <v>633</v>
      </c>
      <c r="D621" s="4" t="s">
        <v>634</v>
      </c>
      <c r="E621" s="5" t="s">
        <v>200</v>
      </c>
      <c r="F621" s="6">
        <f>'HLR V'!BA8</f>
        <v>41.130137333333344</v>
      </c>
      <c r="G621" s="7" t="s">
        <v>190</v>
      </c>
      <c r="H621" s="6">
        <f>'HLR V'!BV8</f>
        <v>121.13013733333335</v>
      </c>
      <c r="I621" s="369">
        <f>'HLR V'!AY8</f>
        <v>4</v>
      </c>
      <c r="J621" s="368"/>
      <c r="K621" s="367">
        <f t="shared" si="11"/>
        <v>41.130137333333344</v>
      </c>
      <c r="L621" s="367">
        <f>$F621-'HLR V'!AZ8</f>
        <v>11.796804000000002</v>
      </c>
      <c r="M621" s="367">
        <f>IFERROR('HLR V'!AZ8*'HLR V'!AY8,0)</f>
        <v>117.33333333333337</v>
      </c>
    </row>
    <row r="622" spans="2:13" ht="42.75" customHeight="1" x14ac:dyDescent="0.3">
      <c r="B622" s="4" t="s">
        <v>636</v>
      </c>
      <c r="C622" s="4" t="s">
        <v>633</v>
      </c>
      <c r="D622" s="4" t="s">
        <v>634</v>
      </c>
      <c r="E622" s="5" t="s">
        <v>185</v>
      </c>
      <c r="F622" s="6">
        <f>'HLR V'!BA9</f>
        <v>59.700327411111118</v>
      </c>
      <c r="G622" s="7" t="s">
        <v>190</v>
      </c>
      <c r="H622" s="6">
        <f>'HLR V'!BV9</f>
        <v>139.70032741111112</v>
      </c>
      <c r="I622" s="369">
        <f>'HLR V'!AY9</f>
        <v>3</v>
      </c>
      <c r="J622" s="368"/>
      <c r="K622" s="367">
        <f t="shared" si="11"/>
        <v>59.700327411111118</v>
      </c>
      <c r="L622" s="367">
        <f>$F622-'HLR V'!AZ9</f>
        <v>20.589216299999997</v>
      </c>
      <c r="M622" s="367">
        <f>IFERROR('HLR V'!AZ9*'HLR V'!AY9,0)</f>
        <v>117.33333333333337</v>
      </c>
    </row>
    <row r="623" spans="2:13" ht="42.75" customHeight="1" x14ac:dyDescent="0.3">
      <c r="B623" s="4" t="s">
        <v>637</v>
      </c>
      <c r="C623" s="4" t="s">
        <v>633</v>
      </c>
      <c r="D623" s="4" t="s">
        <v>634</v>
      </c>
      <c r="E623" s="5" t="s">
        <v>39</v>
      </c>
      <c r="F623" s="6">
        <f>'HLR V'!BA10</f>
        <v>86.656383611111124</v>
      </c>
      <c r="G623" s="7" t="s">
        <v>190</v>
      </c>
      <c r="H623" s="6">
        <f>'HLR V'!BV10</f>
        <v>166.65638361111112</v>
      </c>
      <c r="I623" s="369">
        <f>'HLR V'!AY10</f>
        <v>3</v>
      </c>
      <c r="J623" s="368"/>
      <c r="K623" s="367">
        <f t="shared" si="11"/>
        <v>86.656383611111124</v>
      </c>
      <c r="L623" s="367">
        <f>$F623-'HLR V'!AZ10</f>
        <v>47.545272500000003</v>
      </c>
      <c r="M623" s="367">
        <f>IFERROR('HLR V'!AZ10*'HLR V'!AY10,0)</f>
        <v>117.33333333333337</v>
      </c>
    </row>
    <row r="624" spans="2:13" ht="42.75" customHeight="1" x14ac:dyDescent="0.3">
      <c r="B624" s="4" t="s">
        <v>638</v>
      </c>
      <c r="C624" s="4" t="s">
        <v>633</v>
      </c>
      <c r="D624" s="4" t="s">
        <v>634</v>
      </c>
      <c r="E624" s="5" t="s">
        <v>300</v>
      </c>
      <c r="F624" s="6">
        <f>'HLR V'!BA11</f>
        <v>109.11466241111111</v>
      </c>
      <c r="G624" s="7" t="s">
        <v>190</v>
      </c>
      <c r="H624" s="6">
        <f>'HLR V'!BV11</f>
        <v>189.11466241111111</v>
      </c>
      <c r="I624" s="369">
        <f>'HLR V'!AY11</f>
        <v>3</v>
      </c>
      <c r="J624" s="368"/>
      <c r="K624" s="367">
        <f t="shared" si="11"/>
        <v>109.11466241111111</v>
      </c>
      <c r="L624" s="367">
        <f>$F624-'HLR V'!AZ11</f>
        <v>70.003551299999998</v>
      </c>
      <c r="M624" s="367">
        <f>IFERROR('HLR V'!AZ11*'HLR V'!AY11,0)</f>
        <v>117.33333333333337</v>
      </c>
    </row>
    <row r="625" spans="2:13" ht="42.75" customHeight="1" x14ac:dyDescent="0.3">
      <c r="B625" s="4" t="s">
        <v>639</v>
      </c>
      <c r="C625" s="4" t="s">
        <v>633</v>
      </c>
      <c r="D625" s="4" t="s">
        <v>634</v>
      </c>
      <c r="E625" s="5" t="s">
        <v>41</v>
      </c>
      <c r="F625" s="6">
        <f>'HLR V'!BA12</f>
        <v>140.31530380000001</v>
      </c>
      <c r="G625" s="7" t="s">
        <v>190</v>
      </c>
      <c r="H625" s="6">
        <f>'HLR V'!BV12</f>
        <v>220.31530380000001</v>
      </c>
      <c r="I625" s="369">
        <f>'HLR V'!AY12</f>
        <v>2</v>
      </c>
      <c r="J625" s="368"/>
      <c r="K625" s="367">
        <f t="shared" si="11"/>
        <v>140.31530380000001</v>
      </c>
      <c r="L625" s="367">
        <f>$F625-'HLR V'!AZ12</f>
        <v>88.315303800000009</v>
      </c>
      <c r="M625" s="367">
        <f>IFERROR('HLR V'!AZ12*'HLR V'!AY12,0)</f>
        <v>104.00000000000001</v>
      </c>
    </row>
    <row r="626" spans="2:13" ht="42.75" customHeight="1" x14ac:dyDescent="0.3">
      <c r="B626" s="4" t="s">
        <v>640</v>
      </c>
      <c r="C626" s="4" t="s">
        <v>633</v>
      </c>
      <c r="D626" s="4" t="s">
        <v>634</v>
      </c>
      <c r="E626" s="5" t="s">
        <v>43</v>
      </c>
      <c r="F626" s="6">
        <f>'HLR V'!BA13</f>
        <v>201.87378016666668</v>
      </c>
      <c r="G626" s="7" t="s">
        <v>190</v>
      </c>
      <c r="H626" s="6">
        <f>'HLR V'!BV13</f>
        <v>281.87378016666668</v>
      </c>
      <c r="I626" s="369">
        <f>'HLR V'!AY13</f>
        <v>2</v>
      </c>
      <c r="J626" s="368"/>
      <c r="K626" s="367">
        <f t="shared" si="11"/>
        <v>201.87378016666668</v>
      </c>
      <c r="L626" s="367">
        <f>$F626-'HLR V'!AZ13</f>
        <v>143.20711350000002</v>
      </c>
      <c r="M626" s="367">
        <f>IFERROR('HLR V'!AZ13*'HLR V'!AY13,0)</f>
        <v>117.3333333333333</v>
      </c>
    </row>
    <row r="627" spans="2:13" ht="42.75" customHeight="1" x14ac:dyDescent="0.3">
      <c r="B627" s="4" t="s">
        <v>641</v>
      </c>
      <c r="C627" s="4" t="s">
        <v>633</v>
      </c>
      <c r="D627" s="4" t="s">
        <v>634</v>
      </c>
      <c r="E627" s="5" t="s">
        <v>45</v>
      </c>
      <c r="F627" s="6">
        <f>'HLR V'!BA14</f>
        <v>277.24519946666663</v>
      </c>
      <c r="G627" s="7" t="s">
        <v>190</v>
      </c>
      <c r="H627" s="6">
        <f>'HLR V'!BV14</f>
        <v>357.24519946666663</v>
      </c>
      <c r="I627" s="369">
        <f>'HLR V'!AY14</f>
        <v>2</v>
      </c>
      <c r="J627" s="368"/>
      <c r="K627" s="367">
        <f t="shared" si="11"/>
        <v>277.24519946666663</v>
      </c>
      <c r="L627" s="367">
        <f>$F627-'HLR V'!AZ14</f>
        <v>218.57853279999998</v>
      </c>
      <c r="M627" s="367">
        <f>IFERROR('HLR V'!AZ14*'HLR V'!AY14,0)</f>
        <v>117.3333333333333</v>
      </c>
    </row>
    <row r="628" spans="2:13" ht="42.75" customHeight="1" x14ac:dyDescent="0.3">
      <c r="B628" s="4" t="s">
        <v>642</v>
      </c>
      <c r="C628" s="4" t="s">
        <v>633</v>
      </c>
      <c r="D628" s="4" t="s">
        <v>634</v>
      </c>
      <c r="E628" s="5" t="s">
        <v>47</v>
      </c>
      <c r="F628" s="6">
        <f>'HLR V'!BA15</f>
        <v>423.51182493333329</v>
      </c>
      <c r="G628" s="7" t="s">
        <v>190</v>
      </c>
      <c r="H628" s="6">
        <f>'HLR V'!BV15</f>
        <v>503.51182493333329</v>
      </c>
      <c r="I628" s="369">
        <f>'HLR V'!AY15</f>
        <v>1</v>
      </c>
      <c r="J628" s="368"/>
      <c r="K628" s="367">
        <f t="shared" si="11"/>
        <v>423.51182493333329</v>
      </c>
      <c r="L628" s="367">
        <f>$F628-'HLR V'!AZ15</f>
        <v>306.17849159999997</v>
      </c>
      <c r="M628" s="367">
        <f>IFERROR('HLR V'!AZ15*'HLR V'!AY15,0)</f>
        <v>117.3333333333333</v>
      </c>
    </row>
    <row r="629" spans="2:13" ht="42.75" customHeight="1" x14ac:dyDescent="0.3">
      <c r="B629" s="4" t="s">
        <v>643</v>
      </c>
      <c r="C629" s="4" t="s">
        <v>633</v>
      </c>
      <c r="D629" s="4" t="s">
        <v>634</v>
      </c>
      <c r="E629" s="5" t="s">
        <v>222</v>
      </c>
      <c r="F629" s="6">
        <f>'HLR V'!BA16</f>
        <v>527.02933689999986</v>
      </c>
      <c r="G629" s="7" t="s">
        <v>190</v>
      </c>
      <c r="H629" s="6">
        <f>'HLR V'!BV16</f>
        <v>607.02933689999986</v>
      </c>
      <c r="I629" s="369">
        <f>'HLR V'!AY16</f>
        <v>1</v>
      </c>
      <c r="J629" s="368"/>
      <c r="K629" s="367">
        <f t="shared" si="11"/>
        <v>527.02933689999986</v>
      </c>
      <c r="L629" s="367">
        <f>$F629-'HLR V'!AZ16</f>
        <v>403.02933689999992</v>
      </c>
      <c r="M629" s="367">
        <f>IFERROR('HLR V'!AZ16*'HLR V'!AY16,0)</f>
        <v>123.99999999999994</v>
      </c>
    </row>
    <row r="630" spans="2:13" ht="42.75" customHeight="1" x14ac:dyDescent="0.3">
      <c r="B630" s="4" t="s">
        <v>644</v>
      </c>
      <c r="C630" s="4" t="s">
        <v>633</v>
      </c>
      <c r="D630" s="4" t="s">
        <v>634</v>
      </c>
      <c r="E630" s="5" t="s">
        <v>226</v>
      </c>
      <c r="F630" s="6">
        <f>'HLR V'!BA17</f>
        <v>735.12709259999997</v>
      </c>
      <c r="G630" s="7" t="s">
        <v>190</v>
      </c>
      <c r="H630" s="6">
        <f>'HLR V'!BV17</f>
        <v>815.12709259999997</v>
      </c>
      <c r="I630" s="369">
        <f>'HLR V'!AY17</f>
        <v>1</v>
      </c>
      <c r="J630" s="368"/>
      <c r="K630" s="367">
        <f t="shared" si="11"/>
        <v>735.12709259999997</v>
      </c>
      <c r="L630" s="367">
        <f>$F630-'HLR V'!AZ17</f>
        <v>611.12709259999997</v>
      </c>
      <c r="M630" s="367">
        <f>IFERROR('HLR V'!AZ17*'HLR V'!AY17,0)</f>
        <v>123.99999999999994</v>
      </c>
    </row>
    <row r="631" spans="2:13" ht="42.75" customHeight="1" x14ac:dyDescent="0.3">
      <c r="B631" s="4" t="s">
        <v>645</v>
      </c>
      <c r="C631" s="4" t="s">
        <v>633</v>
      </c>
      <c r="D631" s="4" t="s">
        <v>634</v>
      </c>
      <c r="E631" s="5" t="s">
        <v>230</v>
      </c>
      <c r="F631" s="6">
        <f>'HLR V'!BA18</f>
        <v>943.80423433333351</v>
      </c>
      <c r="G631" s="7" t="s">
        <v>190</v>
      </c>
      <c r="H631" s="6">
        <f>'HLR V'!BV18</f>
        <v>1023.8042343333335</v>
      </c>
      <c r="I631" s="369">
        <f>'HLR V'!AY18</f>
        <v>1</v>
      </c>
      <c r="J631" s="368"/>
      <c r="K631" s="367">
        <f t="shared" si="11"/>
        <v>943.80423433333351</v>
      </c>
      <c r="L631" s="367">
        <f>$F631-'HLR V'!AZ18</f>
        <v>806.47090100000014</v>
      </c>
      <c r="M631" s="367">
        <f>IFERROR('HLR V'!AZ18*'HLR V'!AY18,0)</f>
        <v>137.33333333333337</v>
      </c>
    </row>
    <row r="632" spans="2:13" ht="42.75" customHeight="1" x14ac:dyDescent="0.3">
      <c r="B632" s="4" t="s">
        <v>646</v>
      </c>
      <c r="C632" s="4" t="s">
        <v>633</v>
      </c>
      <c r="D632" s="4" t="s">
        <v>634</v>
      </c>
      <c r="E632" s="5" t="s">
        <v>234</v>
      </c>
      <c r="F632" s="6">
        <f>'HLR V'!BA19</f>
        <v>1213.223142233333</v>
      </c>
      <c r="G632" s="7" t="s">
        <v>190</v>
      </c>
      <c r="H632" s="6">
        <f>'HLR V'!BV19</f>
        <v>1293.223142233333</v>
      </c>
      <c r="I632" s="369">
        <f>'HLR V'!AY19</f>
        <v>1</v>
      </c>
      <c r="J632" s="368"/>
      <c r="K632" s="367">
        <f t="shared" si="11"/>
        <v>1213.223142233333</v>
      </c>
      <c r="L632" s="367">
        <f>$F632-'HLR V'!AZ19</f>
        <v>1075.8898088999995</v>
      </c>
      <c r="M632" s="367">
        <f>IFERROR('HLR V'!AZ19*'HLR V'!AY19,0)</f>
        <v>137.33333333333337</v>
      </c>
    </row>
    <row r="633" spans="2:13" ht="42.75" customHeight="1" x14ac:dyDescent="0.3">
      <c r="B633" s="4" t="s">
        <v>647</v>
      </c>
      <c r="C633" s="4" t="s">
        <v>633</v>
      </c>
      <c r="D633" s="4" t="s">
        <v>634</v>
      </c>
      <c r="E633" s="5" t="s">
        <v>238</v>
      </c>
      <c r="F633" s="6">
        <f>'HLR V'!BA20</f>
        <v>1398.2694919666669</v>
      </c>
      <c r="G633" s="7" t="s">
        <v>190</v>
      </c>
      <c r="H633" s="6">
        <f>'HLR V'!BV20</f>
        <v>1478.2694919666669</v>
      </c>
      <c r="I633" s="369">
        <f>'HLR V'!AY20</f>
        <v>1</v>
      </c>
      <c r="J633" s="368"/>
      <c r="K633" s="367">
        <f t="shared" si="11"/>
        <v>1398.2694919666669</v>
      </c>
      <c r="L633" s="367">
        <f>$F633-'HLR V'!AZ20</f>
        <v>1241.6028253000002</v>
      </c>
      <c r="M633" s="367">
        <f>IFERROR('HLR V'!AZ20*'HLR V'!AY20,0)</f>
        <v>156.66666666666669</v>
      </c>
    </row>
    <row r="634" spans="2:13" ht="42.75" customHeight="1" x14ac:dyDescent="0.3">
      <c r="B634" s="4" t="s">
        <v>648</v>
      </c>
      <c r="C634" s="4" t="s">
        <v>633</v>
      </c>
      <c r="D634" s="4" t="s">
        <v>634</v>
      </c>
      <c r="E634" s="5" t="s">
        <v>242</v>
      </c>
      <c r="F634" s="6">
        <f>'HLR V'!BA21</f>
        <v>1656.3779788666666</v>
      </c>
      <c r="G634" s="7" t="s">
        <v>190</v>
      </c>
      <c r="H634" s="6">
        <f>'HLR V'!BV21</f>
        <v>1736.3779788666666</v>
      </c>
      <c r="I634" s="369">
        <f>'HLR V'!AY21</f>
        <v>1</v>
      </c>
      <c r="J634" s="368"/>
      <c r="K634" s="367">
        <f t="shared" si="11"/>
        <v>1656.3779788666666</v>
      </c>
      <c r="L634" s="367">
        <f>$F634-'HLR V'!AZ21</f>
        <v>1499.7113121999998</v>
      </c>
      <c r="M634" s="367">
        <f>IFERROR('HLR V'!AZ21*'HLR V'!AY21,0)</f>
        <v>156.66666666666669</v>
      </c>
    </row>
    <row r="635" spans="2:13" ht="42.75" customHeight="1" x14ac:dyDescent="0.3">
      <c r="B635" s="4" t="s">
        <v>649</v>
      </c>
      <c r="C635" s="4" t="s">
        <v>633</v>
      </c>
      <c r="D635" s="4" t="s">
        <v>634</v>
      </c>
      <c r="E635" s="5" t="s">
        <v>246</v>
      </c>
      <c r="F635" s="6">
        <f>'HLR V'!BA22</f>
        <v>1909.4730868666666</v>
      </c>
      <c r="G635" s="7" t="s">
        <v>190</v>
      </c>
      <c r="H635" s="6">
        <f>'HLR V'!BV22</f>
        <v>1989.4730868666666</v>
      </c>
      <c r="I635" s="369">
        <f>'HLR V'!AY22</f>
        <v>1</v>
      </c>
      <c r="J635" s="368"/>
      <c r="K635" s="367">
        <f t="shared" si="11"/>
        <v>1909.4730868666666</v>
      </c>
      <c r="L635" s="367">
        <f>$F635-'HLR V'!AZ22</f>
        <v>1712.8064201999998</v>
      </c>
      <c r="M635" s="367">
        <f>IFERROR('HLR V'!AZ22*'HLR V'!AY22,0)</f>
        <v>196.66666666666671</v>
      </c>
    </row>
    <row r="636" spans="2:13" ht="42.75" customHeight="1" x14ac:dyDescent="0.3">
      <c r="B636" s="4" t="s">
        <v>650</v>
      </c>
      <c r="C636" s="4" t="s">
        <v>633</v>
      </c>
      <c r="D636" s="4" t="s">
        <v>634</v>
      </c>
      <c r="E636" s="5" t="s">
        <v>250</v>
      </c>
      <c r="F636" s="6">
        <f>'HLR V'!BA23</f>
        <v>2657.1030526666668</v>
      </c>
      <c r="G636" s="7" t="s">
        <v>190</v>
      </c>
      <c r="H636" s="6">
        <f>'HLR V'!BV23</f>
        <v>2737.1030526666668</v>
      </c>
      <c r="I636" s="369">
        <f>'HLR V'!AY23</f>
        <v>1</v>
      </c>
      <c r="J636" s="368"/>
      <c r="K636" s="367">
        <f t="shared" si="11"/>
        <v>2657.1030526666668</v>
      </c>
      <c r="L636" s="367">
        <f>$F636-'HLR V'!AZ23</f>
        <v>2460.4363860000003</v>
      </c>
      <c r="M636" s="367">
        <f>IFERROR('HLR V'!AZ23*'HLR V'!AY23,0)</f>
        <v>196.66666666666671</v>
      </c>
    </row>
    <row r="637" spans="2:13" ht="42.75" customHeight="1" x14ac:dyDescent="0.3">
      <c r="B637" s="4" t="s">
        <v>651</v>
      </c>
      <c r="C637" s="4" t="s">
        <v>633</v>
      </c>
      <c r="D637" s="4" t="s">
        <v>634</v>
      </c>
      <c r="E637" s="5" t="s">
        <v>254</v>
      </c>
      <c r="F637" s="6">
        <f>'HLR V'!BA24</f>
        <v>2977.1297211666661</v>
      </c>
      <c r="G637" s="7" t="s">
        <v>190</v>
      </c>
      <c r="H637" s="6">
        <f>'HLR V'!BV24</f>
        <v>3057.1297211666661</v>
      </c>
      <c r="I637" s="369">
        <f>'HLR V'!AY24</f>
        <v>1</v>
      </c>
      <c r="J637" s="368"/>
      <c r="K637" s="367">
        <f t="shared" si="11"/>
        <v>2977.1297211666661</v>
      </c>
      <c r="L637" s="367">
        <f>$F637-'HLR V'!AZ24</f>
        <v>2780.4630544999995</v>
      </c>
      <c r="M637" s="367">
        <f>IFERROR('HLR V'!AZ24*'HLR V'!AY24,0)</f>
        <v>196.66666666666671</v>
      </c>
    </row>
    <row r="638" spans="2:13" ht="42.75" customHeight="1" x14ac:dyDescent="0.3">
      <c r="B638" s="4" t="s">
        <v>652</v>
      </c>
      <c r="C638" s="4" t="s">
        <v>633</v>
      </c>
      <c r="D638" s="4" t="s">
        <v>634</v>
      </c>
      <c r="E638" s="5" t="s">
        <v>258</v>
      </c>
      <c r="F638" s="6">
        <f>'HLR V'!BA25</f>
        <v>3350.3696686666663</v>
      </c>
      <c r="G638" s="7" t="s">
        <v>190</v>
      </c>
      <c r="H638" s="6">
        <f>'HLR V'!BV25</f>
        <v>3430.3696686666663</v>
      </c>
      <c r="I638" s="369">
        <f>'HLR V'!AY25</f>
        <v>1</v>
      </c>
      <c r="J638" s="368"/>
      <c r="K638" s="367">
        <f t="shared" si="11"/>
        <v>3350.3696686666663</v>
      </c>
      <c r="L638" s="367">
        <f>$F638-'HLR V'!AZ25</f>
        <v>3153.7030019999997</v>
      </c>
      <c r="M638" s="367">
        <f>IFERROR('HLR V'!AZ25*'HLR V'!AY25,0)</f>
        <v>196.66666666666671</v>
      </c>
    </row>
    <row r="639" spans="2:13" ht="42.75" customHeight="1" x14ac:dyDescent="0.3">
      <c r="B639" s="4" t="s">
        <v>653</v>
      </c>
      <c r="C639" s="4" t="s">
        <v>633</v>
      </c>
      <c r="D639" s="4" t="s">
        <v>634</v>
      </c>
      <c r="E639" s="5" t="s">
        <v>262</v>
      </c>
      <c r="F639" s="6">
        <f>'HLR V'!BA26</f>
        <v>3916.7353231666671</v>
      </c>
      <c r="G639" s="7" t="s">
        <v>190</v>
      </c>
      <c r="H639" s="6">
        <f>'HLR V'!BV26</f>
        <v>3996.7353231666671</v>
      </c>
      <c r="I639" s="369">
        <f>'HLR V'!AY26</f>
        <v>1</v>
      </c>
      <c r="J639" s="368"/>
      <c r="K639" s="367">
        <f t="shared" si="11"/>
        <v>3916.7353231666671</v>
      </c>
      <c r="L639" s="367">
        <f>$F639-'HLR V'!AZ26</f>
        <v>3720.0686565000005</v>
      </c>
      <c r="M639" s="367">
        <f>IFERROR('HLR V'!AZ26*'HLR V'!AY26,0)</f>
        <v>196.66666666666671</v>
      </c>
    </row>
    <row r="640" spans="2:13" ht="42.75" customHeight="1" x14ac:dyDescent="0.3">
      <c r="B640" s="4" t="s">
        <v>654</v>
      </c>
      <c r="C640" s="4" t="s">
        <v>633</v>
      </c>
      <c r="D640" s="4" t="s">
        <v>634</v>
      </c>
      <c r="E640" s="5" t="s">
        <v>266</v>
      </c>
      <c r="F640" s="6">
        <f>'HLR V'!BA27</f>
        <v>4732.987648166667</v>
      </c>
      <c r="G640" s="7" t="s">
        <v>190</v>
      </c>
      <c r="H640" s="6">
        <f>'HLR V'!BV27</f>
        <v>4812.987648166667</v>
      </c>
      <c r="I640" s="369">
        <f>'HLR V'!AY27</f>
        <v>1</v>
      </c>
      <c r="J640" s="368"/>
      <c r="K640" s="367">
        <f t="shared" si="11"/>
        <v>4732.987648166667</v>
      </c>
      <c r="L640" s="367">
        <f>$F640-'HLR V'!AZ27</f>
        <v>4496.3209815</v>
      </c>
      <c r="M640" s="367">
        <f>IFERROR('HLR V'!AZ27*'HLR V'!AY27,0)</f>
        <v>236.66666666666666</v>
      </c>
    </row>
    <row r="641" spans="2:13" ht="42.75" customHeight="1" x14ac:dyDescent="0.3">
      <c r="B641" s="4" t="s">
        <v>655</v>
      </c>
      <c r="C641" s="4" t="s">
        <v>633</v>
      </c>
      <c r="D641" s="4" t="s">
        <v>634</v>
      </c>
      <c r="E641" s="5" t="s">
        <v>270</v>
      </c>
      <c r="F641" s="6">
        <f>'HLR V'!BA28</f>
        <v>5067.5457236666662</v>
      </c>
      <c r="G641" s="7" t="s">
        <v>190</v>
      </c>
      <c r="H641" s="6">
        <f>'HLR V'!BV28</f>
        <v>5147.5457236666662</v>
      </c>
      <c r="I641" s="369">
        <f>'HLR V'!AY28</f>
        <v>1</v>
      </c>
      <c r="J641" s="368"/>
      <c r="K641" s="367">
        <f t="shared" si="11"/>
        <v>5067.5457236666662</v>
      </c>
      <c r="L641" s="367">
        <f>$F641-'HLR V'!AZ28</f>
        <v>4830.8790569999992</v>
      </c>
      <c r="M641" s="367">
        <f>IFERROR('HLR V'!AZ28*'HLR V'!AY28,0)</f>
        <v>236.66666666666666</v>
      </c>
    </row>
    <row r="642" spans="2:13" ht="42.75" customHeight="1" x14ac:dyDescent="0.3">
      <c r="B642" s="4" t="s">
        <v>656</v>
      </c>
      <c r="C642" s="4" t="s">
        <v>633</v>
      </c>
      <c r="D642" s="4" t="s">
        <v>634</v>
      </c>
      <c r="E642" s="5" t="s">
        <v>274</v>
      </c>
      <c r="F642" s="6">
        <f>'HLR V'!BA29</f>
        <v>5671.2401867666667</v>
      </c>
      <c r="G642" s="7" t="s">
        <v>190</v>
      </c>
      <c r="H642" s="6">
        <f>'HLR V'!BV29</f>
        <v>5751.2401867666667</v>
      </c>
      <c r="I642" s="369">
        <f>'HLR V'!AY29</f>
        <v>1</v>
      </c>
      <c r="J642" s="368"/>
      <c r="K642" s="367">
        <f t="shared" si="11"/>
        <v>5671.2401867666667</v>
      </c>
      <c r="L642" s="367">
        <f>$F642-'HLR V'!AZ29</f>
        <v>5434.5735200999998</v>
      </c>
      <c r="M642" s="367">
        <f>IFERROR('HLR V'!AZ29*'HLR V'!AY29,0)</f>
        <v>236.66666666666666</v>
      </c>
    </row>
    <row r="643" spans="2:13" ht="42.75" customHeight="1" x14ac:dyDescent="0.3">
      <c r="B643" s="4" t="s">
        <v>657</v>
      </c>
      <c r="C643" s="4" t="s">
        <v>633</v>
      </c>
      <c r="D643" s="4" t="s">
        <v>634</v>
      </c>
      <c r="E643" s="5" t="s">
        <v>278</v>
      </c>
      <c r="F643" s="6">
        <f>'HLR V'!BA30</f>
        <v>6596.6651336666664</v>
      </c>
      <c r="G643" s="7" t="s">
        <v>190</v>
      </c>
      <c r="H643" s="6">
        <f>'HLR V'!BV30</f>
        <v>6676.6651336666664</v>
      </c>
      <c r="I643" s="369">
        <f>'HLR V'!AY30</f>
        <v>1</v>
      </c>
      <c r="J643" s="368"/>
      <c r="K643" s="367">
        <f t="shared" si="11"/>
        <v>6596.6651336666664</v>
      </c>
      <c r="L643" s="367">
        <f>$F643-'HLR V'!AZ30</f>
        <v>6359.9984669999994</v>
      </c>
      <c r="M643" s="367">
        <f>IFERROR('HLR V'!AZ30*'HLR V'!AY30,0)</f>
        <v>236.66666666666666</v>
      </c>
    </row>
    <row r="644" spans="2:13" ht="42.75" customHeight="1" x14ac:dyDescent="0.3">
      <c r="B644" s="4" t="s">
        <v>658</v>
      </c>
      <c r="C644" s="4" t="s">
        <v>633</v>
      </c>
      <c r="D644" s="4" t="s">
        <v>659</v>
      </c>
      <c r="E644" s="5" t="s">
        <v>196</v>
      </c>
      <c r="F644" s="6">
        <f>'HLR V'!BA31</f>
        <v>37.267966033333344</v>
      </c>
      <c r="G644" s="7" t="s">
        <v>190</v>
      </c>
      <c r="H644" s="6">
        <f>'HLR V'!BV31</f>
        <v>117.26796603333335</v>
      </c>
      <c r="I644" s="369">
        <f>'HLR V'!AY31</f>
        <v>4</v>
      </c>
      <c r="J644" s="368"/>
      <c r="K644" s="367">
        <f t="shared" si="11"/>
        <v>37.267966033333344</v>
      </c>
      <c r="L644" s="367">
        <f>$F644-'HLR V'!AZ31</f>
        <v>7.9346327000000016</v>
      </c>
      <c r="M644" s="367">
        <f>IFERROR('HLR V'!AZ31*'HLR V'!AY31,0)</f>
        <v>117.33333333333337</v>
      </c>
    </row>
    <row r="645" spans="2:13" ht="42.75" customHeight="1" x14ac:dyDescent="0.3">
      <c r="B645" s="4" t="s">
        <v>660</v>
      </c>
      <c r="C645" s="4" t="s">
        <v>633</v>
      </c>
      <c r="D645" s="4" t="s">
        <v>659</v>
      </c>
      <c r="E645" s="5" t="s">
        <v>200</v>
      </c>
      <c r="F645" s="6">
        <f>'HLR V'!BA32</f>
        <v>41.521937333333341</v>
      </c>
      <c r="G645" s="7" t="s">
        <v>190</v>
      </c>
      <c r="H645" s="6">
        <f>'HLR V'!BV32</f>
        <v>121.52193733333334</v>
      </c>
      <c r="I645" s="369">
        <f>'HLR V'!AY32</f>
        <v>4</v>
      </c>
      <c r="J645" s="368"/>
      <c r="K645" s="367">
        <f t="shared" si="11"/>
        <v>41.521937333333341</v>
      </c>
      <c r="L645" s="367">
        <f>$F645-'HLR V'!AZ32</f>
        <v>12.188603999999998</v>
      </c>
      <c r="M645" s="367">
        <f>IFERROR('HLR V'!AZ32*'HLR V'!AY32,0)</f>
        <v>117.33333333333337</v>
      </c>
    </row>
    <row r="646" spans="2:13" ht="42.75" customHeight="1" x14ac:dyDescent="0.3">
      <c r="B646" s="4" t="s">
        <v>661</v>
      </c>
      <c r="C646" s="4" t="s">
        <v>633</v>
      </c>
      <c r="D646" s="4" t="s">
        <v>659</v>
      </c>
      <c r="E646" s="5" t="s">
        <v>185</v>
      </c>
      <c r="F646" s="6">
        <f>'HLR V'!BA33</f>
        <v>60.797367411111125</v>
      </c>
      <c r="G646" s="7" t="s">
        <v>190</v>
      </c>
      <c r="H646" s="6">
        <f>'HLR V'!BV33</f>
        <v>140.79736741111111</v>
      </c>
      <c r="I646" s="369">
        <f>'HLR V'!AY33</f>
        <v>3</v>
      </c>
      <c r="J646" s="368"/>
      <c r="K646" s="367">
        <f t="shared" si="11"/>
        <v>60.797367411111125</v>
      </c>
      <c r="L646" s="367">
        <f>$F646-'HLR V'!AZ33</f>
        <v>21.686256300000004</v>
      </c>
      <c r="M646" s="367">
        <f>IFERROR('HLR V'!AZ33*'HLR V'!AY33,0)</f>
        <v>117.33333333333337</v>
      </c>
    </row>
    <row r="647" spans="2:13" ht="42.75" customHeight="1" x14ac:dyDescent="0.3">
      <c r="B647" s="4" t="s">
        <v>662</v>
      </c>
      <c r="C647" s="4" t="s">
        <v>633</v>
      </c>
      <c r="D647" s="4" t="s">
        <v>659</v>
      </c>
      <c r="E647" s="5" t="s">
        <v>39</v>
      </c>
      <c r="F647" s="6">
        <f>'HLR V'!BA34</f>
        <v>90.96618361111112</v>
      </c>
      <c r="G647" s="7" t="s">
        <v>190</v>
      </c>
      <c r="H647" s="6">
        <f>'HLR V'!BV34</f>
        <v>170.96618361111112</v>
      </c>
      <c r="I647" s="369">
        <f>'HLR V'!AY34</f>
        <v>3</v>
      </c>
      <c r="J647" s="368"/>
      <c r="K647" s="367">
        <f t="shared" si="11"/>
        <v>90.96618361111112</v>
      </c>
      <c r="L647" s="367">
        <f>$F647-'HLR V'!AZ34</f>
        <v>51.855072499999999</v>
      </c>
      <c r="M647" s="367">
        <f>IFERROR('HLR V'!AZ34*'HLR V'!AY34,0)</f>
        <v>117.33333333333337</v>
      </c>
    </row>
    <row r="648" spans="2:13" ht="42.75" customHeight="1" x14ac:dyDescent="0.3">
      <c r="B648" s="4" t="s">
        <v>663</v>
      </c>
      <c r="C648" s="4" t="s">
        <v>633</v>
      </c>
      <c r="D648" s="4" t="s">
        <v>659</v>
      </c>
      <c r="E648" s="5" t="s">
        <v>300</v>
      </c>
      <c r="F648" s="6">
        <f>'HLR V'!BA35</f>
        <v>114.6978124111111</v>
      </c>
      <c r="G648" s="7" t="s">
        <v>190</v>
      </c>
      <c r="H648" s="6">
        <f>'HLR V'!BV35</f>
        <v>194.6978124111111</v>
      </c>
      <c r="I648" s="369">
        <f>'HLR V'!AY35</f>
        <v>3</v>
      </c>
      <c r="J648" s="368"/>
      <c r="K648" s="367">
        <f t="shared" si="11"/>
        <v>114.6978124111111</v>
      </c>
      <c r="L648" s="367">
        <f>$F648-'HLR V'!AZ35</f>
        <v>75.586701299999987</v>
      </c>
      <c r="M648" s="367">
        <f>IFERROR('HLR V'!AZ35*'HLR V'!AY35,0)</f>
        <v>117.33333333333337</v>
      </c>
    </row>
    <row r="649" spans="2:13" ht="42.75" customHeight="1" x14ac:dyDescent="0.3">
      <c r="B649" s="4" t="s">
        <v>664</v>
      </c>
      <c r="C649" s="4" t="s">
        <v>633</v>
      </c>
      <c r="D649" s="4" t="s">
        <v>659</v>
      </c>
      <c r="E649" s="5" t="s">
        <v>41</v>
      </c>
      <c r="F649" s="6">
        <f>'HLR V'!BA36</f>
        <v>148.6802338</v>
      </c>
      <c r="G649" s="7" t="s">
        <v>190</v>
      </c>
      <c r="H649" s="6">
        <f>'HLR V'!BV36</f>
        <v>228.6802338</v>
      </c>
      <c r="I649" s="369">
        <f>'HLR V'!AY36</f>
        <v>2</v>
      </c>
      <c r="J649" s="368"/>
      <c r="K649" s="367">
        <f t="shared" si="11"/>
        <v>148.6802338</v>
      </c>
      <c r="L649" s="367">
        <f>$F649-'HLR V'!AZ36</f>
        <v>96.680233799999996</v>
      </c>
      <c r="M649" s="367">
        <f>IFERROR('HLR V'!AZ36*'HLR V'!AY36,0)</f>
        <v>104.00000000000001</v>
      </c>
    </row>
    <row r="650" spans="2:13" ht="42.75" customHeight="1" x14ac:dyDescent="0.3">
      <c r="B650" s="4" t="s">
        <v>665</v>
      </c>
      <c r="C650" s="4" t="s">
        <v>633</v>
      </c>
      <c r="D650" s="4" t="s">
        <v>659</v>
      </c>
      <c r="E650" s="5" t="s">
        <v>43</v>
      </c>
      <c r="F650" s="6">
        <f>'HLR V'!BA37</f>
        <v>217.70250016666668</v>
      </c>
      <c r="G650" s="7" t="s">
        <v>190</v>
      </c>
      <c r="H650" s="6">
        <f>'HLR V'!BV37</f>
        <v>297.70250016666671</v>
      </c>
      <c r="I650" s="369">
        <f>'HLR V'!AY37</f>
        <v>2</v>
      </c>
      <c r="J650" s="368"/>
      <c r="K650" s="367">
        <f t="shared" si="11"/>
        <v>217.70250016666668</v>
      </c>
      <c r="L650" s="367">
        <f>$F650-'HLR V'!AZ37</f>
        <v>159.03583350000002</v>
      </c>
      <c r="M650" s="367">
        <f>IFERROR('HLR V'!AZ37*'HLR V'!AY37,0)</f>
        <v>117.3333333333333</v>
      </c>
    </row>
    <row r="651" spans="2:13" ht="42.75" customHeight="1" x14ac:dyDescent="0.3">
      <c r="B651" s="4" t="s">
        <v>666</v>
      </c>
      <c r="C651" s="4" t="s">
        <v>633</v>
      </c>
      <c r="D651" s="4" t="s">
        <v>659</v>
      </c>
      <c r="E651" s="5" t="s">
        <v>45</v>
      </c>
      <c r="F651" s="6">
        <f>'HLR V'!BA38</f>
        <v>303.2998994666666</v>
      </c>
      <c r="G651" s="7" t="s">
        <v>190</v>
      </c>
      <c r="H651" s="6">
        <f>'HLR V'!BV38</f>
        <v>383.2998994666666</v>
      </c>
      <c r="I651" s="369">
        <f>'HLR V'!AY38</f>
        <v>2</v>
      </c>
      <c r="J651" s="368"/>
      <c r="K651" s="367">
        <f t="shared" si="11"/>
        <v>303.2998994666666</v>
      </c>
      <c r="L651" s="367">
        <f>$F651-'HLR V'!AZ38</f>
        <v>244.63323279999994</v>
      </c>
      <c r="M651" s="367">
        <f>IFERROR('HLR V'!AZ38*'HLR V'!AY38,0)</f>
        <v>117.3333333333333</v>
      </c>
    </row>
    <row r="652" spans="2:13" ht="42.75" customHeight="1" x14ac:dyDescent="0.3">
      <c r="B652" s="4" t="s">
        <v>667</v>
      </c>
      <c r="C652" s="4" t="s">
        <v>633</v>
      </c>
      <c r="D652" s="4" t="s">
        <v>659</v>
      </c>
      <c r="E652" s="5" t="s">
        <v>47</v>
      </c>
      <c r="F652" s="6">
        <f>'HLR V'!BA39</f>
        <v>460.24307493333328</v>
      </c>
      <c r="G652" s="7" t="s">
        <v>190</v>
      </c>
      <c r="H652" s="6">
        <f>'HLR V'!BV39</f>
        <v>540.24307493333322</v>
      </c>
      <c r="I652" s="369">
        <f>'HLR V'!AY39</f>
        <v>1</v>
      </c>
      <c r="J652" s="368"/>
      <c r="K652" s="367">
        <f t="shared" si="11"/>
        <v>460.24307493333328</v>
      </c>
      <c r="L652" s="367">
        <f>$F652-'HLR V'!AZ39</f>
        <v>342.90974159999996</v>
      </c>
      <c r="M652" s="367">
        <f>IFERROR('HLR V'!AZ39*'HLR V'!AY39,0)</f>
        <v>117.3333333333333</v>
      </c>
    </row>
    <row r="653" spans="2:13" ht="42.75" customHeight="1" x14ac:dyDescent="0.3">
      <c r="B653" s="4" t="s">
        <v>668</v>
      </c>
      <c r="C653" s="4" t="s">
        <v>633</v>
      </c>
      <c r="D653" s="4" t="s">
        <v>659</v>
      </c>
      <c r="E653" s="5" t="s">
        <v>222</v>
      </c>
      <c r="F653" s="6">
        <f>'HLR V'!BA40</f>
        <v>576.98383689999991</v>
      </c>
      <c r="G653" s="7" t="s">
        <v>190</v>
      </c>
      <c r="H653" s="6">
        <f>'HLR V'!BV40</f>
        <v>656.98383689999991</v>
      </c>
      <c r="I653" s="369">
        <f>'HLR V'!AY40</f>
        <v>1</v>
      </c>
      <c r="J653" s="368"/>
      <c r="K653" s="367">
        <f t="shared" si="11"/>
        <v>576.98383689999991</v>
      </c>
      <c r="L653" s="367">
        <f>$F653-'HLR V'!AZ40</f>
        <v>452.98383689999997</v>
      </c>
      <c r="M653" s="367">
        <f>IFERROR('HLR V'!AZ40*'HLR V'!AY40,0)</f>
        <v>123.99999999999994</v>
      </c>
    </row>
    <row r="654" spans="2:13" ht="42.75" customHeight="1" x14ac:dyDescent="0.3">
      <c r="B654" s="4" t="s">
        <v>669</v>
      </c>
      <c r="C654" s="4" t="s">
        <v>633</v>
      </c>
      <c r="D654" s="4" t="s">
        <v>659</v>
      </c>
      <c r="E654" s="5" t="s">
        <v>226</v>
      </c>
      <c r="F654" s="6">
        <f>'HLR V'!BA41</f>
        <v>833.31217259999994</v>
      </c>
      <c r="G654" s="7" t="s">
        <v>190</v>
      </c>
      <c r="H654" s="6">
        <f>'HLR V'!BV41</f>
        <v>913.31217259999994</v>
      </c>
      <c r="I654" s="369">
        <f>'HLR V'!AY41</f>
        <v>1</v>
      </c>
      <c r="J654" s="368"/>
      <c r="K654" s="367">
        <f t="shared" si="11"/>
        <v>833.31217259999994</v>
      </c>
      <c r="L654" s="367">
        <f>$F654-'HLR V'!AZ41</f>
        <v>709.31217259999994</v>
      </c>
      <c r="M654" s="367">
        <f>IFERROR('HLR V'!AZ41*'HLR V'!AY41,0)</f>
        <v>123.99999999999994</v>
      </c>
    </row>
    <row r="655" spans="2:13" ht="42.75" customHeight="1" x14ac:dyDescent="0.3">
      <c r="B655" s="4" t="s">
        <v>670</v>
      </c>
      <c r="C655" s="4" t="s">
        <v>633</v>
      </c>
      <c r="D655" s="4" t="s">
        <v>659</v>
      </c>
      <c r="E655" s="5" t="s">
        <v>230</v>
      </c>
      <c r="F655" s="6">
        <f>'HLR V'!BA42</f>
        <v>1053.5082343333333</v>
      </c>
      <c r="G655" s="7" t="s">
        <v>190</v>
      </c>
      <c r="H655" s="6">
        <f>'HLR V'!BV42</f>
        <v>1133.5082343333333</v>
      </c>
      <c r="I655" s="369">
        <f>'HLR V'!AY42</f>
        <v>1</v>
      </c>
      <c r="J655" s="368"/>
      <c r="K655" s="367">
        <f t="shared" si="11"/>
        <v>1053.5082343333333</v>
      </c>
      <c r="L655" s="367">
        <f>$F655-'HLR V'!AZ42</f>
        <v>916.17490099999998</v>
      </c>
      <c r="M655" s="367">
        <f>IFERROR('HLR V'!AZ42*'HLR V'!AY42,0)</f>
        <v>137.33333333333337</v>
      </c>
    </row>
    <row r="656" spans="2:13" ht="42.75" customHeight="1" x14ac:dyDescent="0.3">
      <c r="B656" s="4" t="s">
        <v>671</v>
      </c>
      <c r="C656" s="4" t="s">
        <v>633</v>
      </c>
      <c r="D656" s="4" t="s">
        <v>659</v>
      </c>
      <c r="E656" s="5" t="s">
        <v>234</v>
      </c>
      <c r="F656" s="6">
        <f>'HLR V'!BA43</f>
        <v>1360.1481422333331</v>
      </c>
      <c r="G656" s="7" t="s">
        <v>190</v>
      </c>
      <c r="H656" s="6">
        <f>'HLR V'!BV43</f>
        <v>1440.1481422333331</v>
      </c>
      <c r="I656" s="369">
        <f>'HLR V'!AY43</f>
        <v>1</v>
      </c>
      <c r="J656" s="368"/>
      <c r="K656" s="367">
        <f t="shared" si="11"/>
        <v>1360.1481422333331</v>
      </c>
      <c r="L656" s="367">
        <f>$F656-'HLR V'!AZ43</f>
        <v>1222.8148088999997</v>
      </c>
      <c r="M656" s="367">
        <f>IFERROR('HLR V'!AZ43*'HLR V'!AY43,0)</f>
        <v>137.33333333333337</v>
      </c>
    </row>
    <row r="657" spans="2:13" ht="42.75" customHeight="1" x14ac:dyDescent="0.3">
      <c r="B657" s="4" t="s">
        <v>672</v>
      </c>
      <c r="C657" s="4" t="s">
        <v>633</v>
      </c>
      <c r="D657" s="4" t="s">
        <v>659</v>
      </c>
      <c r="E657" s="5" t="s">
        <v>238</v>
      </c>
      <c r="F657" s="6">
        <f>'HLR V'!BA44</f>
        <v>1607.882491966667</v>
      </c>
      <c r="G657" s="7" t="s">
        <v>190</v>
      </c>
      <c r="H657" s="6">
        <f>'HLR V'!BV44</f>
        <v>1687.882491966667</v>
      </c>
      <c r="I657" s="369">
        <f>'HLR V'!AY44</f>
        <v>1</v>
      </c>
      <c r="J657" s="368"/>
      <c r="K657" s="367">
        <f t="shared" si="11"/>
        <v>1607.882491966667</v>
      </c>
      <c r="L657" s="367">
        <f>$F657-'HLR V'!AZ44</f>
        <v>1451.2158253000002</v>
      </c>
      <c r="M657" s="367">
        <f>IFERROR('HLR V'!AZ44*'HLR V'!AY44,0)</f>
        <v>156.66666666666669</v>
      </c>
    </row>
    <row r="658" spans="2:13" ht="42.75" customHeight="1" x14ac:dyDescent="0.3">
      <c r="B658" s="4" t="s">
        <v>673</v>
      </c>
      <c r="C658" s="4" t="s">
        <v>633</v>
      </c>
      <c r="D658" s="4" t="s">
        <v>659</v>
      </c>
      <c r="E658" s="5" t="s">
        <v>242</v>
      </c>
      <c r="F658" s="6">
        <f>'HLR V'!BA45</f>
        <v>1991.3669788666666</v>
      </c>
      <c r="G658" s="7" t="s">
        <v>190</v>
      </c>
      <c r="H658" s="6">
        <f>'HLR V'!BV45</f>
        <v>2071.3669788666666</v>
      </c>
      <c r="I658" s="369">
        <f>'HLR V'!AY45</f>
        <v>1</v>
      </c>
      <c r="J658" s="368"/>
      <c r="K658" s="367">
        <f t="shared" si="11"/>
        <v>1991.3669788666666</v>
      </c>
      <c r="L658" s="367">
        <f>$F658-'HLR V'!AZ45</f>
        <v>1834.7003121999999</v>
      </c>
      <c r="M658" s="367">
        <f>IFERROR('HLR V'!AZ45*'HLR V'!AY45,0)</f>
        <v>156.66666666666669</v>
      </c>
    </row>
    <row r="659" spans="2:13" ht="42.75" customHeight="1" x14ac:dyDescent="0.3">
      <c r="B659" s="4" t="s">
        <v>674</v>
      </c>
      <c r="C659" s="4" t="s">
        <v>633</v>
      </c>
      <c r="D659" s="4" t="s">
        <v>659</v>
      </c>
      <c r="E659" s="5" t="s">
        <v>246</v>
      </c>
      <c r="F659" s="6">
        <f>'HLR V'!BA46</f>
        <v>2457.0135868666666</v>
      </c>
      <c r="G659" s="7" t="s">
        <v>190</v>
      </c>
      <c r="H659" s="6">
        <f>'HLR V'!BV46</f>
        <v>2537.0135868666666</v>
      </c>
      <c r="I659" s="369">
        <f>'HLR V'!AY46</f>
        <v>1</v>
      </c>
      <c r="J659" s="368"/>
      <c r="K659" s="367">
        <f t="shared" si="11"/>
        <v>2457.0135868666666</v>
      </c>
      <c r="L659" s="367">
        <f>$F659-'HLR V'!AZ46</f>
        <v>2260.3469202000001</v>
      </c>
      <c r="M659" s="367">
        <f>IFERROR('HLR V'!AZ46*'HLR V'!AY46,0)</f>
        <v>196.66666666666671</v>
      </c>
    </row>
    <row r="660" spans="2:13" ht="42.75" customHeight="1" x14ac:dyDescent="0.3">
      <c r="B660" s="4" t="s">
        <v>675</v>
      </c>
      <c r="C660" s="4" t="s">
        <v>633</v>
      </c>
      <c r="D660" s="4" t="s">
        <v>659</v>
      </c>
      <c r="E660" s="5" t="s">
        <v>250</v>
      </c>
      <c r="F660" s="6">
        <f>'HLR V'!BA47</f>
        <v>3082.2060526666669</v>
      </c>
      <c r="G660" s="7" t="s">
        <v>190</v>
      </c>
      <c r="H660" s="6">
        <f>'HLR V'!BV47</f>
        <v>3162.2060526666669</v>
      </c>
      <c r="I660" s="369">
        <f>'HLR V'!AY47</f>
        <v>1</v>
      </c>
      <c r="J660" s="368"/>
      <c r="K660" s="367">
        <f t="shared" si="11"/>
        <v>3082.2060526666669</v>
      </c>
      <c r="L660" s="367">
        <f>$F660-'HLR V'!AZ47</f>
        <v>2885.5393860000004</v>
      </c>
      <c r="M660" s="367">
        <f>IFERROR('HLR V'!AZ47*'HLR V'!AY47,0)</f>
        <v>196.66666666666671</v>
      </c>
    </row>
    <row r="661" spans="2:13" ht="42.75" customHeight="1" x14ac:dyDescent="0.3">
      <c r="B661" s="4" t="s">
        <v>676</v>
      </c>
      <c r="C661" s="4" t="s">
        <v>633</v>
      </c>
      <c r="D661" s="4" t="s">
        <v>659</v>
      </c>
      <c r="E661" s="5" t="s">
        <v>254</v>
      </c>
      <c r="F661" s="6">
        <f>'HLR V'!BA48</f>
        <v>3235.7177211666658</v>
      </c>
      <c r="G661" s="7" t="s">
        <v>190</v>
      </c>
      <c r="H661" s="6">
        <f>'HLR V'!BV48</f>
        <v>3315.7177211666658</v>
      </c>
      <c r="I661" s="369">
        <f>'HLR V'!AY48</f>
        <v>1</v>
      </c>
      <c r="J661" s="368"/>
      <c r="K661" s="367">
        <f t="shared" si="11"/>
        <v>3235.7177211666658</v>
      </c>
      <c r="L661" s="367">
        <f>$F661-'HLR V'!AZ48</f>
        <v>3039.0510544999993</v>
      </c>
      <c r="M661" s="367">
        <f>IFERROR('HLR V'!AZ48*'HLR V'!AY48,0)</f>
        <v>196.66666666666671</v>
      </c>
    </row>
    <row r="662" spans="2:13" ht="42.75" customHeight="1" x14ac:dyDescent="0.3">
      <c r="B662" s="4" t="s">
        <v>677</v>
      </c>
      <c r="C662" s="4" t="s">
        <v>633</v>
      </c>
      <c r="D662" s="4" t="s">
        <v>659</v>
      </c>
      <c r="E662" s="5" t="s">
        <v>258</v>
      </c>
      <c r="F662" s="6">
        <f>'HLR V'!BA49</f>
        <v>4021.3271686666658</v>
      </c>
      <c r="G662" s="7" t="s">
        <v>190</v>
      </c>
      <c r="H662" s="6">
        <f>'HLR V'!BV49</f>
        <v>4101.3271686666658</v>
      </c>
      <c r="I662" s="369">
        <f>'HLR V'!AY49</f>
        <v>1</v>
      </c>
      <c r="J662" s="368"/>
      <c r="K662" s="367">
        <f t="shared" si="11"/>
        <v>4021.3271686666658</v>
      </c>
      <c r="L662" s="367">
        <f>$F662-'HLR V'!AZ49</f>
        <v>3824.6605019999993</v>
      </c>
      <c r="M662" s="367">
        <f>IFERROR('HLR V'!AZ49*'HLR V'!AY49,0)</f>
        <v>196.66666666666671</v>
      </c>
    </row>
    <row r="663" spans="2:13" ht="42.75" customHeight="1" x14ac:dyDescent="0.3">
      <c r="B663" s="4" t="s">
        <v>678</v>
      </c>
      <c r="C663" s="4" t="s">
        <v>633</v>
      </c>
      <c r="D663" s="4" t="s">
        <v>659</v>
      </c>
      <c r="E663" s="5" t="s">
        <v>262</v>
      </c>
      <c r="F663" s="6">
        <f>'HLR V'!BA50</f>
        <v>4798.2853231666668</v>
      </c>
      <c r="G663" s="7" t="s">
        <v>190</v>
      </c>
      <c r="H663" s="6">
        <f>'HLR V'!BV50</f>
        <v>4878.2853231666668</v>
      </c>
      <c r="I663" s="369">
        <f>'HLR V'!AY50</f>
        <v>1</v>
      </c>
      <c r="J663" s="368"/>
      <c r="K663" s="367">
        <f t="shared" si="11"/>
        <v>4798.2853231666668</v>
      </c>
      <c r="L663" s="367">
        <f>$F663-'HLR V'!AZ50</f>
        <v>4601.6186564999998</v>
      </c>
      <c r="M663" s="367">
        <f>IFERROR('HLR V'!AZ50*'HLR V'!AY50,0)</f>
        <v>196.66666666666671</v>
      </c>
    </row>
    <row r="664" spans="2:13" ht="42.75" customHeight="1" x14ac:dyDescent="0.3">
      <c r="B664" s="4" t="s">
        <v>679</v>
      </c>
      <c r="C664" s="4" t="s">
        <v>633</v>
      </c>
      <c r="D664" s="4" t="s">
        <v>659</v>
      </c>
      <c r="E664" s="5" t="s">
        <v>266</v>
      </c>
      <c r="F664" s="6">
        <f>'HLR V'!BA51</f>
        <v>5751.6676481666682</v>
      </c>
      <c r="G664" s="7" t="s">
        <v>190</v>
      </c>
      <c r="H664" s="6">
        <f>'HLR V'!BV51</f>
        <v>5831.6676481666682</v>
      </c>
      <c r="I664" s="369">
        <f>'HLR V'!AY51</f>
        <v>1</v>
      </c>
      <c r="J664" s="368"/>
      <c r="K664" s="367">
        <f t="shared" si="11"/>
        <v>5751.6676481666682</v>
      </c>
      <c r="L664" s="367">
        <f>$F664-'HLR V'!AZ51</f>
        <v>5515.0009815000012</v>
      </c>
      <c r="M664" s="367">
        <f>IFERROR('HLR V'!AZ51*'HLR V'!AY51,0)</f>
        <v>236.66666666666666</v>
      </c>
    </row>
    <row r="665" spans="2:13" ht="42.75" customHeight="1" x14ac:dyDescent="0.3">
      <c r="B665" s="4" t="s">
        <v>680</v>
      </c>
      <c r="C665" s="4" t="s">
        <v>633</v>
      </c>
      <c r="D665" s="4" t="s">
        <v>659</v>
      </c>
      <c r="E665" s="5" t="s">
        <v>270</v>
      </c>
      <c r="F665" s="6">
        <f>'HLR V'!BA52</f>
        <v>6086.2257236666655</v>
      </c>
      <c r="G665" s="7" t="s">
        <v>190</v>
      </c>
      <c r="H665" s="6">
        <f>'HLR V'!BV52</f>
        <v>6166.2257236666655</v>
      </c>
      <c r="I665" s="369">
        <f>'HLR V'!AY52</f>
        <v>1</v>
      </c>
      <c r="J665" s="368"/>
      <c r="K665" s="367">
        <f t="shared" si="11"/>
        <v>6086.2257236666655</v>
      </c>
      <c r="L665" s="367">
        <f>$F665-'HLR V'!AZ52</f>
        <v>5849.5590569999986</v>
      </c>
      <c r="M665" s="367">
        <f>IFERROR('HLR V'!AZ52*'HLR V'!AY52,0)</f>
        <v>236.66666666666666</v>
      </c>
    </row>
    <row r="666" spans="2:13" ht="42.75" customHeight="1" x14ac:dyDescent="0.3">
      <c r="B666" s="4" t="s">
        <v>681</v>
      </c>
      <c r="C666" s="4" t="s">
        <v>633</v>
      </c>
      <c r="D666" s="4" t="s">
        <v>659</v>
      </c>
      <c r="E666" s="5" t="s">
        <v>274</v>
      </c>
      <c r="F666" s="6">
        <f>'HLR V'!BA53</f>
        <v>6719.3051867666663</v>
      </c>
      <c r="G666" s="7" t="s">
        <v>190</v>
      </c>
      <c r="H666" s="6">
        <f>'HLR V'!BV53</f>
        <v>6799.3051867666663</v>
      </c>
      <c r="I666" s="369">
        <f>'HLR V'!AY53</f>
        <v>1</v>
      </c>
      <c r="J666" s="368"/>
      <c r="K666" s="367">
        <f t="shared" si="11"/>
        <v>6719.3051867666663</v>
      </c>
      <c r="L666" s="367">
        <f>$F666-'HLR V'!AZ53</f>
        <v>6482.6385200999994</v>
      </c>
      <c r="M666" s="367">
        <f>IFERROR('HLR V'!AZ53*'HLR V'!AY53,0)</f>
        <v>236.66666666666666</v>
      </c>
    </row>
    <row r="667" spans="2:13" ht="42.75" customHeight="1" x14ac:dyDescent="0.3">
      <c r="B667" s="4" t="s">
        <v>682</v>
      </c>
      <c r="C667" s="4" t="s">
        <v>633</v>
      </c>
      <c r="D667" s="4" t="s">
        <v>659</v>
      </c>
      <c r="E667" s="5" t="s">
        <v>278</v>
      </c>
      <c r="F667" s="6">
        <f>'HLR V'!BA54</f>
        <v>7821.0401336666655</v>
      </c>
      <c r="G667" s="7" t="s">
        <v>190</v>
      </c>
      <c r="H667" s="6">
        <f>'HLR V'!BV54</f>
        <v>7901.0401336666655</v>
      </c>
      <c r="I667" s="369">
        <f>'HLR V'!AY54</f>
        <v>1</v>
      </c>
      <c r="J667" s="368"/>
      <c r="K667" s="367">
        <f t="shared" si="11"/>
        <v>7821.0401336666655</v>
      </c>
      <c r="L667" s="367">
        <f>$F667-'HLR V'!AZ54</f>
        <v>7584.3734669999985</v>
      </c>
      <c r="M667" s="367">
        <f>IFERROR('HLR V'!AZ54*'HLR V'!AY54,0)</f>
        <v>236.66666666666666</v>
      </c>
    </row>
    <row r="668" spans="2:13" ht="42.75" customHeight="1" x14ac:dyDescent="0.3">
      <c r="B668" s="4" t="s">
        <v>1765</v>
      </c>
      <c r="C668" s="4" t="s">
        <v>1813</v>
      </c>
      <c r="D668" s="4" t="s">
        <v>1814</v>
      </c>
      <c r="E668" s="5" t="s">
        <v>196</v>
      </c>
      <c r="F668" s="6">
        <f>HLB!BA7</f>
        <v>43.513296033333333</v>
      </c>
      <c r="G668" s="7" t="s">
        <v>190</v>
      </c>
      <c r="H668" s="6">
        <f>HLB!BV7</f>
        <v>123.51329603333333</v>
      </c>
      <c r="I668" s="369">
        <f>HLB!AY7</f>
        <v>4</v>
      </c>
      <c r="J668" s="368"/>
      <c r="K668" s="367">
        <f t="shared" si="11"/>
        <v>43.513296033333333</v>
      </c>
      <c r="L668" s="367">
        <f>$F668-HLB!AZ7</f>
        <v>7.6799627000000044</v>
      </c>
      <c r="M668" s="367">
        <f>IFERROR(HLB!AZ7*HLB!AY7,0)</f>
        <v>143.33333333333331</v>
      </c>
    </row>
    <row r="669" spans="2:13" ht="42.75" customHeight="1" x14ac:dyDescent="0.3">
      <c r="B669" s="4" t="s">
        <v>1766</v>
      </c>
      <c r="C669" s="4" t="s">
        <v>1813</v>
      </c>
      <c r="D669" s="4" t="s">
        <v>1814</v>
      </c>
      <c r="E669" s="5" t="s">
        <v>200</v>
      </c>
      <c r="F669" s="6">
        <f>HLB!BA8</f>
        <v>47.63013733333333</v>
      </c>
      <c r="G669" s="7" t="s">
        <v>190</v>
      </c>
      <c r="H669" s="6">
        <f>HLB!BV8</f>
        <v>127.63013733333332</v>
      </c>
      <c r="I669" s="369">
        <f>HLB!AY8</f>
        <v>4</v>
      </c>
      <c r="J669" s="368"/>
      <c r="K669" s="367">
        <f t="shared" si="11"/>
        <v>47.63013733333333</v>
      </c>
      <c r="L669" s="367">
        <f>$F669-HLB!AZ8</f>
        <v>11.796804000000002</v>
      </c>
      <c r="M669" s="367">
        <f>IFERROR(HLB!AZ8*HLB!AY8,0)</f>
        <v>143.33333333333331</v>
      </c>
    </row>
    <row r="670" spans="2:13" ht="42.75" customHeight="1" x14ac:dyDescent="0.3">
      <c r="B670" s="4" t="s">
        <v>1767</v>
      </c>
      <c r="C670" s="4" t="s">
        <v>1813</v>
      </c>
      <c r="D670" s="4" t="s">
        <v>1814</v>
      </c>
      <c r="E670" s="5" t="s">
        <v>185</v>
      </c>
      <c r="F670" s="6">
        <f>HLB!BA9</f>
        <v>68.366994077777775</v>
      </c>
      <c r="G670" s="7" t="s">
        <v>190</v>
      </c>
      <c r="H670" s="6">
        <f>HLB!BV9</f>
        <v>148.36699407777778</v>
      </c>
      <c r="I670" s="369">
        <f>HLB!AY9</f>
        <v>3</v>
      </c>
      <c r="J670" s="368"/>
      <c r="K670" s="367">
        <f t="shared" si="11"/>
        <v>68.366994077777775</v>
      </c>
      <c r="L670" s="367">
        <f>$F670-HLB!AZ9</f>
        <v>20.589216300000004</v>
      </c>
      <c r="M670" s="367">
        <f>IFERROR(HLB!AZ9*HLB!AY9,0)</f>
        <v>143.33333333333331</v>
      </c>
    </row>
    <row r="671" spans="2:13" ht="42.75" customHeight="1" x14ac:dyDescent="0.3">
      <c r="B671" s="4" t="s">
        <v>1768</v>
      </c>
      <c r="C671" s="4" t="s">
        <v>1813</v>
      </c>
      <c r="D671" s="4" t="s">
        <v>1814</v>
      </c>
      <c r="E671" s="5" t="s">
        <v>39</v>
      </c>
      <c r="F671" s="6">
        <f>HLB!BA10</f>
        <v>95.323050277777767</v>
      </c>
      <c r="G671" s="7" t="s">
        <v>190</v>
      </c>
      <c r="H671" s="6">
        <f>HLB!BV10</f>
        <v>175.32305027777778</v>
      </c>
      <c r="I671" s="369">
        <f>HLB!AY10</f>
        <v>3</v>
      </c>
      <c r="J671" s="368"/>
      <c r="K671" s="367">
        <f t="shared" si="11"/>
        <v>95.323050277777767</v>
      </c>
      <c r="L671" s="367">
        <f>$F671-HLB!AZ10</f>
        <v>47.545272499999996</v>
      </c>
      <c r="M671" s="367">
        <f>IFERROR(HLB!AZ10*HLB!AY10,0)</f>
        <v>143.33333333333331</v>
      </c>
    </row>
    <row r="672" spans="2:13" ht="42.75" customHeight="1" x14ac:dyDescent="0.3">
      <c r="B672" s="4" t="s">
        <v>1769</v>
      </c>
      <c r="C672" s="4" t="s">
        <v>1813</v>
      </c>
      <c r="D672" s="4" t="s">
        <v>1814</v>
      </c>
      <c r="E672" s="5" t="s">
        <v>300</v>
      </c>
      <c r="F672" s="6">
        <f>HLB!BA11</f>
        <v>113.33688463333331</v>
      </c>
      <c r="G672" s="7" t="s">
        <v>190</v>
      </c>
      <c r="H672" s="6">
        <f>HLB!BV11</f>
        <v>193.33688463333331</v>
      </c>
      <c r="I672" s="369">
        <f>HLB!AY11</f>
        <v>3</v>
      </c>
      <c r="J672" s="368"/>
      <c r="K672" s="367">
        <f t="shared" si="11"/>
        <v>113.33688463333331</v>
      </c>
      <c r="L672" s="367">
        <f>$F672-HLB!AZ11</f>
        <v>70.003551299999998</v>
      </c>
      <c r="M672" s="367">
        <f>IFERROR(HLB!AZ11*HLB!AY11,0)</f>
        <v>129.99999999999997</v>
      </c>
    </row>
    <row r="673" spans="2:13" ht="42.75" customHeight="1" x14ac:dyDescent="0.3">
      <c r="B673" s="4" t="s">
        <v>1770</v>
      </c>
      <c r="C673" s="4" t="s">
        <v>1813</v>
      </c>
      <c r="D673" s="4" t="s">
        <v>1814</v>
      </c>
      <c r="E673" s="5" t="s">
        <v>41</v>
      </c>
      <c r="F673" s="6">
        <f>HLB!BA12</f>
        <v>153.31530379999998</v>
      </c>
      <c r="G673" s="7" t="s">
        <v>190</v>
      </c>
      <c r="H673" s="6">
        <f>HLB!BV12</f>
        <v>233.31530379999998</v>
      </c>
      <c r="I673" s="369">
        <f>HLB!AY12</f>
        <v>2</v>
      </c>
      <c r="J673" s="368"/>
      <c r="K673" s="367">
        <f t="shared" si="11"/>
        <v>153.31530379999998</v>
      </c>
      <c r="L673" s="367">
        <f>$F673-HLB!AZ12</f>
        <v>88.315303799999995</v>
      </c>
      <c r="M673" s="367">
        <f>IFERROR(HLB!AZ12*HLB!AY12,0)</f>
        <v>129.99999999999997</v>
      </c>
    </row>
    <row r="674" spans="2:13" ht="42.75" customHeight="1" x14ac:dyDescent="0.3">
      <c r="B674" s="4" t="s">
        <v>1771</v>
      </c>
      <c r="C674" s="4" t="s">
        <v>1813</v>
      </c>
      <c r="D674" s="4" t="s">
        <v>1814</v>
      </c>
      <c r="E674" s="5" t="s">
        <v>43</v>
      </c>
      <c r="F674" s="6">
        <f>HLB!BA13</f>
        <v>211.54044683333336</v>
      </c>
      <c r="G674" s="7" t="s">
        <v>190</v>
      </c>
      <c r="H674" s="6">
        <f>HLB!BV13</f>
        <v>291.54044683333336</v>
      </c>
      <c r="I674" s="369">
        <f>HLB!AY13</f>
        <v>2</v>
      </c>
      <c r="J674" s="368"/>
      <c r="K674" s="367">
        <f t="shared" si="11"/>
        <v>211.54044683333336</v>
      </c>
      <c r="L674" s="367">
        <f>$F674-HLB!AZ13</f>
        <v>143.20711350000002</v>
      </c>
      <c r="M674" s="367">
        <f>IFERROR(HLB!AZ13*HLB!AY13,0)</f>
        <v>136.66666666666669</v>
      </c>
    </row>
    <row r="675" spans="2:13" ht="42.75" customHeight="1" x14ac:dyDescent="0.3">
      <c r="B675" s="4" t="s">
        <v>1772</v>
      </c>
      <c r="C675" s="4" t="s">
        <v>1813</v>
      </c>
      <c r="D675" s="4" t="s">
        <v>1814</v>
      </c>
      <c r="E675" s="5" t="s">
        <v>45</v>
      </c>
      <c r="F675" s="6">
        <f>HLB!BA14</f>
        <v>286.91186613333332</v>
      </c>
      <c r="G675" s="7" t="s">
        <v>190</v>
      </c>
      <c r="H675" s="6">
        <f>HLB!BV14</f>
        <v>366.91186613333332</v>
      </c>
      <c r="I675" s="369">
        <f>HLB!AY14</f>
        <v>2</v>
      </c>
      <c r="J675" s="368"/>
      <c r="K675" s="367">
        <f t="shared" si="11"/>
        <v>286.91186613333332</v>
      </c>
      <c r="L675" s="367">
        <f>$F675-HLB!AZ14</f>
        <v>218.57853279999998</v>
      </c>
      <c r="M675" s="367">
        <f>IFERROR(HLB!AZ14*HLB!AY14,0)</f>
        <v>136.66666666666669</v>
      </c>
    </row>
    <row r="676" spans="2:13" ht="42.75" customHeight="1" x14ac:dyDescent="0.3">
      <c r="B676" s="4" t="s">
        <v>1773</v>
      </c>
      <c r="C676" s="4" t="s">
        <v>1813</v>
      </c>
      <c r="D676" s="4" t="s">
        <v>1814</v>
      </c>
      <c r="E676" s="5" t="s">
        <v>47</v>
      </c>
      <c r="F676" s="6">
        <f>HLB!BA15</f>
        <v>416.17849159999992</v>
      </c>
      <c r="G676" s="7" t="s">
        <v>190</v>
      </c>
      <c r="H676" s="6">
        <f>HLB!BV15</f>
        <v>496.17849159999992</v>
      </c>
      <c r="I676" s="369">
        <f>HLB!AY15</f>
        <v>1</v>
      </c>
      <c r="J676" s="368"/>
      <c r="K676" s="367">
        <f t="shared" si="11"/>
        <v>416.17849159999992</v>
      </c>
      <c r="L676" s="367">
        <f>$F676-HLB!AZ15</f>
        <v>306.17849159999997</v>
      </c>
      <c r="M676" s="367">
        <f>IFERROR(HLB!AZ15*HLB!AY15,0)</f>
        <v>109.99999999999994</v>
      </c>
    </row>
    <row r="677" spans="2:13" ht="42.75" customHeight="1" x14ac:dyDescent="0.3">
      <c r="B677" s="4" t="s">
        <v>1774</v>
      </c>
      <c r="C677" s="4" t="s">
        <v>1813</v>
      </c>
      <c r="D677" s="4" t="s">
        <v>1814</v>
      </c>
      <c r="E677" s="5" t="s">
        <v>222</v>
      </c>
      <c r="F677" s="6">
        <f>HLB!BA16</f>
        <v>529.6960035666666</v>
      </c>
      <c r="G677" s="7" t="s">
        <v>190</v>
      </c>
      <c r="H677" s="6">
        <f>HLB!BV16</f>
        <v>609.6960035666666</v>
      </c>
      <c r="I677" s="369">
        <f>HLB!AY16</f>
        <v>1</v>
      </c>
      <c r="J677" s="368"/>
      <c r="K677" s="367">
        <f t="shared" si="11"/>
        <v>529.6960035666666</v>
      </c>
      <c r="L677" s="367">
        <f>$F677-HLB!AZ16</f>
        <v>403.02933689999998</v>
      </c>
      <c r="M677" s="367">
        <f>IFERROR(HLB!AZ16*HLB!AY16,0)</f>
        <v>126.66666666666663</v>
      </c>
    </row>
    <row r="678" spans="2:13" ht="42.75" customHeight="1" x14ac:dyDescent="0.3">
      <c r="B678" s="4" t="s">
        <v>1775</v>
      </c>
      <c r="C678" s="4" t="s">
        <v>1813</v>
      </c>
      <c r="D678" s="4" t="s">
        <v>1814</v>
      </c>
      <c r="E678" s="5" t="s">
        <v>226</v>
      </c>
      <c r="F678" s="6">
        <f>HLB!BA17</f>
        <v>737.7937592666666</v>
      </c>
      <c r="G678" s="7" t="s">
        <v>190</v>
      </c>
      <c r="H678" s="6">
        <f>HLB!BV17</f>
        <v>817.7937592666666</v>
      </c>
      <c r="I678" s="369">
        <f>HLB!AY17</f>
        <v>1</v>
      </c>
      <c r="J678" s="368"/>
      <c r="K678" s="367">
        <f t="shared" si="11"/>
        <v>737.7937592666666</v>
      </c>
      <c r="L678" s="367">
        <f>$F678-HLB!AZ17</f>
        <v>611.12709259999997</v>
      </c>
      <c r="M678" s="367">
        <f>IFERROR(HLB!AZ17*HLB!AY17,0)</f>
        <v>126.66666666666663</v>
      </c>
    </row>
    <row r="679" spans="2:13" ht="42.75" customHeight="1" x14ac:dyDescent="0.3">
      <c r="B679" s="4" t="s">
        <v>1776</v>
      </c>
      <c r="C679" s="4" t="s">
        <v>1813</v>
      </c>
      <c r="D679" s="4" t="s">
        <v>1814</v>
      </c>
      <c r="E679" s="5" t="s">
        <v>230</v>
      </c>
      <c r="F679" s="6">
        <f>HLB!BA18</f>
        <v>939.8042343333334</v>
      </c>
      <c r="G679" s="7" t="s">
        <v>190</v>
      </c>
      <c r="H679" s="6">
        <f>HLB!BV18</f>
        <v>1019.8042343333334</v>
      </c>
      <c r="I679" s="369">
        <f>HLB!AY18</f>
        <v>1</v>
      </c>
      <c r="J679" s="368"/>
      <c r="K679" s="367">
        <f t="shared" ref="K679:K742" si="12">IF(OR($J679="",$J679&lt;=0),$F679,$L679+$M679/$J679)</f>
        <v>939.8042343333334</v>
      </c>
      <c r="L679" s="367">
        <f>$F679-HLB!AZ18</f>
        <v>806.47090100000014</v>
      </c>
      <c r="M679" s="367">
        <f>IFERROR(HLB!AZ18*HLB!AY18,0)</f>
        <v>133.33333333333331</v>
      </c>
    </row>
    <row r="680" spans="2:13" ht="42.75" customHeight="1" x14ac:dyDescent="0.3">
      <c r="B680" s="4" t="s">
        <v>1777</v>
      </c>
      <c r="C680" s="4" t="s">
        <v>1813</v>
      </c>
      <c r="D680" s="4" t="s">
        <v>1814</v>
      </c>
      <c r="E680" s="5" t="s">
        <v>234</v>
      </c>
      <c r="F680" s="6">
        <f>HLB!BA19</f>
        <v>1209.223142233333</v>
      </c>
      <c r="G680" s="7" t="s">
        <v>190</v>
      </c>
      <c r="H680" s="6">
        <f>HLB!BV19</f>
        <v>1289.223142233333</v>
      </c>
      <c r="I680" s="369">
        <f>HLB!AY19</f>
        <v>1</v>
      </c>
      <c r="J680" s="368"/>
      <c r="K680" s="367">
        <f t="shared" si="12"/>
        <v>1209.223142233333</v>
      </c>
      <c r="L680" s="367">
        <f>$F680-HLB!AZ19</f>
        <v>1075.8898088999997</v>
      </c>
      <c r="M680" s="367">
        <f>IFERROR(HLB!AZ19*HLB!AY19,0)</f>
        <v>133.33333333333331</v>
      </c>
    </row>
    <row r="681" spans="2:13" ht="42.75" customHeight="1" x14ac:dyDescent="0.3">
      <c r="B681" s="4" t="s">
        <v>1778</v>
      </c>
      <c r="C681" s="4" t="s">
        <v>1813</v>
      </c>
      <c r="D681" s="4" t="s">
        <v>1814</v>
      </c>
      <c r="E681" s="5" t="s">
        <v>238</v>
      </c>
      <c r="F681" s="6">
        <f>HLB!BA20</f>
        <v>1374.9361586333334</v>
      </c>
      <c r="G681" s="7" t="s">
        <v>190</v>
      </c>
      <c r="H681" s="6">
        <f>HLB!BV20</f>
        <v>1454.9361586333334</v>
      </c>
      <c r="I681" s="369">
        <f>HLB!AY20</f>
        <v>1</v>
      </c>
      <c r="J681" s="368"/>
      <c r="K681" s="367">
        <f t="shared" si="12"/>
        <v>1374.9361586333334</v>
      </c>
      <c r="L681" s="367">
        <f>$F681-HLB!AZ20</f>
        <v>1241.6028253000002</v>
      </c>
      <c r="M681" s="367">
        <f>IFERROR(HLB!AZ20*HLB!AY20,0)</f>
        <v>133.33333333333331</v>
      </c>
    </row>
    <row r="682" spans="2:13" ht="42.75" customHeight="1" x14ac:dyDescent="0.3">
      <c r="B682" s="4" t="s">
        <v>1779</v>
      </c>
      <c r="C682" s="4" t="s">
        <v>1813</v>
      </c>
      <c r="D682" s="4" t="s">
        <v>1814</v>
      </c>
      <c r="E682" s="5" t="s">
        <v>242</v>
      </c>
      <c r="F682" s="6">
        <f>HLB!BA21</f>
        <v>1646.3779788666666</v>
      </c>
      <c r="G682" s="7" t="s">
        <v>190</v>
      </c>
      <c r="H682" s="6">
        <f>HLB!BV21</f>
        <v>1726.3779788666666</v>
      </c>
      <c r="I682" s="369">
        <f>HLB!AY21</f>
        <v>1</v>
      </c>
      <c r="J682" s="368"/>
      <c r="K682" s="367">
        <f t="shared" si="12"/>
        <v>1646.3779788666666</v>
      </c>
      <c r="L682" s="367">
        <f>$F682-HLB!AZ21</f>
        <v>1499.7113121999998</v>
      </c>
      <c r="M682" s="367">
        <f>IFERROR(HLB!AZ21*HLB!AY21,0)</f>
        <v>146.66666666666669</v>
      </c>
    </row>
    <row r="683" spans="2:13" ht="42.75" customHeight="1" x14ac:dyDescent="0.3">
      <c r="B683" s="4" t="s">
        <v>1780</v>
      </c>
      <c r="C683" s="4" t="s">
        <v>1813</v>
      </c>
      <c r="D683" s="4" t="s">
        <v>1814</v>
      </c>
      <c r="E683" s="5" t="s">
        <v>246</v>
      </c>
      <c r="F683" s="6">
        <f>HLB!BA22</f>
        <v>1899.4730868666666</v>
      </c>
      <c r="G683" s="7" t="s">
        <v>190</v>
      </c>
      <c r="H683" s="6">
        <f>HLB!BV22</f>
        <v>1979.4730868666666</v>
      </c>
      <c r="I683" s="369">
        <f>HLB!AY22</f>
        <v>1</v>
      </c>
      <c r="J683" s="368"/>
      <c r="K683" s="367">
        <f t="shared" si="12"/>
        <v>1899.4730868666666</v>
      </c>
      <c r="L683" s="367">
        <f>$F683-HLB!AZ22</f>
        <v>1712.8064201999998</v>
      </c>
      <c r="M683" s="367">
        <f>IFERROR(HLB!AZ22*HLB!AY22,0)</f>
        <v>186.66666666666669</v>
      </c>
    </row>
    <row r="684" spans="2:13" ht="42.75" customHeight="1" x14ac:dyDescent="0.3">
      <c r="B684" s="4" t="s">
        <v>1781</v>
      </c>
      <c r="C684" s="4" t="s">
        <v>1813</v>
      </c>
      <c r="D684" s="4" t="s">
        <v>1814</v>
      </c>
      <c r="E684" s="5" t="s">
        <v>250</v>
      </c>
      <c r="F684" s="6">
        <f>HLB!BA23</f>
        <v>2693.7697193333338</v>
      </c>
      <c r="G684" s="7" t="s">
        <v>190</v>
      </c>
      <c r="H684" s="6">
        <f>HLB!BV23</f>
        <v>2773.7697193333338</v>
      </c>
      <c r="I684" s="369">
        <f>HLB!AY23</f>
        <v>1</v>
      </c>
      <c r="J684" s="368"/>
      <c r="K684" s="367">
        <f t="shared" si="12"/>
        <v>2693.7697193333338</v>
      </c>
      <c r="L684" s="367">
        <f>$F684-HLB!AZ23</f>
        <v>2460.4363860000003</v>
      </c>
      <c r="M684" s="367">
        <f>IFERROR(HLB!AZ23*HLB!AY23,0)</f>
        <v>233.3333333333334</v>
      </c>
    </row>
    <row r="685" spans="2:13" ht="42.75" customHeight="1" x14ac:dyDescent="0.3">
      <c r="B685" s="4" t="s">
        <v>1782</v>
      </c>
      <c r="C685" s="4" t="s">
        <v>1813</v>
      </c>
      <c r="D685" s="4" t="s">
        <v>1814</v>
      </c>
      <c r="E685" s="5" t="s">
        <v>254</v>
      </c>
      <c r="F685" s="6">
        <f>HLB!BA24</f>
        <v>3013.796387833333</v>
      </c>
      <c r="G685" s="7" t="s">
        <v>190</v>
      </c>
      <c r="H685" s="6">
        <f>HLB!BV24</f>
        <v>3093.796387833333</v>
      </c>
      <c r="I685" s="369">
        <f>HLB!AY24</f>
        <v>1</v>
      </c>
      <c r="J685" s="368"/>
      <c r="K685" s="367">
        <f t="shared" si="12"/>
        <v>3013.796387833333</v>
      </c>
      <c r="L685" s="367">
        <f>$F685-HLB!AZ24</f>
        <v>2780.4630544999995</v>
      </c>
      <c r="M685" s="367">
        <f>IFERROR(HLB!AZ24*HLB!AY24,0)</f>
        <v>233.3333333333334</v>
      </c>
    </row>
    <row r="686" spans="2:13" ht="42.75" customHeight="1" x14ac:dyDescent="0.3">
      <c r="B686" s="4" t="s">
        <v>1783</v>
      </c>
      <c r="C686" s="4" t="s">
        <v>1813</v>
      </c>
      <c r="D686" s="4" t="s">
        <v>1814</v>
      </c>
      <c r="E686" s="5" t="s">
        <v>258</v>
      </c>
      <c r="F686" s="6">
        <f>HLB!BA25</f>
        <v>3387.0363353333332</v>
      </c>
      <c r="G686" s="7" t="s">
        <v>190</v>
      </c>
      <c r="H686" s="6">
        <f>HLB!BV25</f>
        <v>3467.0363353333332</v>
      </c>
      <c r="I686" s="369">
        <f>HLB!AY25</f>
        <v>1</v>
      </c>
      <c r="J686" s="368"/>
      <c r="K686" s="367">
        <f t="shared" si="12"/>
        <v>3387.0363353333332</v>
      </c>
      <c r="L686" s="367">
        <f>$F686-HLB!AZ25</f>
        <v>3153.7030019999997</v>
      </c>
      <c r="M686" s="367">
        <f>IFERROR(HLB!AZ25*HLB!AY25,0)</f>
        <v>233.3333333333334</v>
      </c>
    </row>
    <row r="687" spans="2:13" ht="42.75" customHeight="1" x14ac:dyDescent="0.3">
      <c r="B687" s="4" t="s">
        <v>1784</v>
      </c>
      <c r="C687" s="4" t="s">
        <v>1813</v>
      </c>
      <c r="D687" s="4" t="s">
        <v>1814</v>
      </c>
      <c r="E687" s="5" t="s">
        <v>262</v>
      </c>
      <c r="F687" s="6">
        <f>HLB!BA26</f>
        <v>3953.401989833334</v>
      </c>
      <c r="G687" s="7" t="s">
        <v>190</v>
      </c>
      <c r="H687" s="6">
        <f>HLB!BV26</f>
        <v>4033.401989833334</v>
      </c>
      <c r="I687" s="369">
        <f>HLB!AY26</f>
        <v>1</v>
      </c>
      <c r="J687" s="368"/>
      <c r="K687" s="367">
        <f t="shared" si="12"/>
        <v>3953.401989833334</v>
      </c>
      <c r="L687" s="367">
        <f>$F687-HLB!AZ26</f>
        <v>3720.0686565000005</v>
      </c>
      <c r="M687" s="367">
        <f>IFERROR(HLB!AZ26*HLB!AY26,0)</f>
        <v>233.3333333333334</v>
      </c>
    </row>
    <row r="688" spans="2:13" ht="42.75" customHeight="1" x14ac:dyDescent="0.3">
      <c r="B688" s="4" t="s">
        <v>1785</v>
      </c>
      <c r="C688" s="4" t="s">
        <v>1813</v>
      </c>
      <c r="D688" s="4" t="s">
        <v>1814</v>
      </c>
      <c r="E688" s="5" t="s">
        <v>266</v>
      </c>
      <c r="F688" s="6">
        <f>HLB!BA27</f>
        <v>4759.654314833333</v>
      </c>
      <c r="G688" s="7" t="s">
        <v>190</v>
      </c>
      <c r="H688" s="6">
        <f>HLB!BV27</f>
        <v>4839.654314833333</v>
      </c>
      <c r="I688" s="369">
        <f>HLB!AY27</f>
        <v>1</v>
      </c>
      <c r="J688" s="368"/>
      <c r="K688" s="367">
        <f t="shared" si="12"/>
        <v>4759.654314833333</v>
      </c>
      <c r="L688" s="367">
        <f>$F688-HLB!AZ27</f>
        <v>4496.3209815</v>
      </c>
      <c r="M688" s="367">
        <f>IFERROR(HLB!AZ27*HLB!AY27,0)</f>
        <v>263.33333333333326</v>
      </c>
    </row>
    <row r="689" spans="2:13" ht="42.75" customHeight="1" x14ac:dyDescent="0.3">
      <c r="B689" s="4" t="s">
        <v>1786</v>
      </c>
      <c r="C689" s="4" t="s">
        <v>1813</v>
      </c>
      <c r="D689" s="4" t="s">
        <v>1814</v>
      </c>
      <c r="E689" s="5" t="s">
        <v>270</v>
      </c>
      <c r="F689" s="6">
        <f>HLB!BA28</f>
        <v>5094.2123903333322</v>
      </c>
      <c r="G689" s="7" t="s">
        <v>190</v>
      </c>
      <c r="H689" s="6">
        <f>HLB!BV28</f>
        <v>5174.2123903333322</v>
      </c>
      <c r="I689" s="369">
        <f>HLB!AY28</f>
        <v>1</v>
      </c>
      <c r="J689" s="368"/>
      <c r="K689" s="367">
        <f t="shared" si="12"/>
        <v>5094.2123903333322</v>
      </c>
      <c r="L689" s="367">
        <f>$F689-HLB!AZ28</f>
        <v>4830.8790569999992</v>
      </c>
      <c r="M689" s="367">
        <f>IFERROR(HLB!AZ28*HLB!AY28,0)</f>
        <v>263.33333333333326</v>
      </c>
    </row>
    <row r="690" spans="2:13" ht="42.75" customHeight="1" x14ac:dyDescent="0.3">
      <c r="B690" s="4" t="s">
        <v>1787</v>
      </c>
      <c r="C690" s="4" t="s">
        <v>1813</v>
      </c>
      <c r="D690" s="4" t="s">
        <v>1814</v>
      </c>
      <c r="E690" s="5" t="s">
        <v>274</v>
      </c>
      <c r="F690" s="6">
        <f>HLB!BA29</f>
        <v>5697.9068534333328</v>
      </c>
      <c r="G690" s="7" t="s">
        <v>190</v>
      </c>
      <c r="H690" s="6">
        <f>HLB!BV29</f>
        <v>5777.9068534333328</v>
      </c>
      <c r="I690" s="369">
        <f>HLB!AY29</f>
        <v>1</v>
      </c>
      <c r="J690" s="368"/>
      <c r="K690" s="367">
        <f t="shared" si="12"/>
        <v>5697.9068534333328</v>
      </c>
      <c r="L690" s="367">
        <f>$F690-HLB!AZ29</f>
        <v>5434.5735200999998</v>
      </c>
      <c r="M690" s="367">
        <f>IFERROR(HLB!AZ29*HLB!AY29,0)</f>
        <v>263.33333333333326</v>
      </c>
    </row>
    <row r="691" spans="2:13" ht="42.75" customHeight="1" x14ac:dyDescent="0.3">
      <c r="B691" s="4" t="s">
        <v>1788</v>
      </c>
      <c r="C691" s="4" t="s">
        <v>1813</v>
      </c>
      <c r="D691" s="4" t="s">
        <v>1814</v>
      </c>
      <c r="E691" s="5" t="s">
        <v>278</v>
      </c>
      <c r="F691" s="6">
        <f>HLB!BA30</f>
        <v>6623.3318003333325</v>
      </c>
      <c r="G691" s="7" t="s">
        <v>190</v>
      </c>
      <c r="H691" s="6">
        <f>HLB!BV30</f>
        <v>6703.3318003333325</v>
      </c>
      <c r="I691" s="369">
        <f>HLB!AY30</f>
        <v>1</v>
      </c>
      <c r="J691" s="368"/>
      <c r="K691" s="367">
        <f t="shared" si="12"/>
        <v>6623.3318003333325</v>
      </c>
      <c r="L691" s="367">
        <f>$F691-HLB!AZ30</f>
        <v>6359.9984669999994</v>
      </c>
      <c r="M691" s="367">
        <f>IFERROR(HLB!AZ30*HLB!AY30,0)</f>
        <v>263.33333333333326</v>
      </c>
    </row>
    <row r="692" spans="2:13" ht="42.75" customHeight="1" x14ac:dyDescent="0.3">
      <c r="B692" s="4" t="s">
        <v>1789</v>
      </c>
      <c r="C692" s="4" t="s">
        <v>1813</v>
      </c>
      <c r="D692" s="4" t="s">
        <v>1815</v>
      </c>
      <c r="E692" s="5" t="s">
        <v>196</v>
      </c>
      <c r="F692" s="6">
        <f>HLB!BA31</f>
        <v>43.76796603333333</v>
      </c>
      <c r="G692" s="7" t="s">
        <v>190</v>
      </c>
      <c r="H692" s="6">
        <f>HLB!BV31</f>
        <v>123.76796603333332</v>
      </c>
      <c r="I692" s="369">
        <f>HLB!AY31</f>
        <v>4</v>
      </c>
      <c r="J692" s="368"/>
      <c r="K692" s="367">
        <f t="shared" si="12"/>
        <v>43.76796603333333</v>
      </c>
      <c r="L692" s="367">
        <f>$F692-HLB!AZ31</f>
        <v>7.9346327000000016</v>
      </c>
      <c r="M692" s="367">
        <f>IFERROR(HLB!AZ31*HLB!AY31,0)</f>
        <v>143.33333333333331</v>
      </c>
    </row>
    <row r="693" spans="2:13" ht="42.75" customHeight="1" x14ac:dyDescent="0.3">
      <c r="B693" s="4" t="s">
        <v>1790</v>
      </c>
      <c r="C693" s="4" t="s">
        <v>1813</v>
      </c>
      <c r="D693" s="4" t="s">
        <v>1815</v>
      </c>
      <c r="E693" s="5" t="s">
        <v>200</v>
      </c>
      <c r="F693" s="6">
        <f>HLB!BA32</f>
        <v>48.021937333333327</v>
      </c>
      <c r="G693" s="7" t="s">
        <v>190</v>
      </c>
      <c r="H693" s="6">
        <f>HLB!BV32</f>
        <v>128.02193733333331</v>
      </c>
      <c r="I693" s="369">
        <f>HLB!AY32</f>
        <v>4</v>
      </c>
      <c r="J693" s="368"/>
      <c r="K693" s="367">
        <f t="shared" si="12"/>
        <v>48.021937333333327</v>
      </c>
      <c r="L693" s="367">
        <f>$F693-HLB!AZ32</f>
        <v>12.188603999999998</v>
      </c>
      <c r="M693" s="367">
        <f>IFERROR(HLB!AZ32*HLB!AY32,0)</f>
        <v>143.33333333333331</v>
      </c>
    </row>
    <row r="694" spans="2:13" ht="42.75" customHeight="1" x14ac:dyDescent="0.3">
      <c r="B694" s="4" t="s">
        <v>1791</v>
      </c>
      <c r="C694" s="4" t="s">
        <v>1813</v>
      </c>
      <c r="D694" s="4" t="s">
        <v>1815</v>
      </c>
      <c r="E694" s="5" t="s">
        <v>185</v>
      </c>
      <c r="F694" s="6">
        <f>HLB!BA33</f>
        <v>69.464034077777768</v>
      </c>
      <c r="G694" s="7" t="s">
        <v>190</v>
      </c>
      <c r="H694" s="6">
        <f>HLB!BV33</f>
        <v>149.46403407777777</v>
      </c>
      <c r="I694" s="369">
        <f>HLB!AY33</f>
        <v>3</v>
      </c>
      <c r="J694" s="368"/>
      <c r="K694" s="367">
        <f t="shared" si="12"/>
        <v>69.464034077777768</v>
      </c>
      <c r="L694" s="367">
        <f>$F694-HLB!AZ33</f>
        <v>21.686256299999997</v>
      </c>
      <c r="M694" s="367">
        <f>IFERROR(HLB!AZ33*HLB!AY33,0)</f>
        <v>143.33333333333331</v>
      </c>
    </row>
    <row r="695" spans="2:13" ht="42.75" customHeight="1" x14ac:dyDescent="0.3">
      <c r="B695" s="4" t="s">
        <v>1792</v>
      </c>
      <c r="C695" s="4" t="s">
        <v>1813</v>
      </c>
      <c r="D695" s="4" t="s">
        <v>1815</v>
      </c>
      <c r="E695" s="5" t="s">
        <v>39</v>
      </c>
      <c r="F695" s="6">
        <f>HLB!BA34</f>
        <v>99.632850277777777</v>
      </c>
      <c r="G695" s="7" t="s">
        <v>190</v>
      </c>
      <c r="H695" s="6">
        <f>HLB!BV34</f>
        <v>179.63285027777778</v>
      </c>
      <c r="I695" s="369">
        <f>HLB!AY34</f>
        <v>3</v>
      </c>
      <c r="J695" s="368"/>
      <c r="K695" s="367">
        <f t="shared" si="12"/>
        <v>99.632850277777777</v>
      </c>
      <c r="L695" s="367">
        <f>$F695-HLB!AZ34</f>
        <v>51.855072500000006</v>
      </c>
      <c r="M695" s="367">
        <f>IFERROR(HLB!AZ34*HLB!AY34,0)</f>
        <v>143.33333333333331</v>
      </c>
    </row>
    <row r="696" spans="2:13" ht="42.75" customHeight="1" x14ac:dyDescent="0.3">
      <c r="B696" s="4" t="s">
        <v>1793</v>
      </c>
      <c r="C696" s="4" t="s">
        <v>1813</v>
      </c>
      <c r="D696" s="4" t="s">
        <v>1815</v>
      </c>
      <c r="E696" s="5" t="s">
        <v>300</v>
      </c>
      <c r="F696" s="6">
        <f>HLB!BA35</f>
        <v>118.9200346333333</v>
      </c>
      <c r="G696" s="7" t="s">
        <v>190</v>
      </c>
      <c r="H696" s="6">
        <f>HLB!BV35</f>
        <v>198.9200346333333</v>
      </c>
      <c r="I696" s="369">
        <f>HLB!AY35</f>
        <v>3</v>
      </c>
      <c r="J696" s="368"/>
      <c r="K696" s="367">
        <f t="shared" si="12"/>
        <v>118.9200346333333</v>
      </c>
      <c r="L696" s="367">
        <f>$F696-HLB!AZ35</f>
        <v>75.586701299999987</v>
      </c>
      <c r="M696" s="367">
        <f>IFERROR(HLB!AZ35*HLB!AY35,0)</f>
        <v>129.99999999999997</v>
      </c>
    </row>
    <row r="697" spans="2:13" ht="42.75" customHeight="1" x14ac:dyDescent="0.3">
      <c r="B697" s="4" t="s">
        <v>1794</v>
      </c>
      <c r="C697" s="4" t="s">
        <v>1813</v>
      </c>
      <c r="D697" s="4" t="s">
        <v>1815</v>
      </c>
      <c r="E697" s="5" t="s">
        <v>41</v>
      </c>
      <c r="F697" s="6">
        <f>HLB!BA36</f>
        <v>161.6802338</v>
      </c>
      <c r="G697" s="7" t="s">
        <v>190</v>
      </c>
      <c r="H697" s="6">
        <f>HLB!BV36</f>
        <v>241.6802338</v>
      </c>
      <c r="I697" s="369">
        <f>HLB!AY36</f>
        <v>2</v>
      </c>
      <c r="J697" s="368"/>
      <c r="K697" s="367">
        <f t="shared" si="12"/>
        <v>161.6802338</v>
      </c>
      <c r="L697" s="367">
        <f>$F697-HLB!AZ36</f>
        <v>96.680233800000011</v>
      </c>
      <c r="M697" s="367">
        <f>IFERROR(HLB!AZ36*HLB!AY36,0)</f>
        <v>129.99999999999997</v>
      </c>
    </row>
    <row r="698" spans="2:13" ht="42.75" customHeight="1" x14ac:dyDescent="0.3">
      <c r="B698" s="4" t="s">
        <v>1795</v>
      </c>
      <c r="C698" s="4" t="s">
        <v>1813</v>
      </c>
      <c r="D698" s="4" t="s">
        <v>1815</v>
      </c>
      <c r="E698" s="5" t="s">
        <v>43</v>
      </c>
      <c r="F698" s="6">
        <f>HLB!BA37</f>
        <v>227.36916683333337</v>
      </c>
      <c r="G698" s="7" t="s">
        <v>190</v>
      </c>
      <c r="H698" s="6">
        <f>HLB!BV37</f>
        <v>307.36916683333334</v>
      </c>
      <c r="I698" s="369">
        <f>HLB!AY37</f>
        <v>2</v>
      </c>
      <c r="J698" s="368"/>
      <c r="K698" s="367">
        <f t="shared" si="12"/>
        <v>227.36916683333337</v>
      </c>
      <c r="L698" s="367">
        <f>$F698-HLB!AZ37</f>
        <v>159.03583350000002</v>
      </c>
      <c r="M698" s="367">
        <f>IFERROR(HLB!AZ37*HLB!AY37,0)</f>
        <v>136.66666666666669</v>
      </c>
    </row>
    <row r="699" spans="2:13" ht="42.75" customHeight="1" x14ac:dyDescent="0.3">
      <c r="B699" s="4" t="s">
        <v>1796</v>
      </c>
      <c r="C699" s="4" t="s">
        <v>1813</v>
      </c>
      <c r="D699" s="4" t="s">
        <v>1815</v>
      </c>
      <c r="E699" s="5" t="s">
        <v>45</v>
      </c>
      <c r="F699" s="6">
        <f>HLB!BA38</f>
        <v>312.96656613333334</v>
      </c>
      <c r="G699" s="7" t="s">
        <v>190</v>
      </c>
      <c r="H699" s="6">
        <f>HLB!BV38</f>
        <v>392.96656613333334</v>
      </c>
      <c r="I699" s="369">
        <f>HLB!AY38</f>
        <v>2</v>
      </c>
      <c r="J699" s="368"/>
      <c r="K699" s="367">
        <f t="shared" si="12"/>
        <v>312.96656613333334</v>
      </c>
      <c r="L699" s="367">
        <f>$F699-HLB!AZ38</f>
        <v>244.6332328</v>
      </c>
      <c r="M699" s="367">
        <f>IFERROR(HLB!AZ38*HLB!AY38,0)</f>
        <v>136.66666666666669</v>
      </c>
    </row>
    <row r="700" spans="2:13" ht="42.75" customHeight="1" x14ac:dyDescent="0.3">
      <c r="B700" s="4" t="s">
        <v>1797</v>
      </c>
      <c r="C700" s="4" t="s">
        <v>1813</v>
      </c>
      <c r="D700" s="4" t="s">
        <v>1815</v>
      </c>
      <c r="E700" s="5" t="s">
        <v>47</v>
      </c>
      <c r="F700" s="6">
        <f>HLB!BA39</f>
        <v>452.9097415999999</v>
      </c>
      <c r="G700" s="7" t="s">
        <v>190</v>
      </c>
      <c r="H700" s="6">
        <f>HLB!BV39</f>
        <v>532.90974159999996</v>
      </c>
      <c r="I700" s="369">
        <f>HLB!AY39</f>
        <v>1</v>
      </c>
      <c r="J700" s="368"/>
      <c r="K700" s="367">
        <f t="shared" si="12"/>
        <v>452.9097415999999</v>
      </c>
      <c r="L700" s="367">
        <f>$F700-HLB!AZ39</f>
        <v>342.90974159999996</v>
      </c>
      <c r="M700" s="367">
        <f>IFERROR(HLB!AZ39*HLB!AY39,0)</f>
        <v>109.99999999999994</v>
      </c>
    </row>
    <row r="701" spans="2:13" ht="42.75" customHeight="1" x14ac:dyDescent="0.3">
      <c r="B701" s="4" t="s">
        <v>1798</v>
      </c>
      <c r="C701" s="4" t="s">
        <v>1813</v>
      </c>
      <c r="D701" s="4" t="s">
        <v>1815</v>
      </c>
      <c r="E701" s="5" t="s">
        <v>222</v>
      </c>
      <c r="F701" s="6">
        <f>HLB!BA40</f>
        <v>579.65050356666666</v>
      </c>
      <c r="G701" s="7" t="s">
        <v>190</v>
      </c>
      <c r="H701" s="6">
        <f>HLB!BV40</f>
        <v>659.65050356666666</v>
      </c>
      <c r="I701" s="369">
        <f>HLB!AY40</f>
        <v>1</v>
      </c>
      <c r="J701" s="368"/>
      <c r="K701" s="367">
        <f t="shared" si="12"/>
        <v>579.65050356666666</v>
      </c>
      <c r="L701" s="367">
        <f>$F701-HLB!AZ40</f>
        <v>452.98383690000003</v>
      </c>
      <c r="M701" s="367">
        <f>IFERROR(HLB!AZ40*HLB!AY40,0)</f>
        <v>126.66666666666663</v>
      </c>
    </row>
    <row r="702" spans="2:13" ht="42.75" customHeight="1" x14ac:dyDescent="0.3">
      <c r="B702" s="4" t="s">
        <v>1799</v>
      </c>
      <c r="C702" s="4" t="s">
        <v>1813</v>
      </c>
      <c r="D702" s="4" t="s">
        <v>1815</v>
      </c>
      <c r="E702" s="5" t="s">
        <v>226</v>
      </c>
      <c r="F702" s="6">
        <f>HLB!BA41</f>
        <v>835.97883926666668</v>
      </c>
      <c r="G702" s="7" t="s">
        <v>190</v>
      </c>
      <c r="H702" s="6">
        <f>HLB!BV41</f>
        <v>915.97883926666668</v>
      </c>
      <c r="I702" s="369">
        <f>HLB!AY41</f>
        <v>1</v>
      </c>
      <c r="J702" s="368"/>
      <c r="K702" s="367">
        <f t="shared" si="12"/>
        <v>835.97883926666668</v>
      </c>
      <c r="L702" s="367">
        <f>$F702-HLB!AZ41</f>
        <v>709.31217260000005</v>
      </c>
      <c r="M702" s="367">
        <f>IFERROR(HLB!AZ41*HLB!AY41,0)</f>
        <v>126.66666666666663</v>
      </c>
    </row>
    <row r="703" spans="2:13" ht="42.75" customHeight="1" x14ac:dyDescent="0.3">
      <c r="B703" s="4" t="s">
        <v>1800</v>
      </c>
      <c r="C703" s="4" t="s">
        <v>1813</v>
      </c>
      <c r="D703" s="4" t="s">
        <v>1815</v>
      </c>
      <c r="E703" s="5" t="s">
        <v>230</v>
      </c>
      <c r="F703" s="6">
        <f>HLB!BA42</f>
        <v>1049.5082343333333</v>
      </c>
      <c r="G703" s="7" t="s">
        <v>190</v>
      </c>
      <c r="H703" s="6">
        <f>HLB!BV42</f>
        <v>1129.5082343333333</v>
      </c>
      <c r="I703" s="369">
        <f>HLB!AY42</f>
        <v>1</v>
      </c>
      <c r="J703" s="368"/>
      <c r="K703" s="367">
        <f t="shared" si="12"/>
        <v>1049.5082343333333</v>
      </c>
      <c r="L703" s="367">
        <f>$F703-HLB!AZ42</f>
        <v>916.17490100000009</v>
      </c>
      <c r="M703" s="367">
        <f>IFERROR(HLB!AZ42*HLB!AY42,0)</f>
        <v>133.33333333333331</v>
      </c>
    </row>
    <row r="704" spans="2:13" ht="42.75" customHeight="1" x14ac:dyDescent="0.3">
      <c r="B704" s="4" t="s">
        <v>1801</v>
      </c>
      <c r="C704" s="4" t="s">
        <v>1813</v>
      </c>
      <c r="D704" s="4" t="s">
        <v>1815</v>
      </c>
      <c r="E704" s="5" t="s">
        <v>234</v>
      </c>
      <c r="F704" s="6">
        <f>HLB!BA43</f>
        <v>1356.1481422333331</v>
      </c>
      <c r="G704" s="7" t="s">
        <v>190</v>
      </c>
      <c r="H704" s="6">
        <f>HLB!BV43</f>
        <v>1436.1481422333331</v>
      </c>
      <c r="I704" s="369">
        <f>HLB!AY43</f>
        <v>1</v>
      </c>
      <c r="J704" s="368"/>
      <c r="K704" s="367">
        <f t="shared" si="12"/>
        <v>1356.1481422333331</v>
      </c>
      <c r="L704" s="367">
        <f>$F704-HLB!AZ43</f>
        <v>1222.8148088999999</v>
      </c>
      <c r="M704" s="367">
        <f>IFERROR(HLB!AZ43*HLB!AY43,0)</f>
        <v>133.33333333333331</v>
      </c>
    </row>
    <row r="705" spans="2:13" ht="42.75" customHeight="1" x14ac:dyDescent="0.3">
      <c r="B705" s="4" t="s">
        <v>1802</v>
      </c>
      <c r="C705" s="4" t="s">
        <v>1813</v>
      </c>
      <c r="D705" s="4" t="s">
        <v>1815</v>
      </c>
      <c r="E705" s="5" t="s">
        <v>238</v>
      </c>
      <c r="F705" s="6">
        <f>HLB!BA44</f>
        <v>1584.5491586333335</v>
      </c>
      <c r="G705" s="7" t="s">
        <v>190</v>
      </c>
      <c r="H705" s="6">
        <f>HLB!BV44</f>
        <v>1664.5491586333335</v>
      </c>
      <c r="I705" s="369">
        <f>HLB!AY44</f>
        <v>1</v>
      </c>
      <c r="J705" s="368"/>
      <c r="K705" s="367">
        <f t="shared" si="12"/>
        <v>1584.5491586333335</v>
      </c>
      <c r="L705" s="367">
        <f>$F705-HLB!AZ44</f>
        <v>1451.2158253000002</v>
      </c>
      <c r="M705" s="367">
        <f>IFERROR(HLB!AZ44*HLB!AY44,0)</f>
        <v>133.33333333333331</v>
      </c>
    </row>
    <row r="706" spans="2:13" ht="42.75" customHeight="1" x14ac:dyDescent="0.3">
      <c r="B706" s="4" t="s">
        <v>1803</v>
      </c>
      <c r="C706" s="4" t="s">
        <v>1813</v>
      </c>
      <c r="D706" s="4" t="s">
        <v>1815</v>
      </c>
      <c r="E706" s="5" t="s">
        <v>242</v>
      </c>
      <c r="F706" s="6">
        <f>HLB!BA45</f>
        <v>1981.3669788666666</v>
      </c>
      <c r="G706" s="7" t="s">
        <v>190</v>
      </c>
      <c r="H706" s="6">
        <f>HLB!BV45</f>
        <v>2061.3669788666666</v>
      </c>
      <c r="I706" s="369">
        <f>HLB!AY45</f>
        <v>1</v>
      </c>
      <c r="J706" s="368"/>
      <c r="K706" s="367">
        <f t="shared" si="12"/>
        <v>1981.3669788666666</v>
      </c>
      <c r="L706" s="367">
        <f>$F706-HLB!AZ45</f>
        <v>1834.7003121999999</v>
      </c>
      <c r="M706" s="367">
        <f>IFERROR(HLB!AZ45*HLB!AY45,0)</f>
        <v>146.66666666666669</v>
      </c>
    </row>
    <row r="707" spans="2:13" ht="42.75" customHeight="1" x14ac:dyDescent="0.3">
      <c r="B707" s="4" t="s">
        <v>1804</v>
      </c>
      <c r="C707" s="4" t="s">
        <v>1813</v>
      </c>
      <c r="D707" s="4" t="s">
        <v>1815</v>
      </c>
      <c r="E707" s="5" t="s">
        <v>246</v>
      </c>
      <c r="F707" s="6">
        <f>HLB!BA46</f>
        <v>2447.0135868666666</v>
      </c>
      <c r="G707" s="7" t="s">
        <v>190</v>
      </c>
      <c r="H707" s="6">
        <f>HLB!BV46</f>
        <v>2527.0135868666666</v>
      </c>
      <c r="I707" s="369">
        <f>HLB!AY46</f>
        <v>1</v>
      </c>
      <c r="J707" s="368"/>
      <c r="K707" s="367">
        <f t="shared" si="12"/>
        <v>2447.0135868666666</v>
      </c>
      <c r="L707" s="367">
        <f>$F707-HLB!AZ46</f>
        <v>2260.3469202000001</v>
      </c>
      <c r="M707" s="367">
        <f>IFERROR(HLB!AZ46*HLB!AY46,0)</f>
        <v>186.66666666666669</v>
      </c>
    </row>
    <row r="708" spans="2:13" ht="42.75" customHeight="1" x14ac:dyDescent="0.3">
      <c r="B708" s="4" t="s">
        <v>1805</v>
      </c>
      <c r="C708" s="4" t="s">
        <v>1813</v>
      </c>
      <c r="D708" s="4" t="s">
        <v>1815</v>
      </c>
      <c r="E708" s="5" t="s">
        <v>250</v>
      </c>
      <c r="F708" s="6">
        <f>HLB!BA47</f>
        <v>3118.8727193333339</v>
      </c>
      <c r="G708" s="7" t="s">
        <v>190</v>
      </c>
      <c r="H708" s="6">
        <f>HLB!BV47</f>
        <v>3198.8727193333339</v>
      </c>
      <c r="I708" s="369">
        <f>HLB!AY47</f>
        <v>1</v>
      </c>
      <c r="J708" s="368"/>
      <c r="K708" s="367">
        <f t="shared" si="12"/>
        <v>3118.8727193333339</v>
      </c>
      <c r="L708" s="367">
        <f>$F708-HLB!AZ47</f>
        <v>2885.5393860000004</v>
      </c>
      <c r="M708" s="367">
        <f>IFERROR(HLB!AZ47*HLB!AY47,0)</f>
        <v>233.3333333333334</v>
      </c>
    </row>
    <row r="709" spans="2:13" ht="42.75" customHeight="1" x14ac:dyDescent="0.3">
      <c r="B709" s="4" t="s">
        <v>1806</v>
      </c>
      <c r="C709" s="4" t="s">
        <v>1813</v>
      </c>
      <c r="D709" s="4" t="s">
        <v>1815</v>
      </c>
      <c r="E709" s="5" t="s">
        <v>254</v>
      </c>
      <c r="F709" s="6">
        <f>HLB!BA48</f>
        <v>3272.3843878333328</v>
      </c>
      <c r="G709" s="7" t="s">
        <v>190</v>
      </c>
      <c r="H709" s="6">
        <f>HLB!BV48</f>
        <v>3352.3843878333328</v>
      </c>
      <c r="I709" s="369">
        <f>HLB!AY48</f>
        <v>1</v>
      </c>
      <c r="J709" s="368"/>
      <c r="K709" s="367">
        <f t="shared" si="12"/>
        <v>3272.3843878333328</v>
      </c>
      <c r="L709" s="367">
        <f>$F709-HLB!AZ48</f>
        <v>3039.0510544999993</v>
      </c>
      <c r="M709" s="367">
        <f>IFERROR(HLB!AZ48*HLB!AY48,0)</f>
        <v>233.3333333333334</v>
      </c>
    </row>
    <row r="710" spans="2:13" ht="42.75" customHeight="1" x14ac:dyDescent="0.3">
      <c r="B710" s="4" t="s">
        <v>1807</v>
      </c>
      <c r="C710" s="4" t="s">
        <v>1813</v>
      </c>
      <c r="D710" s="4" t="s">
        <v>1815</v>
      </c>
      <c r="E710" s="5" t="s">
        <v>258</v>
      </c>
      <c r="F710" s="6">
        <f>HLB!BA49</f>
        <v>4057.9938353333328</v>
      </c>
      <c r="G710" s="7" t="s">
        <v>190</v>
      </c>
      <c r="H710" s="6">
        <f>HLB!BV49</f>
        <v>4137.9938353333328</v>
      </c>
      <c r="I710" s="369">
        <f>HLB!AY49</f>
        <v>1</v>
      </c>
      <c r="J710" s="368"/>
      <c r="K710" s="367">
        <f t="shared" si="12"/>
        <v>4057.9938353333328</v>
      </c>
      <c r="L710" s="367">
        <f>$F710-HLB!AZ49</f>
        <v>3824.6605019999993</v>
      </c>
      <c r="M710" s="367">
        <f>IFERROR(HLB!AZ49*HLB!AY49,0)</f>
        <v>233.3333333333334</v>
      </c>
    </row>
    <row r="711" spans="2:13" ht="42.75" customHeight="1" x14ac:dyDescent="0.3">
      <c r="B711" s="4" t="s">
        <v>1808</v>
      </c>
      <c r="C711" s="4" t="s">
        <v>1813</v>
      </c>
      <c r="D711" s="4" t="s">
        <v>1815</v>
      </c>
      <c r="E711" s="5" t="s">
        <v>262</v>
      </c>
      <c r="F711" s="6">
        <f>HLB!BA50</f>
        <v>4834.9519898333328</v>
      </c>
      <c r="G711" s="7" t="s">
        <v>190</v>
      </c>
      <c r="H711" s="6">
        <f>HLB!BV50</f>
        <v>4914.9519898333328</v>
      </c>
      <c r="I711" s="369">
        <f>HLB!AY50</f>
        <v>1</v>
      </c>
      <c r="J711" s="368"/>
      <c r="K711" s="367">
        <f t="shared" si="12"/>
        <v>4834.9519898333328</v>
      </c>
      <c r="L711" s="367">
        <f>$F711-HLB!AZ50</f>
        <v>4601.6186564999998</v>
      </c>
      <c r="M711" s="367">
        <f>IFERROR(HLB!AZ50*HLB!AY50,0)</f>
        <v>233.3333333333334</v>
      </c>
    </row>
    <row r="712" spans="2:13" ht="42.75" customHeight="1" x14ac:dyDescent="0.3">
      <c r="B712" s="4" t="s">
        <v>1809</v>
      </c>
      <c r="C712" s="4" t="s">
        <v>1813</v>
      </c>
      <c r="D712" s="4" t="s">
        <v>1815</v>
      </c>
      <c r="E712" s="5" t="s">
        <v>266</v>
      </c>
      <c r="F712" s="6">
        <f>HLB!BA51</f>
        <v>5778.3343148333342</v>
      </c>
      <c r="G712" s="7" t="s">
        <v>190</v>
      </c>
      <c r="H712" s="6">
        <f>HLB!BV51</f>
        <v>5858.3343148333342</v>
      </c>
      <c r="I712" s="369">
        <f>HLB!AY51</f>
        <v>1</v>
      </c>
      <c r="J712" s="368"/>
      <c r="K712" s="367">
        <f t="shared" si="12"/>
        <v>5778.3343148333342</v>
      </c>
      <c r="L712" s="367">
        <f>$F712-HLB!AZ51</f>
        <v>5515.0009815000012</v>
      </c>
      <c r="M712" s="367">
        <f>IFERROR(HLB!AZ51*HLB!AY51,0)</f>
        <v>263.33333333333326</v>
      </c>
    </row>
    <row r="713" spans="2:13" ht="42.75" customHeight="1" x14ac:dyDescent="0.3">
      <c r="B713" s="4" t="s">
        <v>1810</v>
      </c>
      <c r="C713" s="4" t="s">
        <v>1813</v>
      </c>
      <c r="D713" s="4" t="s">
        <v>1815</v>
      </c>
      <c r="E713" s="5" t="s">
        <v>270</v>
      </c>
      <c r="F713" s="6">
        <f>HLB!BA52</f>
        <v>6112.8923903333316</v>
      </c>
      <c r="G713" s="7" t="s">
        <v>190</v>
      </c>
      <c r="H713" s="6">
        <f>HLB!BV52</f>
        <v>6192.8923903333316</v>
      </c>
      <c r="I713" s="369">
        <f>HLB!AY52</f>
        <v>1</v>
      </c>
      <c r="J713" s="368"/>
      <c r="K713" s="367">
        <f t="shared" si="12"/>
        <v>6112.8923903333316</v>
      </c>
      <c r="L713" s="367">
        <f>$F713-HLB!AZ52</f>
        <v>5849.5590569999986</v>
      </c>
      <c r="M713" s="367">
        <f>IFERROR(HLB!AZ52*HLB!AY52,0)</f>
        <v>263.33333333333326</v>
      </c>
    </row>
    <row r="714" spans="2:13" ht="42.75" customHeight="1" x14ac:dyDescent="0.3">
      <c r="B714" s="4" t="s">
        <v>1811</v>
      </c>
      <c r="C714" s="4" t="s">
        <v>1813</v>
      </c>
      <c r="D714" s="4" t="s">
        <v>1815</v>
      </c>
      <c r="E714" s="5" t="s">
        <v>274</v>
      </c>
      <c r="F714" s="6">
        <f>HLB!BA53</f>
        <v>6745.9718534333324</v>
      </c>
      <c r="G714" s="7" t="s">
        <v>190</v>
      </c>
      <c r="H714" s="6">
        <f>HLB!BV53</f>
        <v>6825.9718534333324</v>
      </c>
      <c r="I714" s="369">
        <f>HLB!AY53</f>
        <v>1</v>
      </c>
      <c r="J714" s="368"/>
      <c r="K714" s="367">
        <f t="shared" si="12"/>
        <v>6745.9718534333324</v>
      </c>
      <c r="L714" s="367">
        <f>$F714-HLB!AZ53</f>
        <v>6482.6385200999994</v>
      </c>
      <c r="M714" s="367">
        <f>IFERROR(HLB!AZ53*HLB!AY53,0)</f>
        <v>263.33333333333326</v>
      </c>
    </row>
    <row r="715" spans="2:13" ht="42.75" customHeight="1" x14ac:dyDescent="0.3">
      <c r="B715" s="4" t="s">
        <v>1812</v>
      </c>
      <c r="C715" s="4" t="s">
        <v>1813</v>
      </c>
      <c r="D715" s="4" t="s">
        <v>1815</v>
      </c>
      <c r="E715" s="5" t="s">
        <v>278</v>
      </c>
      <c r="F715" s="6">
        <f>HLB!BA54</f>
        <v>7847.7068003333316</v>
      </c>
      <c r="G715" s="7" t="s">
        <v>190</v>
      </c>
      <c r="H715" s="6">
        <f>HLB!BV54</f>
        <v>7927.7068003333316</v>
      </c>
      <c r="I715" s="369">
        <f>HLB!AY54</f>
        <v>1</v>
      </c>
      <c r="J715" s="368"/>
      <c r="K715" s="367">
        <f t="shared" si="12"/>
        <v>7847.7068003333316</v>
      </c>
      <c r="L715" s="367">
        <f>$F715-HLB!AZ54</f>
        <v>7584.3734669999985</v>
      </c>
      <c r="M715" s="367">
        <f>IFERROR(HLB!AZ54*HLB!AY54,0)</f>
        <v>263.33333333333326</v>
      </c>
    </row>
    <row r="716" spans="2:13" ht="42.75" customHeight="1" x14ac:dyDescent="0.3">
      <c r="B716" s="4" t="s">
        <v>683</v>
      </c>
      <c r="C716" s="4" t="s">
        <v>684</v>
      </c>
      <c r="D716" s="4" t="s">
        <v>685</v>
      </c>
      <c r="E716" s="5" t="s">
        <v>196</v>
      </c>
      <c r="F716" s="6">
        <f>HDISC!AW7</f>
        <v>39.176853360333325</v>
      </c>
      <c r="G716" s="7" t="s">
        <v>190</v>
      </c>
      <c r="H716" s="6">
        <f>HDISC!BT7</f>
        <v>119.17685336033333</v>
      </c>
      <c r="I716" s="369">
        <f>HDISC!AU7</f>
        <v>4</v>
      </c>
      <c r="J716" s="368"/>
      <c r="K716" s="367">
        <f t="shared" si="12"/>
        <v>39.176853360333325</v>
      </c>
      <c r="L716" s="367">
        <f>$F716-HDISC!AV7</f>
        <v>7.3435200269999967</v>
      </c>
      <c r="M716" s="367">
        <f>IFERROR(HDISC!AV7*HDISC!AU7,0)</f>
        <v>127.33333333333331</v>
      </c>
    </row>
    <row r="717" spans="2:13" ht="42.75" customHeight="1" x14ac:dyDescent="0.3">
      <c r="B717" s="4" t="s">
        <v>686</v>
      </c>
      <c r="C717" s="4" t="s">
        <v>684</v>
      </c>
      <c r="D717" s="4" t="s">
        <v>685</v>
      </c>
      <c r="E717" s="5" t="s">
        <v>200</v>
      </c>
      <c r="F717" s="6">
        <f>HDISC!AW8</f>
        <v>42.945233828333329</v>
      </c>
      <c r="G717" s="7" t="s">
        <v>190</v>
      </c>
      <c r="H717" s="6">
        <f>HDISC!BT8</f>
        <v>122.94523382833333</v>
      </c>
      <c r="I717" s="369">
        <f>HDISC!AU8</f>
        <v>4</v>
      </c>
      <c r="J717" s="368"/>
      <c r="K717" s="367">
        <f t="shared" si="12"/>
        <v>42.945233828333329</v>
      </c>
      <c r="L717" s="367">
        <f>$F717-HDISC!AV8</f>
        <v>11.111900495</v>
      </c>
      <c r="M717" s="367">
        <f>IFERROR(HDISC!AV8*HDISC!AU8,0)</f>
        <v>127.33333333333331</v>
      </c>
    </row>
    <row r="718" spans="2:13" ht="42.75" customHeight="1" x14ac:dyDescent="0.3">
      <c r="B718" s="4" t="s">
        <v>687</v>
      </c>
      <c r="C718" s="4" t="s">
        <v>684</v>
      </c>
      <c r="D718" s="4" t="s">
        <v>685</v>
      </c>
      <c r="E718" s="5" t="s">
        <v>185</v>
      </c>
      <c r="F718" s="6">
        <f>HDISC!AW9</f>
        <v>61.597308488444433</v>
      </c>
      <c r="G718" s="7" t="s">
        <v>190</v>
      </c>
      <c r="H718" s="6">
        <f>HDISC!BT9</f>
        <v>141.59730848844444</v>
      </c>
      <c r="I718" s="369">
        <f>HDISC!AU9</f>
        <v>3</v>
      </c>
      <c r="J718" s="368"/>
      <c r="K718" s="367">
        <f t="shared" si="12"/>
        <v>61.597308488444433</v>
      </c>
      <c r="L718" s="367">
        <f>$F718-HDISC!AV9</f>
        <v>19.152864043999998</v>
      </c>
      <c r="M718" s="367">
        <f>IFERROR(HDISC!AV9*HDISC!AU9,0)</f>
        <v>127.33333333333331</v>
      </c>
    </row>
    <row r="719" spans="2:13" ht="42.75" customHeight="1" x14ac:dyDescent="0.3">
      <c r="B719" s="4" t="s">
        <v>688</v>
      </c>
      <c r="C719" s="4" t="s">
        <v>684</v>
      </c>
      <c r="D719" s="4" t="s">
        <v>685</v>
      </c>
      <c r="E719" s="5" t="s">
        <v>39</v>
      </c>
      <c r="F719" s="6">
        <f>HDISC!AW10</f>
        <v>90.663017099444431</v>
      </c>
      <c r="G719" s="7" t="s">
        <v>190</v>
      </c>
      <c r="H719" s="6">
        <f>HDISC!BT10</f>
        <v>170.66301709944443</v>
      </c>
      <c r="I719" s="369">
        <f>HDISC!AU10</f>
        <v>3</v>
      </c>
      <c r="J719" s="368"/>
      <c r="K719" s="367">
        <f t="shared" si="12"/>
        <v>90.663017099444431</v>
      </c>
      <c r="L719" s="367">
        <f>$F719-HDISC!AV10</f>
        <v>48.218572654999996</v>
      </c>
      <c r="M719" s="367">
        <f>IFERROR(HDISC!AV10*HDISC!AU10,0)</f>
        <v>127.33333333333331</v>
      </c>
    </row>
    <row r="720" spans="2:13" ht="42.75" customHeight="1" x14ac:dyDescent="0.3">
      <c r="B720" s="4" t="s">
        <v>689</v>
      </c>
      <c r="C720" s="4" t="s">
        <v>684</v>
      </c>
      <c r="D720" s="4" t="s">
        <v>685</v>
      </c>
      <c r="E720" s="5" t="s">
        <v>300</v>
      </c>
      <c r="F720" s="6">
        <f>HDISC!AW11</f>
        <v>104.00357801388887</v>
      </c>
      <c r="G720" s="7" t="s">
        <v>190</v>
      </c>
      <c r="H720" s="6">
        <f>HDISC!BT11</f>
        <v>184.00357801388887</v>
      </c>
      <c r="I720" s="369">
        <f>HDISC!AU11</f>
        <v>3</v>
      </c>
      <c r="J720" s="368"/>
      <c r="K720" s="367">
        <f t="shared" si="12"/>
        <v>104.00357801388887</v>
      </c>
      <c r="L720" s="367">
        <f>$F720-HDISC!AV11</f>
        <v>67.114689124999984</v>
      </c>
      <c r="M720" s="367">
        <f>IFERROR(HDISC!AV11*HDISC!AU11,0)</f>
        <v>110.66666666666663</v>
      </c>
    </row>
    <row r="721" spans="2:13" ht="42.75" customHeight="1" x14ac:dyDescent="0.3">
      <c r="B721" s="4" t="s">
        <v>690</v>
      </c>
      <c r="C721" s="4" t="s">
        <v>684</v>
      </c>
      <c r="D721" s="4" t="s">
        <v>685</v>
      </c>
      <c r="E721" s="5" t="s">
        <v>41</v>
      </c>
      <c r="F721" s="6">
        <f>HDISC!AW12</f>
        <v>142.89950753133331</v>
      </c>
      <c r="G721" s="7" t="s">
        <v>190</v>
      </c>
      <c r="H721" s="6">
        <f>HDISC!BT12</f>
        <v>222.89950753133331</v>
      </c>
      <c r="I721" s="369">
        <f>HDISC!AU12</f>
        <v>2</v>
      </c>
      <c r="J721" s="368"/>
      <c r="K721" s="367">
        <f t="shared" si="12"/>
        <v>142.89950753133331</v>
      </c>
      <c r="L721" s="367">
        <f>$F721-HDISC!AV12</f>
        <v>87.566174197999999</v>
      </c>
      <c r="M721" s="367">
        <f>IFERROR(HDISC!AV12*HDISC!AU12,0)</f>
        <v>110.66666666666663</v>
      </c>
    </row>
    <row r="722" spans="2:13" ht="42.75" customHeight="1" x14ac:dyDescent="0.3">
      <c r="B722" s="4" t="s">
        <v>691</v>
      </c>
      <c r="C722" s="4" t="s">
        <v>684</v>
      </c>
      <c r="D722" s="4" t="s">
        <v>685</v>
      </c>
      <c r="E722" s="5" t="s">
        <v>43</v>
      </c>
      <c r="F722" s="6">
        <f>HDISC!AW13</f>
        <v>210.58258538866664</v>
      </c>
      <c r="G722" s="7" t="s">
        <v>190</v>
      </c>
      <c r="H722" s="6">
        <f>HDISC!BT13</f>
        <v>290.58258538866664</v>
      </c>
      <c r="I722" s="369">
        <f>HDISC!AU13</f>
        <v>2</v>
      </c>
      <c r="J722" s="368"/>
      <c r="K722" s="367">
        <f t="shared" si="12"/>
        <v>210.58258538866664</v>
      </c>
      <c r="L722" s="367">
        <f>$F722-HDISC!AV13</f>
        <v>151.91591872199999</v>
      </c>
      <c r="M722" s="367">
        <f>IFERROR(HDISC!AV13*HDISC!AU13,0)</f>
        <v>117.3333333333333</v>
      </c>
    </row>
    <row r="723" spans="2:13" ht="42.75" customHeight="1" x14ac:dyDescent="0.3">
      <c r="B723" s="4" t="s">
        <v>692</v>
      </c>
      <c r="C723" s="4" t="s">
        <v>684</v>
      </c>
      <c r="D723" s="4" t="s">
        <v>685</v>
      </c>
      <c r="E723" s="5" t="s">
        <v>45</v>
      </c>
      <c r="F723" s="6">
        <f>HDISC!AW14</f>
        <v>296.34859265766664</v>
      </c>
      <c r="G723" s="7" t="s">
        <v>190</v>
      </c>
      <c r="H723" s="6">
        <f>HDISC!BT14</f>
        <v>376.34859265766664</v>
      </c>
      <c r="I723" s="369">
        <f>HDISC!AU14</f>
        <v>2</v>
      </c>
      <c r="J723" s="368"/>
      <c r="K723" s="367">
        <f t="shared" si="12"/>
        <v>296.34859265766664</v>
      </c>
      <c r="L723" s="367">
        <f>$F723-HDISC!AV14</f>
        <v>237.68192599099999</v>
      </c>
      <c r="M723" s="367">
        <f>IFERROR(HDISC!AV14*HDISC!AU14,0)</f>
        <v>117.3333333333333</v>
      </c>
    </row>
    <row r="724" spans="2:13" ht="42.75" customHeight="1" x14ac:dyDescent="0.3">
      <c r="B724" s="4" t="s">
        <v>693</v>
      </c>
      <c r="C724" s="4" t="s">
        <v>684</v>
      </c>
      <c r="D724" s="4" t="s">
        <v>685</v>
      </c>
      <c r="E724" s="5" t="s">
        <v>47</v>
      </c>
      <c r="F724" s="6">
        <f>HDISC!AW15</f>
        <v>475.49592490833334</v>
      </c>
      <c r="G724" s="7" t="s">
        <v>190</v>
      </c>
      <c r="H724" s="6">
        <f>HDISC!BT15</f>
        <v>555.49592490833334</v>
      </c>
      <c r="I724" s="369">
        <f>HDISC!AU15</f>
        <v>1</v>
      </c>
      <c r="J724" s="368"/>
      <c r="K724" s="367">
        <f t="shared" si="12"/>
        <v>475.49592490833334</v>
      </c>
      <c r="L724" s="367">
        <f>$F724-HDISC!AV15</f>
        <v>338.16259157499996</v>
      </c>
      <c r="M724" s="367">
        <f>IFERROR(HDISC!AV15*HDISC!AU15,0)</f>
        <v>137.33333333333337</v>
      </c>
    </row>
    <row r="725" spans="2:13" ht="42.75" customHeight="1" x14ac:dyDescent="0.3">
      <c r="B725" s="4" t="s">
        <v>694</v>
      </c>
      <c r="C725" s="4" t="s">
        <v>684</v>
      </c>
      <c r="D725" s="4" t="s">
        <v>685</v>
      </c>
      <c r="E725" s="5" t="s">
        <v>222</v>
      </c>
      <c r="F725" s="6">
        <f>HDISC!AW16</f>
        <v>590.03811788333337</v>
      </c>
      <c r="G725" s="7" t="s">
        <v>190</v>
      </c>
      <c r="H725" s="6">
        <f>HDISC!BT16</f>
        <v>670.03811788333337</v>
      </c>
      <c r="I725" s="369">
        <f>HDISC!AU16</f>
        <v>1</v>
      </c>
      <c r="J725" s="368"/>
      <c r="K725" s="367">
        <f t="shared" si="12"/>
        <v>590.03811788333337</v>
      </c>
      <c r="L725" s="367">
        <f>$F725-HDISC!AV16</f>
        <v>452.70478455</v>
      </c>
      <c r="M725" s="367">
        <f>IFERROR(HDISC!AV16*HDISC!AU16,0)</f>
        <v>137.33333333333337</v>
      </c>
    </row>
    <row r="726" spans="2:13" ht="42.75" customHeight="1" x14ac:dyDescent="0.3">
      <c r="B726" s="4" t="s">
        <v>695</v>
      </c>
      <c r="C726" s="4" t="s">
        <v>684</v>
      </c>
      <c r="D726" s="4" t="s">
        <v>685</v>
      </c>
      <c r="E726" s="5" t="s">
        <v>226</v>
      </c>
      <c r="F726" s="6">
        <f>HDISC!AW17</f>
        <v>842.34555512133329</v>
      </c>
      <c r="G726" s="7" t="s">
        <v>190</v>
      </c>
      <c r="H726" s="6">
        <f>HDISC!BT17</f>
        <v>922.34555512133329</v>
      </c>
      <c r="I726" s="369">
        <f>HDISC!AU17</f>
        <v>1</v>
      </c>
      <c r="J726" s="368"/>
      <c r="K726" s="367">
        <f t="shared" si="12"/>
        <v>842.34555512133329</v>
      </c>
      <c r="L726" s="367">
        <f>$F726-HDISC!AV17</f>
        <v>705.01222178799992</v>
      </c>
      <c r="M726" s="367">
        <f>IFERROR(HDISC!AV17*HDISC!AU17,0)</f>
        <v>137.33333333333337</v>
      </c>
    </row>
    <row r="727" spans="2:13" ht="42.75" customHeight="1" x14ac:dyDescent="0.3">
      <c r="B727" s="4" t="s">
        <v>696</v>
      </c>
      <c r="C727" s="4" t="s">
        <v>684</v>
      </c>
      <c r="D727" s="4" t="s">
        <v>685</v>
      </c>
      <c r="E727" s="5" t="s">
        <v>230</v>
      </c>
      <c r="F727" s="6">
        <f>HDISC!AW18</f>
        <v>1098.0302197333335</v>
      </c>
      <c r="G727" s="7" t="s">
        <v>190</v>
      </c>
      <c r="H727" s="6">
        <f>HDISC!BT18</f>
        <v>1178.0302197333335</v>
      </c>
      <c r="I727" s="369">
        <f>HDISC!AU18</f>
        <v>1</v>
      </c>
      <c r="J727" s="368"/>
      <c r="K727" s="367">
        <f t="shared" si="12"/>
        <v>1098.0302197333335</v>
      </c>
      <c r="L727" s="367">
        <f>$F727-HDISC!AV18</f>
        <v>940.69688640000015</v>
      </c>
      <c r="M727" s="367">
        <f>IFERROR(HDISC!AV18*HDISC!AU18,0)</f>
        <v>157.33333333333337</v>
      </c>
    </row>
    <row r="728" spans="2:13" ht="42.75" customHeight="1" x14ac:dyDescent="0.3">
      <c r="B728" s="4" t="s">
        <v>697</v>
      </c>
      <c r="C728" s="4" t="s">
        <v>684</v>
      </c>
      <c r="D728" s="4" t="s">
        <v>685</v>
      </c>
      <c r="E728" s="5" t="s">
        <v>234</v>
      </c>
      <c r="F728" s="6">
        <f>HDISC!AW19</f>
        <v>1504.5718884999999</v>
      </c>
      <c r="G728" s="7" t="s">
        <v>190</v>
      </c>
      <c r="H728" s="6">
        <f>HDISC!BT19</f>
        <v>1584.5718884999999</v>
      </c>
      <c r="I728" s="369">
        <f>HDISC!AU19</f>
        <v>1</v>
      </c>
      <c r="J728" s="368"/>
      <c r="K728" s="367">
        <f t="shared" si="12"/>
        <v>1504.5718884999999</v>
      </c>
      <c r="L728" s="367">
        <f>$F728-HDISC!AV19</f>
        <v>1300.5718884999999</v>
      </c>
      <c r="M728" s="367">
        <f>IFERROR(HDISC!AV19*HDISC!AU19,0)</f>
        <v>203.99999999999994</v>
      </c>
    </row>
    <row r="729" spans="2:13" ht="42.75" customHeight="1" x14ac:dyDescent="0.3">
      <c r="B729" s="4" t="s">
        <v>698</v>
      </c>
      <c r="C729" s="4" t="s">
        <v>684</v>
      </c>
      <c r="D729" s="4" t="s">
        <v>685</v>
      </c>
      <c r="E729" s="5" t="s">
        <v>238</v>
      </c>
      <c r="F729" s="6">
        <f>HDISC!AW20</f>
        <v>1781.0966356333333</v>
      </c>
      <c r="G729" s="7" t="s">
        <v>190</v>
      </c>
      <c r="H729" s="6">
        <f>HDISC!BT20</f>
        <v>1861.0966356333333</v>
      </c>
      <c r="I729" s="369">
        <f>HDISC!AU20</f>
        <v>1</v>
      </c>
      <c r="J729" s="368"/>
      <c r="K729" s="367">
        <f t="shared" si="12"/>
        <v>1781.0966356333333</v>
      </c>
      <c r="L729" s="367">
        <f>$F729-HDISC!AV20</f>
        <v>1477.7633023000001</v>
      </c>
      <c r="M729" s="367">
        <f>IFERROR(HDISC!AV20*HDISC!AU20,0)</f>
        <v>303.33333333333326</v>
      </c>
    </row>
    <row r="730" spans="2:13" ht="42.75" customHeight="1" x14ac:dyDescent="0.3">
      <c r="B730" s="4" t="s">
        <v>699</v>
      </c>
      <c r="C730" s="4" t="s">
        <v>684</v>
      </c>
      <c r="D730" s="4" t="s">
        <v>685</v>
      </c>
      <c r="E730" s="5" t="s">
        <v>242</v>
      </c>
      <c r="F730" s="6">
        <f>HDISC!AW21</f>
        <v>2102.9642012333334</v>
      </c>
      <c r="G730" s="7" t="s">
        <v>190</v>
      </c>
      <c r="H730" s="6">
        <f>HDISC!BT21</f>
        <v>2182.9642012333334</v>
      </c>
      <c r="I730" s="369">
        <f>HDISC!AU21</f>
        <v>1</v>
      </c>
      <c r="J730" s="368"/>
      <c r="K730" s="367">
        <f t="shared" si="12"/>
        <v>2102.9642012333334</v>
      </c>
      <c r="L730" s="367">
        <f>$F730-HDISC!AV21</f>
        <v>1799.6308679000001</v>
      </c>
      <c r="M730" s="367">
        <f>IFERROR(HDISC!AV21*HDISC!AU21,0)</f>
        <v>303.33333333333326</v>
      </c>
    </row>
    <row r="731" spans="2:13" ht="42.75" customHeight="1" x14ac:dyDescent="0.3">
      <c r="B731" s="4" t="s">
        <v>700</v>
      </c>
      <c r="C731" s="4" t="s">
        <v>684</v>
      </c>
      <c r="D731" s="4" t="s">
        <v>685</v>
      </c>
      <c r="E731" s="5" t="s">
        <v>246</v>
      </c>
      <c r="F731" s="6">
        <f>HDISC!AW22</f>
        <v>2384.2445498833331</v>
      </c>
      <c r="G731" s="7" t="s">
        <v>190</v>
      </c>
      <c r="H731" s="6">
        <f>HDISC!BT22</f>
        <v>2464.2445498833331</v>
      </c>
      <c r="I731" s="369">
        <f>HDISC!AU22</f>
        <v>1</v>
      </c>
      <c r="J731" s="368"/>
      <c r="K731" s="367">
        <f t="shared" si="12"/>
        <v>2384.2445498833331</v>
      </c>
      <c r="L731" s="367">
        <f>$F731-HDISC!AV22</f>
        <v>2080.9112165500001</v>
      </c>
      <c r="M731" s="367">
        <f>IFERROR(HDISC!AV22*HDISC!AU22,0)</f>
        <v>303.33333333333326</v>
      </c>
    </row>
    <row r="732" spans="2:13" ht="42.75" customHeight="1" x14ac:dyDescent="0.3">
      <c r="B732" s="4" t="s">
        <v>701</v>
      </c>
      <c r="C732" s="4" t="s">
        <v>684</v>
      </c>
      <c r="D732" s="4" t="s">
        <v>685</v>
      </c>
      <c r="E732" s="5" t="s">
        <v>250</v>
      </c>
      <c r="F732" s="6">
        <f>HDISC!AW23</f>
        <v>3341.5186756333333</v>
      </c>
      <c r="G732" s="7" t="s">
        <v>190</v>
      </c>
      <c r="H732" s="6">
        <f>HDISC!BT23</f>
        <v>3421.5186756333333</v>
      </c>
      <c r="I732" s="369">
        <f>HDISC!AU23</f>
        <v>1</v>
      </c>
      <c r="J732" s="368"/>
      <c r="K732" s="367">
        <f t="shared" si="12"/>
        <v>3341.5186756333333</v>
      </c>
      <c r="L732" s="367">
        <f>$F732-HDISC!AV23</f>
        <v>3038.1853423000002</v>
      </c>
      <c r="M732" s="367">
        <f>IFERROR(HDISC!AV23*HDISC!AU23,0)</f>
        <v>303.33333333333326</v>
      </c>
    </row>
    <row r="733" spans="2:13" ht="42.75" customHeight="1" x14ac:dyDescent="0.3">
      <c r="B733" s="4" t="s">
        <v>702</v>
      </c>
      <c r="C733" s="4" t="s">
        <v>684</v>
      </c>
      <c r="D733" s="4" t="s">
        <v>685</v>
      </c>
      <c r="E733" s="5" t="s">
        <v>254</v>
      </c>
      <c r="F733" s="6">
        <f>HDISC!AW24</f>
        <v>3734.1116061333332</v>
      </c>
      <c r="G733" s="7" t="s">
        <v>190</v>
      </c>
      <c r="H733" s="6">
        <f>HDISC!BT24</f>
        <v>3814.1116061333332</v>
      </c>
      <c r="I733" s="369">
        <f>HDISC!AU24</f>
        <v>1</v>
      </c>
      <c r="J733" s="368"/>
      <c r="K733" s="367">
        <f t="shared" si="12"/>
        <v>3734.1116061333332</v>
      </c>
      <c r="L733" s="367">
        <f>$F733-HDISC!AV24</f>
        <v>3430.7782728000002</v>
      </c>
      <c r="M733" s="367">
        <f>IFERROR(HDISC!AV24*HDISC!AU24,0)</f>
        <v>303.33333333333326</v>
      </c>
    </row>
    <row r="734" spans="2:13" ht="42.75" customHeight="1" x14ac:dyDescent="0.3">
      <c r="B734" s="4" t="s">
        <v>703</v>
      </c>
      <c r="C734" s="4" t="s">
        <v>684</v>
      </c>
      <c r="D734" s="4" t="s">
        <v>685</v>
      </c>
      <c r="E734" s="5" t="s">
        <v>258</v>
      </c>
      <c r="F734" s="6">
        <f>HDISC!AW25</f>
        <v>4243.2324865833334</v>
      </c>
      <c r="G734" s="7" t="s">
        <v>190</v>
      </c>
      <c r="H734" s="6">
        <f>HDISC!BT25</f>
        <v>4323.2324865833334</v>
      </c>
      <c r="I734" s="369">
        <f>HDISC!AU25</f>
        <v>1</v>
      </c>
      <c r="J734" s="368"/>
      <c r="K734" s="367">
        <f t="shared" si="12"/>
        <v>4243.2324865833334</v>
      </c>
      <c r="L734" s="367">
        <f>$F734-HDISC!AV25</f>
        <v>3899.8991532499999</v>
      </c>
      <c r="M734" s="367">
        <f>IFERROR(HDISC!AV25*HDISC!AU25,0)</f>
        <v>343.33333333333331</v>
      </c>
    </row>
    <row r="735" spans="2:13" ht="42.75" customHeight="1" x14ac:dyDescent="0.3">
      <c r="B735" s="4" t="s">
        <v>704</v>
      </c>
      <c r="C735" s="4" t="s">
        <v>684</v>
      </c>
      <c r="D735" s="4" t="s">
        <v>685</v>
      </c>
      <c r="E735" s="5" t="s">
        <v>262</v>
      </c>
      <c r="F735" s="6">
        <f>HDISC!AW26</f>
        <v>4976.0201693333338</v>
      </c>
      <c r="G735" s="7" t="s">
        <v>190</v>
      </c>
      <c r="H735" s="6">
        <f>HDISC!BT26</f>
        <v>5056.0201693333338</v>
      </c>
      <c r="I735" s="369">
        <f>HDISC!AU26</f>
        <v>1</v>
      </c>
      <c r="J735" s="368"/>
      <c r="K735" s="367">
        <f t="shared" si="12"/>
        <v>4976.0201693333338</v>
      </c>
      <c r="L735" s="367">
        <f>$F735-HDISC!AV26</f>
        <v>4632.6868360000008</v>
      </c>
      <c r="M735" s="367">
        <f>IFERROR(HDISC!AV26*HDISC!AU26,0)</f>
        <v>343.33333333333331</v>
      </c>
    </row>
    <row r="736" spans="2:13" ht="42.75" customHeight="1" x14ac:dyDescent="0.3">
      <c r="B736" s="4" t="s">
        <v>705</v>
      </c>
      <c r="C736" s="4" t="s">
        <v>684</v>
      </c>
      <c r="D736" s="4" t="s">
        <v>685</v>
      </c>
      <c r="E736" s="5" t="s">
        <v>266</v>
      </c>
      <c r="F736" s="6">
        <f>HDISC!AW27</f>
        <v>6020.4086913333322</v>
      </c>
      <c r="G736" s="7" t="s">
        <v>190</v>
      </c>
      <c r="H736" s="6">
        <f>HDISC!BT27</f>
        <v>6100.4086913333322</v>
      </c>
      <c r="I736" s="369">
        <f>HDISC!AU27</f>
        <v>1</v>
      </c>
      <c r="J736" s="368"/>
      <c r="K736" s="367">
        <f t="shared" si="12"/>
        <v>6020.4086913333322</v>
      </c>
      <c r="L736" s="367">
        <f>$F736-HDISC!AV27</f>
        <v>5637.0753579999991</v>
      </c>
      <c r="M736" s="367">
        <f>IFERROR(HDISC!AV27*HDISC!AU27,0)</f>
        <v>383.33333333333331</v>
      </c>
    </row>
    <row r="737" spans="2:13" ht="42.75" customHeight="1" x14ac:dyDescent="0.3">
      <c r="B737" s="4" t="s">
        <v>706</v>
      </c>
      <c r="C737" s="4" t="s">
        <v>684</v>
      </c>
      <c r="D737" s="4" t="s">
        <v>685</v>
      </c>
      <c r="E737" s="5" t="s">
        <v>270</v>
      </c>
      <c r="F737" s="6">
        <f>HDISC!AW28</f>
        <v>6451.9685676666668</v>
      </c>
      <c r="G737" s="7" t="s">
        <v>190</v>
      </c>
      <c r="H737" s="6">
        <f>HDISC!BT28</f>
        <v>6531.9685676666668</v>
      </c>
      <c r="I737" s="369">
        <f>HDISC!AU28</f>
        <v>1</v>
      </c>
      <c r="J737" s="368"/>
      <c r="K737" s="367">
        <f t="shared" si="12"/>
        <v>6451.9685676666668</v>
      </c>
      <c r="L737" s="367">
        <f>$F737-HDISC!AV28</f>
        <v>6055.3019009999998</v>
      </c>
      <c r="M737" s="367">
        <f>IFERROR(HDISC!AV28*HDISC!AU28,0)</f>
        <v>396.66666666666669</v>
      </c>
    </row>
    <row r="738" spans="2:13" ht="42.75" customHeight="1" x14ac:dyDescent="0.3">
      <c r="B738" s="4" t="s">
        <v>707</v>
      </c>
      <c r="C738" s="4" t="s">
        <v>684</v>
      </c>
      <c r="D738" s="4" t="s">
        <v>685</v>
      </c>
      <c r="E738" s="5" t="s">
        <v>274</v>
      </c>
      <c r="F738" s="6">
        <f>HDISC!AW29</f>
        <v>7218.3535451666667</v>
      </c>
      <c r="G738" s="7" t="s">
        <v>190</v>
      </c>
      <c r="H738" s="6">
        <f>HDISC!BT29</f>
        <v>7298.3535451666667</v>
      </c>
      <c r="I738" s="369">
        <f>HDISC!AU29</f>
        <v>1</v>
      </c>
      <c r="J738" s="368"/>
      <c r="K738" s="367">
        <f t="shared" si="12"/>
        <v>7218.3535451666667</v>
      </c>
      <c r="L738" s="367">
        <f>$F738-HDISC!AV29</f>
        <v>6821.6868784999997</v>
      </c>
      <c r="M738" s="367">
        <f>IFERROR(HDISC!AV29*HDISC!AU29,0)</f>
        <v>396.66666666666669</v>
      </c>
    </row>
    <row r="739" spans="2:13" ht="42.75" customHeight="1" x14ac:dyDescent="0.3">
      <c r="B739" s="4" t="s">
        <v>708</v>
      </c>
      <c r="C739" s="4" t="s">
        <v>684</v>
      </c>
      <c r="D739" s="4" t="s">
        <v>685</v>
      </c>
      <c r="E739" s="5" t="s">
        <v>278</v>
      </c>
      <c r="F739" s="6">
        <f>HDISC!AW30</f>
        <v>8393.2572196666661</v>
      </c>
      <c r="G739" s="7" t="s">
        <v>190</v>
      </c>
      <c r="H739" s="6">
        <f>HDISC!BT30</f>
        <v>8473.2572196666661</v>
      </c>
      <c r="I739" s="369">
        <f>HDISC!AU30</f>
        <v>1</v>
      </c>
      <c r="J739" s="368"/>
      <c r="K739" s="367">
        <f t="shared" si="12"/>
        <v>8393.2572196666661</v>
      </c>
      <c r="L739" s="367">
        <f>$F739-HDISC!AV30</f>
        <v>7996.5905529999991</v>
      </c>
      <c r="M739" s="367">
        <f>IFERROR(HDISC!AV30*HDISC!AU30,0)</f>
        <v>396.66666666666669</v>
      </c>
    </row>
    <row r="740" spans="2:13" ht="42.75" customHeight="1" x14ac:dyDescent="0.3">
      <c r="B740" s="4" t="s">
        <v>709</v>
      </c>
      <c r="C740" s="4" t="s">
        <v>684</v>
      </c>
      <c r="D740" s="4" t="s">
        <v>710</v>
      </c>
      <c r="E740" s="5" t="s">
        <v>196</v>
      </c>
      <c r="F740" s="6">
        <f>HDISC!AW31</f>
        <v>39.510190923333326</v>
      </c>
      <c r="G740" s="7" t="s">
        <v>190</v>
      </c>
      <c r="H740" s="6">
        <f>HDISC!BT31</f>
        <v>119.51019092333333</v>
      </c>
      <c r="I740" s="369">
        <f>HDISC!AU31</f>
        <v>4</v>
      </c>
      <c r="J740" s="368"/>
      <c r="K740" s="367">
        <f t="shared" si="12"/>
        <v>39.510190923333326</v>
      </c>
      <c r="L740" s="367">
        <f>$F740-HDISC!AV31</f>
        <v>7.6768575899999973</v>
      </c>
      <c r="M740" s="367">
        <f>IFERROR(HDISC!AV31*HDISC!AU31,0)</f>
        <v>127.33333333333331</v>
      </c>
    </row>
    <row r="741" spans="2:13" ht="42.75" customHeight="1" x14ac:dyDescent="0.3">
      <c r="B741" s="4" t="s">
        <v>711</v>
      </c>
      <c r="C741" s="4" t="s">
        <v>684</v>
      </c>
      <c r="D741" s="4" t="s">
        <v>710</v>
      </c>
      <c r="E741" s="5" t="s">
        <v>200</v>
      </c>
      <c r="F741" s="6">
        <f>HDISC!AW32</f>
        <v>43.458060848333332</v>
      </c>
      <c r="G741" s="7" t="s">
        <v>190</v>
      </c>
      <c r="H741" s="6">
        <f>HDISC!BT32</f>
        <v>123.45806084833333</v>
      </c>
      <c r="I741" s="369">
        <f>HDISC!AU32</f>
        <v>4</v>
      </c>
      <c r="J741" s="368"/>
      <c r="K741" s="367">
        <f t="shared" si="12"/>
        <v>43.458060848333332</v>
      </c>
      <c r="L741" s="367">
        <f>$F741-HDISC!AV32</f>
        <v>11.624727515000004</v>
      </c>
      <c r="M741" s="367">
        <f>IFERROR(HDISC!AV32*HDISC!AU32,0)</f>
        <v>127.33333333333331</v>
      </c>
    </row>
    <row r="742" spans="2:13" ht="42.75" customHeight="1" x14ac:dyDescent="0.3">
      <c r="B742" s="4" t="s">
        <v>712</v>
      </c>
      <c r="C742" s="4" t="s">
        <v>684</v>
      </c>
      <c r="D742" s="4" t="s">
        <v>710</v>
      </c>
      <c r="E742" s="5" t="s">
        <v>185</v>
      </c>
      <c r="F742" s="6">
        <f>HDISC!AW33</f>
        <v>63.033224144444439</v>
      </c>
      <c r="G742" s="7" t="s">
        <v>190</v>
      </c>
      <c r="H742" s="6">
        <f>HDISC!BT33</f>
        <v>143.03322414444443</v>
      </c>
      <c r="I742" s="369">
        <f>HDISC!AU33</f>
        <v>3</v>
      </c>
      <c r="J742" s="368"/>
      <c r="K742" s="367">
        <f t="shared" si="12"/>
        <v>63.033224144444439</v>
      </c>
      <c r="L742" s="367">
        <f>$F742-HDISC!AV33</f>
        <v>20.588779700000003</v>
      </c>
      <c r="M742" s="367">
        <f>IFERROR(HDISC!AV33*HDISC!AU33,0)</f>
        <v>127.33333333333331</v>
      </c>
    </row>
    <row r="743" spans="2:13" ht="42.75" customHeight="1" x14ac:dyDescent="0.3">
      <c r="B743" s="4" t="s">
        <v>713</v>
      </c>
      <c r="C743" s="4" t="s">
        <v>684</v>
      </c>
      <c r="D743" s="4" t="s">
        <v>710</v>
      </c>
      <c r="E743" s="5" t="s">
        <v>39</v>
      </c>
      <c r="F743" s="6">
        <f>HDISC!AW34</f>
        <v>96.304114319444437</v>
      </c>
      <c r="G743" s="7" t="s">
        <v>190</v>
      </c>
      <c r="H743" s="6">
        <f>HDISC!BT34</f>
        <v>176.30411431944444</v>
      </c>
      <c r="I743" s="369">
        <f>HDISC!AU34</f>
        <v>3</v>
      </c>
      <c r="J743" s="368"/>
      <c r="K743" s="367">
        <f t="shared" ref="K743:K806" si="13">IF(OR($J743="",$J743&lt;=0),$F743,$L743+$M743/$J743)</f>
        <v>96.304114319444437</v>
      </c>
      <c r="L743" s="367">
        <f>$F743-HDISC!AV34</f>
        <v>53.859669875000002</v>
      </c>
      <c r="M743" s="367">
        <f>IFERROR(HDISC!AV34*HDISC!AU34,0)</f>
        <v>127.33333333333331</v>
      </c>
    </row>
    <row r="744" spans="2:13" ht="42.75" customHeight="1" x14ac:dyDescent="0.3">
      <c r="B744" s="4" t="s">
        <v>714</v>
      </c>
      <c r="C744" s="4" t="s">
        <v>684</v>
      </c>
      <c r="D744" s="4" t="s">
        <v>710</v>
      </c>
      <c r="E744" s="5" t="s">
        <v>300</v>
      </c>
      <c r="F744" s="6">
        <f>HDISC!AW35</f>
        <v>111.31136304888886</v>
      </c>
      <c r="G744" s="7" t="s">
        <v>190</v>
      </c>
      <c r="H744" s="6">
        <f>HDISC!BT35</f>
        <v>191.31136304888886</v>
      </c>
      <c r="I744" s="369">
        <f>HDISC!AU35</f>
        <v>3</v>
      </c>
      <c r="J744" s="368"/>
      <c r="K744" s="367">
        <f t="shared" si="13"/>
        <v>111.31136304888886</v>
      </c>
      <c r="L744" s="367">
        <f>$F744-HDISC!AV35</f>
        <v>74.422474159999979</v>
      </c>
      <c r="M744" s="367">
        <f>IFERROR(HDISC!AV35*HDISC!AU35,0)</f>
        <v>110.66666666666663</v>
      </c>
    </row>
    <row r="745" spans="2:13" ht="42.75" customHeight="1" x14ac:dyDescent="0.3">
      <c r="B745" s="4" t="s">
        <v>715</v>
      </c>
      <c r="C745" s="4" t="s">
        <v>684</v>
      </c>
      <c r="D745" s="4" t="s">
        <v>710</v>
      </c>
      <c r="E745" s="5" t="s">
        <v>41</v>
      </c>
      <c r="F745" s="6">
        <f>HDISC!AW36</f>
        <v>153.84836440833331</v>
      </c>
      <c r="G745" s="7" t="s">
        <v>190</v>
      </c>
      <c r="H745" s="6">
        <f>HDISC!BT36</f>
        <v>233.84836440833331</v>
      </c>
      <c r="I745" s="369">
        <f>HDISC!AU36</f>
        <v>2</v>
      </c>
      <c r="J745" s="368"/>
      <c r="K745" s="367">
        <f t="shared" si="13"/>
        <v>153.84836440833331</v>
      </c>
      <c r="L745" s="367">
        <f>$F745-HDISC!AV36</f>
        <v>98.515031074999996</v>
      </c>
      <c r="M745" s="367">
        <f>IFERROR(HDISC!AV36*HDISC!AU36,0)</f>
        <v>110.66666666666663</v>
      </c>
    </row>
    <row r="746" spans="2:13" ht="42.75" customHeight="1" x14ac:dyDescent="0.3">
      <c r="B746" s="4" t="s">
        <v>716</v>
      </c>
      <c r="C746" s="4" t="s">
        <v>684</v>
      </c>
      <c r="D746" s="4" t="s">
        <v>710</v>
      </c>
      <c r="E746" s="5" t="s">
        <v>43</v>
      </c>
      <c r="F746" s="6">
        <f>HDISC!AW37</f>
        <v>231.30079699666666</v>
      </c>
      <c r="G746" s="7" t="s">
        <v>190</v>
      </c>
      <c r="H746" s="6">
        <f>HDISC!BT37</f>
        <v>311.30079699666669</v>
      </c>
      <c r="I746" s="369">
        <f>HDISC!AU37</f>
        <v>2</v>
      </c>
      <c r="J746" s="368"/>
      <c r="K746" s="367">
        <f t="shared" si="13"/>
        <v>231.30079699666666</v>
      </c>
      <c r="L746" s="367">
        <f>$F746-HDISC!AV37</f>
        <v>172.63413033</v>
      </c>
      <c r="M746" s="367">
        <f>IFERROR(HDISC!AV37*HDISC!AU37,0)</f>
        <v>117.3333333333333</v>
      </c>
    </row>
    <row r="747" spans="2:13" ht="42.75" customHeight="1" x14ac:dyDescent="0.3">
      <c r="B747" s="4" t="s">
        <v>717</v>
      </c>
      <c r="C747" s="4" t="s">
        <v>684</v>
      </c>
      <c r="D747" s="4" t="s">
        <v>710</v>
      </c>
      <c r="E747" s="5" t="s">
        <v>45</v>
      </c>
      <c r="F747" s="6">
        <f>HDISC!AW38</f>
        <v>330.45158948766664</v>
      </c>
      <c r="G747" s="7" t="s">
        <v>190</v>
      </c>
      <c r="H747" s="6">
        <f>HDISC!BT38</f>
        <v>410.45158948766664</v>
      </c>
      <c r="I747" s="369">
        <f>HDISC!AU38</f>
        <v>2</v>
      </c>
      <c r="J747" s="368"/>
      <c r="K747" s="367">
        <f t="shared" si="13"/>
        <v>330.45158948766664</v>
      </c>
      <c r="L747" s="367">
        <f>$F747-HDISC!AV38</f>
        <v>271.78492282100001</v>
      </c>
      <c r="M747" s="367">
        <f>IFERROR(HDISC!AV38*HDISC!AU38,0)</f>
        <v>117.3333333333333</v>
      </c>
    </row>
    <row r="748" spans="2:13" ht="42.75" customHeight="1" x14ac:dyDescent="0.3">
      <c r="B748" s="4" t="s">
        <v>718</v>
      </c>
      <c r="C748" s="4" t="s">
        <v>684</v>
      </c>
      <c r="D748" s="4" t="s">
        <v>710</v>
      </c>
      <c r="E748" s="5" t="s">
        <v>47</v>
      </c>
      <c r="F748" s="6">
        <f>HDISC!AW39</f>
        <v>523.57345803333328</v>
      </c>
      <c r="G748" s="7" t="s">
        <v>190</v>
      </c>
      <c r="H748" s="6">
        <f>HDISC!BT39</f>
        <v>603.57345803333328</v>
      </c>
      <c r="I748" s="369">
        <f>HDISC!AU39</f>
        <v>1</v>
      </c>
      <c r="J748" s="368"/>
      <c r="K748" s="367">
        <f t="shared" si="13"/>
        <v>523.57345803333328</v>
      </c>
      <c r="L748" s="367">
        <f>$F748-HDISC!AV39</f>
        <v>386.24012469999991</v>
      </c>
      <c r="M748" s="367">
        <f>IFERROR(HDISC!AV39*HDISC!AU39,0)</f>
        <v>137.33333333333337</v>
      </c>
    </row>
    <row r="749" spans="2:13" ht="42.75" customHeight="1" x14ac:dyDescent="0.3">
      <c r="B749" s="4" t="s">
        <v>719</v>
      </c>
      <c r="C749" s="4" t="s">
        <v>684</v>
      </c>
      <c r="D749" s="4" t="s">
        <v>710</v>
      </c>
      <c r="E749" s="5" t="s">
        <v>222</v>
      </c>
      <c r="F749" s="6">
        <f>HDISC!AW40</f>
        <v>655.42356293333341</v>
      </c>
      <c r="G749" s="7" t="s">
        <v>190</v>
      </c>
      <c r="H749" s="6">
        <f>HDISC!BT40</f>
        <v>735.42356293333341</v>
      </c>
      <c r="I749" s="369">
        <f>HDISC!AU40</f>
        <v>1</v>
      </c>
      <c r="J749" s="368"/>
      <c r="K749" s="367">
        <f t="shared" si="13"/>
        <v>655.42356293333341</v>
      </c>
      <c r="L749" s="367">
        <f>$F749-HDISC!AV40</f>
        <v>518.09022960000004</v>
      </c>
      <c r="M749" s="367">
        <f>IFERROR(HDISC!AV40*HDISC!AU40,0)</f>
        <v>137.33333333333337</v>
      </c>
    </row>
    <row r="750" spans="2:13" ht="42.75" customHeight="1" x14ac:dyDescent="0.3">
      <c r="B750" s="4" t="s">
        <v>720</v>
      </c>
      <c r="C750" s="4" t="s">
        <v>684</v>
      </c>
      <c r="D750" s="4" t="s">
        <v>710</v>
      </c>
      <c r="E750" s="5" t="s">
        <v>226</v>
      </c>
      <c r="F750" s="6">
        <f>HDISC!AW41</f>
        <v>970.86000633333344</v>
      </c>
      <c r="G750" s="7" t="s">
        <v>190</v>
      </c>
      <c r="H750" s="6">
        <f>HDISC!BT41</f>
        <v>1050.8600063333333</v>
      </c>
      <c r="I750" s="369">
        <f>HDISC!AU41</f>
        <v>1</v>
      </c>
      <c r="J750" s="368"/>
      <c r="K750" s="367">
        <f t="shared" si="13"/>
        <v>970.86000633333344</v>
      </c>
      <c r="L750" s="367">
        <f>$F750-HDISC!AV41</f>
        <v>833.52667300000007</v>
      </c>
      <c r="M750" s="367">
        <f>IFERROR(HDISC!AV41*HDISC!AU41,0)</f>
        <v>137.33333333333337</v>
      </c>
    </row>
    <row r="751" spans="2:13" ht="42.75" customHeight="1" x14ac:dyDescent="0.3">
      <c r="B751" s="4" t="s">
        <v>721</v>
      </c>
      <c r="C751" s="4" t="s">
        <v>684</v>
      </c>
      <c r="D751" s="4" t="s">
        <v>710</v>
      </c>
      <c r="E751" s="5" t="s">
        <v>230</v>
      </c>
      <c r="F751" s="6">
        <f>HDISC!AW42</f>
        <v>1241.6217853333333</v>
      </c>
      <c r="G751" s="7" t="s">
        <v>190</v>
      </c>
      <c r="H751" s="6">
        <f>HDISC!BT42</f>
        <v>1321.6217853333333</v>
      </c>
      <c r="I751" s="369">
        <f>HDISC!AU42</f>
        <v>1</v>
      </c>
      <c r="J751" s="368"/>
      <c r="K751" s="367">
        <f t="shared" si="13"/>
        <v>1241.6217853333333</v>
      </c>
      <c r="L751" s="367">
        <f>$F751-HDISC!AV42</f>
        <v>1084.2884519999998</v>
      </c>
      <c r="M751" s="367">
        <f>IFERROR(HDISC!AV42*HDISC!AU42,0)</f>
        <v>157.33333333333337</v>
      </c>
    </row>
    <row r="752" spans="2:13" ht="42.75" customHeight="1" x14ac:dyDescent="0.3">
      <c r="B752" s="4" t="s">
        <v>722</v>
      </c>
      <c r="C752" s="4" t="s">
        <v>684</v>
      </c>
      <c r="D752" s="4" t="s">
        <v>710</v>
      </c>
      <c r="E752" s="5" t="s">
        <v>234</v>
      </c>
      <c r="F752" s="6">
        <f>HDISC!AW43</f>
        <v>1696.8820209999999</v>
      </c>
      <c r="G752" s="7" t="s">
        <v>190</v>
      </c>
      <c r="H752" s="6">
        <f>HDISC!BT43</f>
        <v>1776.8820209999999</v>
      </c>
      <c r="I752" s="369">
        <f>HDISC!AU43</f>
        <v>1</v>
      </c>
      <c r="J752" s="368"/>
      <c r="K752" s="367">
        <f t="shared" si="13"/>
        <v>1696.8820209999999</v>
      </c>
      <c r="L752" s="367">
        <f>$F752-HDISC!AV43</f>
        <v>1492.8820209999999</v>
      </c>
      <c r="M752" s="367">
        <f>IFERROR(HDISC!AV43*HDISC!AU43,0)</f>
        <v>203.99999999999994</v>
      </c>
    </row>
    <row r="753" spans="2:13" ht="42.75" customHeight="1" x14ac:dyDescent="0.3">
      <c r="B753" s="4" t="s">
        <v>723</v>
      </c>
      <c r="C753" s="4" t="s">
        <v>684</v>
      </c>
      <c r="D753" s="4" t="s">
        <v>710</v>
      </c>
      <c r="E753" s="5" t="s">
        <v>238</v>
      </c>
      <c r="F753" s="6">
        <f>HDISC!AW44</f>
        <v>2055.4590913333332</v>
      </c>
      <c r="G753" s="7" t="s">
        <v>190</v>
      </c>
      <c r="H753" s="6">
        <f>HDISC!BT44</f>
        <v>2135.4590913333332</v>
      </c>
      <c r="I753" s="369">
        <f>HDISC!AU44</f>
        <v>1</v>
      </c>
      <c r="J753" s="368"/>
      <c r="K753" s="367">
        <f t="shared" si="13"/>
        <v>2055.4590913333332</v>
      </c>
      <c r="L753" s="367">
        <f>$F753-HDISC!AV44</f>
        <v>1752.1257579999999</v>
      </c>
      <c r="M753" s="367">
        <f>IFERROR(HDISC!AV44*HDISC!AU44,0)</f>
        <v>303.33333333333326</v>
      </c>
    </row>
    <row r="754" spans="2:13" ht="42.75" customHeight="1" x14ac:dyDescent="0.3">
      <c r="B754" s="4" t="s">
        <v>724</v>
      </c>
      <c r="C754" s="4" t="s">
        <v>684</v>
      </c>
      <c r="D754" s="4" t="s">
        <v>710</v>
      </c>
      <c r="E754" s="5" t="s">
        <v>242</v>
      </c>
      <c r="F754" s="6">
        <f>HDISC!AW45</f>
        <v>2541.4313033333328</v>
      </c>
      <c r="G754" s="7" t="s">
        <v>190</v>
      </c>
      <c r="H754" s="6">
        <f>HDISC!BT45</f>
        <v>2621.4313033333328</v>
      </c>
      <c r="I754" s="369">
        <f>HDISC!AU45</f>
        <v>1</v>
      </c>
      <c r="J754" s="368"/>
      <c r="K754" s="367">
        <f t="shared" si="13"/>
        <v>2541.4313033333328</v>
      </c>
      <c r="L754" s="367">
        <f>$F754-HDISC!AV45</f>
        <v>2238.0979699999998</v>
      </c>
      <c r="M754" s="367">
        <f>IFERROR(HDISC!AV45*HDISC!AU45,0)</f>
        <v>303.33333333333326</v>
      </c>
    </row>
    <row r="755" spans="2:13" ht="42.75" customHeight="1" x14ac:dyDescent="0.3">
      <c r="B755" s="4" t="s">
        <v>725</v>
      </c>
      <c r="C755" s="4" t="s">
        <v>684</v>
      </c>
      <c r="D755" s="4" t="s">
        <v>710</v>
      </c>
      <c r="E755" s="5" t="s">
        <v>246</v>
      </c>
      <c r="F755" s="6">
        <f>HDISC!AW46</f>
        <v>3100.920310333333</v>
      </c>
      <c r="G755" s="7" t="s">
        <v>190</v>
      </c>
      <c r="H755" s="6">
        <f>HDISC!BT46</f>
        <v>3180.920310333333</v>
      </c>
      <c r="I755" s="369">
        <f>HDISC!AU46</f>
        <v>1</v>
      </c>
      <c r="J755" s="368"/>
      <c r="K755" s="367">
        <f t="shared" si="13"/>
        <v>3100.920310333333</v>
      </c>
      <c r="L755" s="367">
        <f>$F755-HDISC!AV46</f>
        <v>2797.5869769999999</v>
      </c>
      <c r="M755" s="367">
        <f>IFERROR(HDISC!AV46*HDISC!AU46,0)</f>
        <v>303.33333333333326</v>
      </c>
    </row>
    <row r="756" spans="2:13" ht="42.75" customHeight="1" x14ac:dyDescent="0.3">
      <c r="B756" s="4" t="s">
        <v>726</v>
      </c>
      <c r="C756" s="4" t="s">
        <v>684</v>
      </c>
      <c r="D756" s="4" t="s">
        <v>710</v>
      </c>
      <c r="E756" s="5" t="s">
        <v>250</v>
      </c>
      <c r="F756" s="6">
        <f>HDISC!AW47</f>
        <v>3897.9359923333332</v>
      </c>
      <c r="G756" s="7" t="s">
        <v>190</v>
      </c>
      <c r="H756" s="6">
        <f>HDISC!BT47</f>
        <v>3977.9359923333332</v>
      </c>
      <c r="I756" s="369">
        <f>HDISC!AU47</f>
        <v>1</v>
      </c>
      <c r="J756" s="368"/>
      <c r="K756" s="367">
        <f t="shared" si="13"/>
        <v>3897.9359923333332</v>
      </c>
      <c r="L756" s="367">
        <f>$F756-HDISC!AV47</f>
        <v>3594.6026590000001</v>
      </c>
      <c r="M756" s="367">
        <f>IFERROR(HDISC!AV47*HDISC!AU47,0)</f>
        <v>303.33333333333326</v>
      </c>
    </row>
    <row r="757" spans="2:13" ht="42.75" customHeight="1" x14ac:dyDescent="0.3">
      <c r="B757" s="4" t="s">
        <v>727</v>
      </c>
      <c r="C757" s="4" t="s">
        <v>684</v>
      </c>
      <c r="D757" s="4" t="s">
        <v>710</v>
      </c>
      <c r="E757" s="5" t="s">
        <v>254</v>
      </c>
      <c r="F757" s="6">
        <f>HDISC!AW48</f>
        <v>4072.5774393333331</v>
      </c>
      <c r="G757" s="7" t="s">
        <v>190</v>
      </c>
      <c r="H757" s="6">
        <f>HDISC!BT48</f>
        <v>4152.5774393333331</v>
      </c>
      <c r="I757" s="369">
        <f>HDISC!AU48</f>
        <v>1</v>
      </c>
      <c r="J757" s="368"/>
      <c r="K757" s="367">
        <f t="shared" si="13"/>
        <v>4072.5774393333331</v>
      </c>
      <c r="L757" s="367">
        <f>$F757-HDISC!AV48</f>
        <v>3769.2441060000001</v>
      </c>
      <c r="M757" s="367">
        <f>IFERROR(HDISC!AV48*HDISC!AU48,0)</f>
        <v>303.33333333333326</v>
      </c>
    </row>
    <row r="758" spans="2:13" ht="42.75" customHeight="1" x14ac:dyDescent="0.3">
      <c r="B758" s="4" t="s">
        <v>728</v>
      </c>
      <c r="C758" s="4" t="s">
        <v>684</v>
      </c>
      <c r="D758" s="4" t="s">
        <v>710</v>
      </c>
      <c r="E758" s="5" t="s">
        <v>258</v>
      </c>
      <c r="F758" s="6">
        <f>HDISC!AW49</f>
        <v>5121.448758333333</v>
      </c>
      <c r="G758" s="7" t="s">
        <v>190</v>
      </c>
      <c r="H758" s="6">
        <f>HDISC!BT49</f>
        <v>5201.448758333333</v>
      </c>
      <c r="I758" s="369">
        <f>HDISC!AU49</f>
        <v>1</v>
      </c>
      <c r="J758" s="368"/>
      <c r="K758" s="367">
        <f t="shared" si="13"/>
        <v>5121.448758333333</v>
      </c>
      <c r="L758" s="367">
        <f>$F758-HDISC!AV49</f>
        <v>4778.115425</v>
      </c>
      <c r="M758" s="367">
        <f>IFERROR(HDISC!AV49*HDISC!AU49,0)</f>
        <v>343.33333333333331</v>
      </c>
    </row>
    <row r="759" spans="2:13" ht="42.75" customHeight="1" x14ac:dyDescent="0.3">
      <c r="B759" s="4" t="s">
        <v>729</v>
      </c>
      <c r="C759" s="4" t="s">
        <v>684</v>
      </c>
      <c r="D759" s="4" t="s">
        <v>710</v>
      </c>
      <c r="E759" s="5" t="s">
        <v>262</v>
      </c>
      <c r="F759" s="6">
        <f>HDISC!AW50</f>
        <v>6129.8809643333334</v>
      </c>
      <c r="G759" s="7" t="s">
        <v>190</v>
      </c>
      <c r="H759" s="6">
        <f>HDISC!BT50</f>
        <v>6209.8809643333334</v>
      </c>
      <c r="I759" s="369">
        <f>HDISC!AU50</f>
        <v>1</v>
      </c>
      <c r="J759" s="368"/>
      <c r="K759" s="367">
        <f t="shared" si="13"/>
        <v>6129.8809643333334</v>
      </c>
      <c r="L759" s="367">
        <f>$F759-HDISC!AV50</f>
        <v>5786.5476310000004</v>
      </c>
      <c r="M759" s="367">
        <f>IFERROR(HDISC!AV50*HDISC!AU50,0)</f>
        <v>343.33333333333331</v>
      </c>
    </row>
    <row r="760" spans="2:13" ht="42.75" customHeight="1" x14ac:dyDescent="0.3">
      <c r="B760" s="4" t="s">
        <v>730</v>
      </c>
      <c r="C760" s="4" t="s">
        <v>684</v>
      </c>
      <c r="D760" s="4" t="s">
        <v>710</v>
      </c>
      <c r="E760" s="5" t="s">
        <v>266</v>
      </c>
      <c r="F760" s="6">
        <f>HDISC!AW51</f>
        <v>7353.7589433333351</v>
      </c>
      <c r="G760" s="7" t="s">
        <v>190</v>
      </c>
      <c r="H760" s="6">
        <f>HDISC!BT51</f>
        <v>7433.7589433333351</v>
      </c>
      <c r="I760" s="369">
        <f>HDISC!AU51</f>
        <v>1</v>
      </c>
      <c r="J760" s="368"/>
      <c r="K760" s="367">
        <f t="shared" si="13"/>
        <v>7353.7589433333351</v>
      </c>
      <c r="L760" s="367">
        <f>$F760-HDISC!AV51</f>
        <v>6970.4256100000021</v>
      </c>
      <c r="M760" s="367">
        <f>IFERROR(HDISC!AV51*HDISC!AU51,0)</f>
        <v>383.33333333333331</v>
      </c>
    </row>
    <row r="761" spans="2:13" ht="42.75" customHeight="1" x14ac:dyDescent="0.3">
      <c r="B761" s="4" t="s">
        <v>731</v>
      </c>
      <c r="C761" s="4" t="s">
        <v>684</v>
      </c>
      <c r="D761" s="4" t="s">
        <v>710</v>
      </c>
      <c r="E761" s="5" t="s">
        <v>270</v>
      </c>
      <c r="F761" s="6">
        <f>HDISC!AW52</f>
        <v>7785.3188196666651</v>
      </c>
      <c r="G761" s="7" t="s">
        <v>190</v>
      </c>
      <c r="H761" s="6">
        <f>HDISC!BT52</f>
        <v>7865.3188196666651</v>
      </c>
      <c r="I761" s="369">
        <f>HDISC!AU52</f>
        <v>1</v>
      </c>
      <c r="J761" s="368"/>
      <c r="K761" s="367">
        <f t="shared" si="13"/>
        <v>7785.3188196666651</v>
      </c>
      <c r="L761" s="367">
        <f>$F761-HDISC!AV52</f>
        <v>7388.6521529999982</v>
      </c>
      <c r="M761" s="367">
        <f>IFERROR(HDISC!AV52*HDISC!AU52,0)</f>
        <v>396.66666666666669</v>
      </c>
    </row>
    <row r="762" spans="2:13" ht="42.75" customHeight="1" x14ac:dyDescent="0.3">
      <c r="B762" s="4" t="s">
        <v>732</v>
      </c>
      <c r="C762" s="4" t="s">
        <v>684</v>
      </c>
      <c r="D762" s="4" t="s">
        <v>710</v>
      </c>
      <c r="E762" s="5" t="s">
        <v>274</v>
      </c>
      <c r="F762" s="6">
        <f>HDISC!AW53</f>
        <v>8590.1658236666663</v>
      </c>
      <c r="G762" s="7" t="s">
        <v>190</v>
      </c>
      <c r="H762" s="6">
        <f>HDISC!BT53</f>
        <v>8670.1658236666663</v>
      </c>
      <c r="I762" s="369">
        <f>HDISC!AU53</f>
        <v>1</v>
      </c>
      <c r="J762" s="368"/>
      <c r="K762" s="367">
        <f t="shared" si="13"/>
        <v>8590.1658236666663</v>
      </c>
      <c r="L762" s="367">
        <f>$F762-HDISC!AV53</f>
        <v>8193.4991570000002</v>
      </c>
      <c r="M762" s="367">
        <f>IFERROR(HDISC!AV53*HDISC!AU53,0)</f>
        <v>396.66666666666669</v>
      </c>
    </row>
    <row r="763" spans="2:13" ht="42.75" customHeight="1" x14ac:dyDescent="0.3">
      <c r="B763" s="4" t="s">
        <v>733</v>
      </c>
      <c r="C763" s="4" t="s">
        <v>684</v>
      </c>
      <c r="D763" s="4" t="s">
        <v>710</v>
      </c>
      <c r="E763" s="5" t="s">
        <v>278</v>
      </c>
      <c r="F763" s="6">
        <f>HDISC!AW54</f>
        <v>9995.8416571666658</v>
      </c>
      <c r="G763" s="7" t="s">
        <v>190</v>
      </c>
      <c r="H763" s="6">
        <f>HDISC!BT54</f>
        <v>10075.841657166666</v>
      </c>
      <c r="I763" s="369">
        <f>HDISC!AU54</f>
        <v>1</v>
      </c>
      <c r="J763" s="368"/>
      <c r="K763" s="367">
        <f t="shared" si="13"/>
        <v>9995.8416571666658</v>
      </c>
      <c r="L763" s="367">
        <f>$F763-HDISC!AV54</f>
        <v>9599.1749904999997</v>
      </c>
      <c r="M763" s="367">
        <f>IFERROR(HDISC!AV54*HDISC!AU54,0)</f>
        <v>396.66666666666669</v>
      </c>
    </row>
    <row r="764" spans="2:13" ht="42.75" customHeight="1" x14ac:dyDescent="0.3">
      <c r="B764" s="4" t="s">
        <v>734</v>
      </c>
      <c r="C764" s="4" t="s">
        <v>735</v>
      </c>
      <c r="D764" s="4" t="s">
        <v>736</v>
      </c>
      <c r="E764" s="5" t="s">
        <v>196</v>
      </c>
      <c r="F764" s="6">
        <f>HLCC!AW7</f>
        <v>92.516853360333286</v>
      </c>
      <c r="G764" s="7" t="s">
        <v>190</v>
      </c>
      <c r="H764" s="6">
        <f>HLCC!BS7</f>
        <v>172.5168533603333</v>
      </c>
      <c r="I764" s="369">
        <f>HLCC!AU7</f>
        <v>1</v>
      </c>
      <c r="J764" s="368"/>
      <c r="K764" s="367">
        <f t="shared" si="13"/>
        <v>92.516853360333286</v>
      </c>
      <c r="L764" s="367">
        <f>$F764-HLCC!AV7</f>
        <v>9.1835200270000001</v>
      </c>
      <c r="M764" s="367">
        <f>IFERROR(HLCC!AV7*HLCC!AU7,0)</f>
        <v>83.333333333333286</v>
      </c>
    </row>
    <row r="765" spans="2:13" ht="42.75" customHeight="1" x14ac:dyDescent="0.3">
      <c r="B765" s="4" t="s">
        <v>737</v>
      </c>
      <c r="C765" s="4" t="s">
        <v>735</v>
      </c>
      <c r="D765" s="4" t="s">
        <v>736</v>
      </c>
      <c r="E765" s="5" t="s">
        <v>200</v>
      </c>
      <c r="F765" s="6">
        <f>HLCC!AW8</f>
        <v>96.28523382833329</v>
      </c>
      <c r="G765" s="7" t="s">
        <v>190</v>
      </c>
      <c r="H765" s="6">
        <f>HLCC!BS8</f>
        <v>176.28523382833328</v>
      </c>
      <c r="I765" s="369">
        <f>HLCC!AU8</f>
        <v>1</v>
      </c>
      <c r="J765" s="368"/>
      <c r="K765" s="367">
        <f t="shared" si="13"/>
        <v>96.28523382833329</v>
      </c>
      <c r="L765" s="367">
        <f>$F765-HLCC!AV8</f>
        <v>12.951900495000004</v>
      </c>
      <c r="M765" s="367">
        <f>IFERROR(HLCC!AV8*HLCC!AU8,0)</f>
        <v>83.333333333333286</v>
      </c>
    </row>
    <row r="766" spans="2:13" ht="42.75" customHeight="1" x14ac:dyDescent="0.3">
      <c r="B766" s="4" t="s">
        <v>738</v>
      </c>
      <c r="C766" s="4" t="s">
        <v>735</v>
      </c>
      <c r="D766" s="4" t="s">
        <v>736</v>
      </c>
      <c r="E766" s="5" t="s">
        <v>185</v>
      </c>
      <c r="F766" s="6">
        <f>HLCC!AW9</f>
        <v>104.32619737733329</v>
      </c>
      <c r="G766" s="7" t="s">
        <v>190</v>
      </c>
      <c r="H766" s="6">
        <f>HLCC!BS9</f>
        <v>184.3261973773333</v>
      </c>
      <c r="I766" s="369">
        <f>HLCC!AU9</f>
        <v>1</v>
      </c>
      <c r="J766" s="368"/>
      <c r="K766" s="367">
        <f t="shared" si="13"/>
        <v>104.32619737733329</v>
      </c>
      <c r="L766" s="367">
        <f>$F766-HLCC!AV9</f>
        <v>20.992864044000001</v>
      </c>
      <c r="M766" s="367">
        <f>IFERROR(HLCC!AV9*HLCC!AU9,0)</f>
        <v>83.333333333333286</v>
      </c>
    </row>
    <row r="767" spans="2:13" ht="42.75" customHeight="1" x14ac:dyDescent="0.3">
      <c r="B767" s="4" t="s">
        <v>739</v>
      </c>
      <c r="C767" s="4" t="s">
        <v>735</v>
      </c>
      <c r="D767" s="4" t="s">
        <v>736</v>
      </c>
      <c r="E767" s="5" t="s">
        <v>39</v>
      </c>
      <c r="F767" s="6">
        <f>HLCC!AW10</f>
        <v>132.49190598833329</v>
      </c>
      <c r="G767" s="7" t="s">
        <v>190</v>
      </c>
      <c r="H767" s="6">
        <f>HLCC!BS10</f>
        <v>212.49190598833329</v>
      </c>
      <c r="I767" s="369">
        <f>HLCC!AU10</f>
        <v>1</v>
      </c>
      <c r="J767" s="368"/>
      <c r="K767" s="367">
        <f t="shared" si="13"/>
        <v>132.49190598833329</v>
      </c>
      <c r="L767" s="367">
        <f>$F767-HLCC!AV10</f>
        <v>49.158572655</v>
      </c>
      <c r="M767" s="367">
        <f>IFERROR(HLCC!AV10*HLCC!AU10,0)</f>
        <v>83.333333333333286</v>
      </c>
    </row>
    <row r="768" spans="2:13" ht="42.75" customHeight="1" x14ac:dyDescent="0.3">
      <c r="B768" s="4" t="s">
        <v>740</v>
      </c>
      <c r="C768" s="4" t="s">
        <v>735</v>
      </c>
      <c r="D768" s="4" t="s">
        <v>736</v>
      </c>
      <c r="E768" s="5" t="s">
        <v>300</v>
      </c>
      <c r="F768" s="6">
        <f>HLCC!AW11</f>
        <v>151.3880224583333</v>
      </c>
      <c r="G768" s="7" t="s">
        <v>190</v>
      </c>
      <c r="H768" s="6">
        <f>HLCC!BS11</f>
        <v>231.3880224583333</v>
      </c>
      <c r="I768" s="369">
        <f>HLCC!AU11</f>
        <v>1</v>
      </c>
      <c r="J768" s="368"/>
      <c r="K768" s="367">
        <f t="shared" si="13"/>
        <v>151.3880224583333</v>
      </c>
      <c r="L768" s="367">
        <f>$F768-HLCC!AV11</f>
        <v>68.05468912500001</v>
      </c>
      <c r="M768" s="367">
        <f>IFERROR(HLCC!AV11*HLCC!AU11,0)</f>
        <v>83.333333333333286</v>
      </c>
    </row>
    <row r="769" spans="2:13" ht="42.75" customHeight="1" x14ac:dyDescent="0.3">
      <c r="B769" s="4" t="s">
        <v>741</v>
      </c>
      <c r="C769" s="4" t="s">
        <v>735</v>
      </c>
      <c r="D769" s="4" t="s">
        <v>736</v>
      </c>
      <c r="E769" s="5" t="s">
        <v>41</v>
      </c>
      <c r="F769" s="6">
        <f>HLCC!AW12</f>
        <v>171.83950753133328</v>
      </c>
      <c r="G769" s="7" t="s">
        <v>190</v>
      </c>
      <c r="H769" s="6">
        <f>HLCC!BS12</f>
        <v>251.83950753133328</v>
      </c>
      <c r="I769" s="369">
        <f>HLCC!AU12</f>
        <v>1</v>
      </c>
      <c r="J769" s="368"/>
      <c r="K769" s="367">
        <f t="shared" si="13"/>
        <v>171.83950753133328</v>
      </c>
      <c r="L769" s="367">
        <f>$F769-HLCC!AV12</f>
        <v>88.506174197999997</v>
      </c>
      <c r="M769" s="367">
        <f>IFERROR(HLCC!AV12*HLCC!AU12,0)</f>
        <v>83.333333333333286</v>
      </c>
    </row>
    <row r="770" spans="2:13" ht="42.75" customHeight="1" x14ac:dyDescent="0.3">
      <c r="B770" s="4" t="s">
        <v>742</v>
      </c>
      <c r="C770" s="4" t="s">
        <v>735</v>
      </c>
      <c r="D770" s="4" t="s">
        <v>736</v>
      </c>
      <c r="E770" s="5" t="s">
        <v>743</v>
      </c>
      <c r="F770" s="6">
        <f>HLCC!AW13</f>
        <v>266.18925205533338</v>
      </c>
      <c r="G770" s="7" t="s">
        <v>190</v>
      </c>
      <c r="H770" s="6">
        <f>HLCC!BS13</f>
        <v>346.18925205533338</v>
      </c>
      <c r="I770" s="369">
        <f>HLCC!AU13</f>
        <v>1</v>
      </c>
      <c r="J770" s="368"/>
      <c r="K770" s="367">
        <f t="shared" si="13"/>
        <v>266.18925205533338</v>
      </c>
      <c r="L770" s="367">
        <f>$F770-HLCC!AV13</f>
        <v>152.85591872200001</v>
      </c>
      <c r="M770" s="367">
        <f>IFERROR(HLCC!AV13*HLCC!AU13,0)</f>
        <v>113.33333333333336</v>
      </c>
    </row>
    <row r="771" spans="2:13" ht="42.75" customHeight="1" x14ac:dyDescent="0.3">
      <c r="B771" s="4" t="s">
        <v>744</v>
      </c>
      <c r="C771" s="4" t="s">
        <v>745</v>
      </c>
      <c r="D771" s="4" t="s">
        <v>746</v>
      </c>
      <c r="E771" s="5" t="s">
        <v>196</v>
      </c>
      <c r="F771" s="6">
        <f>'HLCC PC'!BH7</f>
        <v>258.97185336033323</v>
      </c>
      <c r="G771" s="7" t="s">
        <v>190</v>
      </c>
      <c r="H771" s="6">
        <f>'HLCC PC'!CD7</f>
        <v>338.97185336033323</v>
      </c>
      <c r="I771" s="369">
        <f>'HLCC PC'!BF7</f>
        <v>1</v>
      </c>
      <c r="J771" s="368"/>
      <c r="K771" s="367">
        <f t="shared" si="13"/>
        <v>258.97185336033323</v>
      </c>
      <c r="L771" s="367">
        <f>$F771-'HLCC PC'!BG7</f>
        <v>155.63852002699997</v>
      </c>
      <c r="M771" s="367">
        <f>IFERROR('HLCC PC'!BG7*'HLCC PC'!BF7,0)</f>
        <v>103.33333333333326</v>
      </c>
    </row>
    <row r="772" spans="2:13" ht="42.75" customHeight="1" x14ac:dyDescent="0.3">
      <c r="B772" s="4" t="s">
        <v>747</v>
      </c>
      <c r="C772" s="4" t="s">
        <v>745</v>
      </c>
      <c r="D772" s="4" t="s">
        <v>746</v>
      </c>
      <c r="E772" s="5" t="s">
        <v>200</v>
      </c>
      <c r="F772" s="6">
        <f>'HLCC PC'!BH8</f>
        <v>279.60523382833327</v>
      </c>
      <c r="G772" s="7" t="s">
        <v>190</v>
      </c>
      <c r="H772" s="6">
        <f>'HLCC PC'!CD8</f>
        <v>359.60523382833327</v>
      </c>
      <c r="I772" s="369">
        <f>'HLCC PC'!BF8</f>
        <v>1</v>
      </c>
      <c r="J772" s="368"/>
      <c r="K772" s="367">
        <f t="shared" si="13"/>
        <v>279.60523382833327</v>
      </c>
      <c r="L772" s="367">
        <f>$F772-'HLCC PC'!BG8</f>
        <v>176.27190049500001</v>
      </c>
      <c r="M772" s="367">
        <f>IFERROR('HLCC PC'!BG8*'HLCC PC'!BF8,0)</f>
        <v>103.33333333333326</v>
      </c>
    </row>
    <row r="773" spans="2:13" ht="42.75" customHeight="1" x14ac:dyDescent="0.3">
      <c r="B773" s="4" t="s">
        <v>748</v>
      </c>
      <c r="C773" s="4" t="s">
        <v>745</v>
      </c>
      <c r="D773" s="4" t="s">
        <v>746</v>
      </c>
      <c r="E773" s="5" t="s">
        <v>185</v>
      </c>
      <c r="F773" s="6">
        <f>'HLCC PC'!BH9</f>
        <v>318.28119737733323</v>
      </c>
      <c r="G773" s="7" t="s">
        <v>190</v>
      </c>
      <c r="H773" s="6">
        <f>'HLCC PC'!CD9</f>
        <v>398.28119737733323</v>
      </c>
      <c r="I773" s="369">
        <f>'HLCC PC'!BF9</f>
        <v>1</v>
      </c>
      <c r="J773" s="368"/>
      <c r="K773" s="367">
        <f t="shared" si="13"/>
        <v>318.28119737733323</v>
      </c>
      <c r="L773" s="367">
        <f>$F773-'HLCC PC'!BG9</f>
        <v>214.94786404399997</v>
      </c>
      <c r="M773" s="367">
        <f>IFERROR('HLCC PC'!BG9*'HLCC PC'!BF9,0)</f>
        <v>103.33333333333326</v>
      </c>
    </row>
    <row r="774" spans="2:13" ht="42.75" customHeight="1" x14ac:dyDescent="0.3">
      <c r="B774" s="4" t="s">
        <v>749</v>
      </c>
      <c r="C774" s="4" t="s">
        <v>745</v>
      </c>
      <c r="D774" s="4" t="s">
        <v>746</v>
      </c>
      <c r="E774" s="5" t="s">
        <v>39</v>
      </c>
      <c r="F774" s="6">
        <f>'HLCC PC'!BH10</f>
        <v>412.63343333333324</v>
      </c>
      <c r="G774" s="7" t="s">
        <v>190</v>
      </c>
      <c r="H774" s="6">
        <f>'HLCC PC'!CD10</f>
        <v>492.63343333333324</v>
      </c>
      <c r="I774" s="369">
        <f>'HLCC PC'!BF10</f>
        <v>1</v>
      </c>
      <c r="J774" s="368"/>
      <c r="K774" s="367">
        <f t="shared" si="13"/>
        <v>412.63343333333324</v>
      </c>
      <c r="L774" s="367">
        <f>$F774-'HLCC PC'!BG10</f>
        <v>309.30009999999999</v>
      </c>
      <c r="M774" s="367">
        <f>IFERROR('HLCC PC'!BG10*'HLCC PC'!BF10,0)</f>
        <v>103.33333333333326</v>
      </c>
    </row>
    <row r="775" spans="2:13" ht="42.75" customHeight="1" x14ac:dyDescent="0.3">
      <c r="B775" s="4" t="s">
        <v>750</v>
      </c>
      <c r="C775" s="4" t="s">
        <v>745</v>
      </c>
      <c r="D775" s="4" t="s">
        <v>746</v>
      </c>
      <c r="E775" s="5" t="s">
        <v>300</v>
      </c>
      <c r="F775" s="6">
        <f>'HLCC PC'!BH11</f>
        <v>455.44541483333319</v>
      </c>
      <c r="G775" s="7" t="s">
        <v>190</v>
      </c>
      <c r="H775" s="6">
        <f>'HLCC PC'!CD11</f>
        <v>535.44541483333319</v>
      </c>
      <c r="I775" s="369">
        <f>'HLCC PC'!BF11</f>
        <v>1</v>
      </c>
      <c r="J775" s="368"/>
      <c r="K775" s="367">
        <f t="shared" si="13"/>
        <v>455.44541483333319</v>
      </c>
      <c r="L775" s="367">
        <f>$F775-'HLCC PC'!BG11</f>
        <v>352.11208149999993</v>
      </c>
      <c r="M775" s="367">
        <f>IFERROR('HLCC PC'!BG11*'HLCC PC'!BF11,0)</f>
        <v>103.33333333333326</v>
      </c>
    </row>
    <row r="776" spans="2:13" ht="42.75" customHeight="1" x14ac:dyDescent="0.3">
      <c r="B776" s="4" t="s">
        <v>751</v>
      </c>
      <c r="C776" s="4" t="s">
        <v>745</v>
      </c>
      <c r="D776" s="4" t="s">
        <v>746</v>
      </c>
      <c r="E776" s="5" t="s">
        <v>41</v>
      </c>
      <c r="F776" s="6">
        <f>'HLCC PC'!BH12</f>
        <v>514.7220433333332</v>
      </c>
      <c r="G776" s="7" t="s">
        <v>190</v>
      </c>
      <c r="H776" s="6">
        <f>'HLCC PC'!CD12</f>
        <v>594.7220433333332</v>
      </c>
      <c r="I776" s="369">
        <f>'HLCC PC'!BF12</f>
        <v>1</v>
      </c>
      <c r="J776" s="368"/>
      <c r="K776" s="367">
        <f t="shared" si="13"/>
        <v>514.7220433333332</v>
      </c>
      <c r="L776" s="367">
        <f>$F776-'HLCC PC'!BG12</f>
        <v>411.38870999999995</v>
      </c>
      <c r="M776" s="367">
        <f>IFERROR('HLCC PC'!BG12*'HLCC PC'!BF12,0)</f>
        <v>103.33333333333326</v>
      </c>
    </row>
    <row r="777" spans="2:13" ht="42.75" customHeight="1" x14ac:dyDescent="0.3">
      <c r="B777" s="4" t="s">
        <v>752</v>
      </c>
      <c r="C777" s="4" t="s">
        <v>745</v>
      </c>
      <c r="D777" s="4" t="s">
        <v>746</v>
      </c>
      <c r="E777" s="5" t="s">
        <v>743</v>
      </c>
      <c r="F777" s="6">
        <f>'HLCC PC'!BH13</f>
        <v>631.23871833333328</v>
      </c>
      <c r="G777" s="7" t="s">
        <v>190</v>
      </c>
      <c r="H777" s="6">
        <f>'HLCC PC'!CD13</f>
        <v>711.23871833333328</v>
      </c>
      <c r="I777" s="369">
        <f>'HLCC PC'!BF13</f>
        <v>1</v>
      </c>
      <c r="J777" s="368"/>
      <c r="K777" s="367">
        <f t="shared" si="13"/>
        <v>631.23871833333328</v>
      </c>
      <c r="L777" s="367">
        <f>$F777-'HLCC PC'!BG13</f>
        <v>497.90538499999997</v>
      </c>
      <c r="M777" s="367">
        <f>IFERROR('HLCC PC'!BG13*'HLCC PC'!BF13,0)</f>
        <v>133.33333333333331</v>
      </c>
    </row>
    <row r="778" spans="2:13" ht="45.6" x14ac:dyDescent="0.3">
      <c r="B778" s="4" t="s">
        <v>1592</v>
      </c>
      <c r="C778" s="4" t="s">
        <v>1530</v>
      </c>
      <c r="D778" s="4" t="s">
        <v>1534</v>
      </c>
      <c r="E778" s="5">
        <f>'PU CAST'!$AB$90</f>
        <v>2</v>
      </c>
      <c r="F778" s="6">
        <f>'PU CAST'!$AI$90</f>
        <v>145.11601666666655</v>
      </c>
      <c r="G778" s="7" t="s">
        <v>1538</v>
      </c>
      <c r="H778" s="6" t="s">
        <v>1644</v>
      </c>
      <c r="I778" s="369">
        <f>'PU CAST'!AG90</f>
        <v>1</v>
      </c>
      <c r="J778" s="368"/>
      <c r="K778" s="367">
        <f t="shared" si="13"/>
        <v>145.11601666666655</v>
      </c>
      <c r="L778" s="367">
        <f>$F778-'PU CAST'!AH90</f>
        <v>8.4493500000000097</v>
      </c>
      <c r="M778" s="367">
        <f>IFERROR('PU CAST'!AH90*'PU CAST'!AG90,0)</f>
        <v>136.66666666666654</v>
      </c>
    </row>
    <row r="779" spans="2:13" ht="45.6" x14ac:dyDescent="0.3">
      <c r="B779" s="4" t="s">
        <v>1593</v>
      </c>
      <c r="C779" s="4" t="s">
        <v>1530</v>
      </c>
      <c r="D779" s="4" t="s">
        <v>1534</v>
      </c>
      <c r="E779" s="5">
        <f>'PU CAST'!$AB$91</f>
        <v>3</v>
      </c>
      <c r="F779" s="6">
        <f>'PU CAST'!$AI$91</f>
        <v>154.83276916666654</v>
      </c>
      <c r="G779" s="7" t="s">
        <v>1539</v>
      </c>
      <c r="H779" s="6" t="s">
        <v>1644</v>
      </c>
      <c r="I779" s="369">
        <f>'PU CAST'!AG91</f>
        <v>1</v>
      </c>
      <c r="J779" s="368"/>
      <c r="K779" s="367">
        <f t="shared" si="13"/>
        <v>154.83276916666654</v>
      </c>
      <c r="L779" s="367">
        <f>$F779-'PU CAST'!AH91</f>
        <v>18.166102499999994</v>
      </c>
      <c r="M779" s="367">
        <f>IFERROR('PU CAST'!AH91*'PU CAST'!AG91,0)</f>
        <v>136.66666666666654</v>
      </c>
    </row>
    <row r="780" spans="2:13" ht="45.6" x14ac:dyDescent="0.3">
      <c r="B780" s="4" t="s">
        <v>1594</v>
      </c>
      <c r="C780" s="4" t="s">
        <v>1530</v>
      </c>
      <c r="D780" s="4" t="s">
        <v>1534</v>
      </c>
      <c r="E780" s="5">
        <f>'PU CAST'!$AB$92</f>
        <v>4</v>
      </c>
      <c r="F780" s="6">
        <f>'PU CAST'!$AI$92</f>
        <v>174.68874166666654</v>
      </c>
      <c r="G780" s="7" t="s">
        <v>1540</v>
      </c>
      <c r="H780" s="6" t="s">
        <v>1644</v>
      </c>
      <c r="I780" s="369">
        <f>'PU CAST'!AG92</f>
        <v>1</v>
      </c>
      <c r="J780" s="368"/>
      <c r="K780" s="367">
        <f t="shared" si="13"/>
        <v>174.68874166666654</v>
      </c>
      <c r="L780" s="367">
        <f>$F780-'PU CAST'!AH92</f>
        <v>38.022075000000001</v>
      </c>
      <c r="M780" s="367">
        <f>IFERROR('PU CAST'!AH92*'PU CAST'!AG92,0)</f>
        <v>136.66666666666654</v>
      </c>
    </row>
    <row r="781" spans="2:13" ht="45.6" x14ac:dyDescent="0.3">
      <c r="B781" s="4" t="s">
        <v>1595</v>
      </c>
      <c r="C781" s="4" t="s">
        <v>1530</v>
      </c>
      <c r="D781" s="4" t="s">
        <v>1534</v>
      </c>
      <c r="E781" s="5" t="str">
        <f>'PU CAST'!$AB$93</f>
        <v>4.25</v>
      </c>
      <c r="F781" s="6">
        <f>'PU CAST'!$AI$93</f>
        <v>175.11120916666655</v>
      </c>
      <c r="G781" s="7" t="s">
        <v>1541</v>
      </c>
      <c r="H781" s="6" t="s">
        <v>1644</v>
      </c>
      <c r="I781" s="369">
        <f>'PU CAST'!AG93</f>
        <v>1</v>
      </c>
      <c r="J781" s="368"/>
      <c r="K781" s="367">
        <f t="shared" si="13"/>
        <v>175.11120916666655</v>
      </c>
      <c r="L781" s="367">
        <f>$F781-'PU CAST'!AH93</f>
        <v>38.444542500000011</v>
      </c>
      <c r="M781" s="367">
        <f>IFERROR('PU CAST'!AH93*'PU CAST'!AG93,0)</f>
        <v>136.66666666666654</v>
      </c>
    </row>
    <row r="782" spans="2:13" ht="45.6" x14ac:dyDescent="0.3">
      <c r="B782" s="4" t="s">
        <v>1596</v>
      </c>
      <c r="C782" s="4" t="s">
        <v>1530</v>
      </c>
      <c r="D782" s="4" t="s">
        <v>1534</v>
      </c>
      <c r="E782" s="5">
        <f>'PU CAST'!$AB$94</f>
        <v>5.74</v>
      </c>
      <c r="F782" s="6">
        <f>'PU CAST'!$AI$94</f>
        <v>229.60951666666654</v>
      </c>
      <c r="G782" s="7" t="s">
        <v>1542</v>
      </c>
      <c r="H782" s="6" t="s">
        <v>1644</v>
      </c>
      <c r="I782" s="369">
        <f>'PU CAST'!AG94</f>
        <v>1</v>
      </c>
      <c r="J782" s="368"/>
      <c r="K782" s="367">
        <f t="shared" si="13"/>
        <v>229.60951666666654</v>
      </c>
      <c r="L782" s="367">
        <f>$F782-'PU CAST'!AH94</f>
        <v>92.942849999999993</v>
      </c>
      <c r="M782" s="367">
        <f>IFERROR('PU CAST'!AH94*'PU CAST'!AG94,0)</f>
        <v>136.66666666666654</v>
      </c>
    </row>
    <row r="783" spans="2:13" ht="45.6" x14ac:dyDescent="0.3">
      <c r="B783" s="4" t="s">
        <v>1597</v>
      </c>
      <c r="C783" s="4" t="s">
        <v>1530</v>
      </c>
      <c r="D783" s="4" t="s">
        <v>1534</v>
      </c>
      <c r="E783" s="5">
        <f>'PU CAST'!$AB$95</f>
        <v>8</v>
      </c>
      <c r="F783" s="6">
        <f>'PU CAST'!$AI$95</f>
        <v>478.8653416666665</v>
      </c>
      <c r="G783" s="7" t="s">
        <v>1543</v>
      </c>
      <c r="H783" s="6" t="s">
        <v>1644</v>
      </c>
      <c r="I783" s="369">
        <f>'PU CAST'!AG95</f>
        <v>1</v>
      </c>
      <c r="J783" s="368"/>
      <c r="K783" s="367">
        <f t="shared" si="13"/>
        <v>478.8653416666665</v>
      </c>
      <c r="L783" s="367">
        <f>$F783-'PU CAST'!AH95</f>
        <v>342.19867499999998</v>
      </c>
      <c r="M783" s="367">
        <f>IFERROR('PU CAST'!AH95*'PU CAST'!AG95,0)</f>
        <v>136.66666666666654</v>
      </c>
    </row>
    <row r="784" spans="2:13" ht="45.6" x14ac:dyDescent="0.3">
      <c r="B784" s="4" t="s">
        <v>1598</v>
      </c>
      <c r="C784" s="4" t="s">
        <v>1530</v>
      </c>
      <c r="D784" s="4" t="s">
        <v>1534</v>
      </c>
      <c r="E784" s="5">
        <f>'PU CAST'!$AB$96</f>
        <v>11</v>
      </c>
      <c r="F784" s="6">
        <f>'PU CAST'!$AI$96</f>
        <v>626.72896666666657</v>
      </c>
      <c r="G784" s="7" t="s">
        <v>1544</v>
      </c>
      <c r="H784" s="6" t="s">
        <v>1644</v>
      </c>
      <c r="I784" s="369">
        <f>'PU CAST'!AG96</f>
        <v>1</v>
      </c>
      <c r="J784" s="368"/>
      <c r="K784" s="367">
        <f t="shared" si="13"/>
        <v>626.72896666666657</v>
      </c>
      <c r="L784" s="367">
        <f>$F784-'PU CAST'!AH96</f>
        <v>490.06230000000005</v>
      </c>
      <c r="M784" s="367">
        <f>IFERROR('PU CAST'!AH96*'PU CAST'!AG96,0)</f>
        <v>136.66666666666654</v>
      </c>
    </row>
    <row r="785" spans="2:13" ht="45.6" x14ac:dyDescent="0.3">
      <c r="B785" s="4" t="s">
        <v>1599</v>
      </c>
      <c r="C785" s="4" t="s">
        <v>1531</v>
      </c>
      <c r="D785" s="4" t="s">
        <v>1535</v>
      </c>
      <c r="E785" s="5">
        <f>'PU CAST'!$AB$97</f>
        <v>3</v>
      </c>
      <c r="F785" s="6">
        <f>'PU CAST'!$AI$97</f>
        <v>159.90237916666655</v>
      </c>
      <c r="G785" s="7" t="s">
        <v>1545</v>
      </c>
      <c r="H785" s="6" t="s">
        <v>1644</v>
      </c>
      <c r="I785" s="369">
        <f>'PU CAST'!AG97</f>
        <v>1</v>
      </c>
      <c r="J785" s="368"/>
      <c r="K785" s="367">
        <f t="shared" si="13"/>
        <v>159.90237916666655</v>
      </c>
      <c r="L785" s="367">
        <f>$F785-'PU CAST'!AH97</f>
        <v>23.235712500000005</v>
      </c>
      <c r="M785" s="367">
        <f>IFERROR('PU CAST'!AH97*'PU CAST'!AG97,0)</f>
        <v>136.66666666666654</v>
      </c>
    </row>
    <row r="786" spans="2:13" ht="45.6" x14ac:dyDescent="0.3">
      <c r="B786" s="4" t="s">
        <v>1600</v>
      </c>
      <c r="C786" s="4" t="s">
        <v>1531</v>
      </c>
      <c r="D786" s="4" t="s">
        <v>1535</v>
      </c>
      <c r="E786" s="5" t="str">
        <f>'PU CAST'!$AB$98</f>
        <v>3.5</v>
      </c>
      <c r="F786" s="6">
        <f>'PU CAST'!$AI$98</f>
        <v>157.79004166666655</v>
      </c>
      <c r="G786" s="7" t="s">
        <v>1546</v>
      </c>
      <c r="H786" s="6" t="s">
        <v>1644</v>
      </c>
      <c r="I786" s="369">
        <f>'PU CAST'!AG98</f>
        <v>1</v>
      </c>
      <c r="J786" s="368"/>
      <c r="K786" s="367">
        <f t="shared" si="13"/>
        <v>157.79004166666655</v>
      </c>
      <c r="L786" s="367">
        <f>$F786-'PU CAST'!AH98</f>
        <v>21.12337500000001</v>
      </c>
      <c r="M786" s="367">
        <f>IFERROR('PU CAST'!AH98*'PU CAST'!AG98,0)</f>
        <v>136.66666666666654</v>
      </c>
    </row>
    <row r="787" spans="2:13" ht="45.6" x14ac:dyDescent="0.3">
      <c r="B787" s="4" t="s">
        <v>1601</v>
      </c>
      <c r="C787" s="4" t="s">
        <v>1531</v>
      </c>
      <c r="D787" s="4" t="s">
        <v>1535</v>
      </c>
      <c r="E787" s="5">
        <f>'PU CAST'!$AB$99</f>
        <v>4.17</v>
      </c>
      <c r="F787" s="6">
        <f>'PU CAST'!$AI$99</f>
        <v>166.49287216666653</v>
      </c>
      <c r="G787" s="7" t="s">
        <v>1547</v>
      </c>
      <c r="H787" s="6" t="s">
        <v>1644</v>
      </c>
      <c r="I787" s="369">
        <f>'PU CAST'!AG99</f>
        <v>1</v>
      </c>
      <c r="J787" s="368"/>
      <c r="K787" s="367">
        <f t="shared" si="13"/>
        <v>166.49287216666653</v>
      </c>
      <c r="L787" s="367">
        <f>$F787-'PU CAST'!AH99</f>
        <v>29.826205499999986</v>
      </c>
      <c r="M787" s="367">
        <f>IFERROR('PU CAST'!AH99*'PU CAST'!AG99,0)</f>
        <v>136.66666666666654</v>
      </c>
    </row>
    <row r="788" spans="2:13" ht="45.6" x14ac:dyDescent="0.3">
      <c r="B788" s="4" t="s">
        <v>1602</v>
      </c>
      <c r="C788" s="4" t="s">
        <v>1531</v>
      </c>
      <c r="D788" s="4" t="s">
        <v>1535</v>
      </c>
      <c r="E788" s="5">
        <f>'PU CAST'!$AB$100</f>
        <v>4.25</v>
      </c>
      <c r="F788" s="6">
        <f>'PU CAST'!$AI$100</f>
        <v>189.47510416666654</v>
      </c>
      <c r="G788" s="7" t="s">
        <v>1548</v>
      </c>
      <c r="H788" s="6" t="s">
        <v>1644</v>
      </c>
      <c r="I788" s="369">
        <f>'PU CAST'!AG100</f>
        <v>1</v>
      </c>
      <c r="J788" s="368"/>
      <c r="K788" s="367">
        <f t="shared" si="13"/>
        <v>189.47510416666654</v>
      </c>
      <c r="L788" s="367">
        <f>$F788-'PU CAST'!AH100</f>
        <v>52.808437499999997</v>
      </c>
      <c r="M788" s="367">
        <f>IFERROR('PU CAST'!AH100*'PU CAST'!AG100,0)</f>
        <v>136.66666666666654</v>
      </c>
    </row>
    <row r="789" spans="2:13" ht="45.6" x14ac:dyDescent="0.3">
      <c r="B789" s="4" t="s">
        <v>1603</v>
      </c>
      <c r="C789" s="4" t="s">
        <v>1531</v>
      </c>
      <c r="D789" s="4" t="s">
        <v>1535</v>
      </c>
      <c r="E789" s="5">
        <f>'PU CAST'!$AB$101</f>
        <v>4.4000000000000004</v>
      </c>
      <c r="F789" s="6">
        <f>'PU CAST'!$AI$101</f>
        <v>175.53367666666654</v>
      </c>
      <c r="G789" s="7" t="s">
        <v>1549</v>
      </c>
      <c r="H789" s="6" t="s">
        <v>1644</v>
      </c>
      <c r="I789" s="369">
        <f>'PU CAST'!AG101</f>
        <v>1</v>
      </c>
      <c r="J789" s="368"/>
      <c r="K789" s="367">
        <f t="shared" si="13"/>
        <v>175.53367666666654</v>
      </c>
      <c r="L789" s="367">
        <f>$F789-'PU CAST'!AH101</f>
        <v>38.867009999999993</v>
      </c>
      <c r="M789" s="367">
        <f>IFERROR('PU CAST'!AH101*'PU CAST'!AG101,0)</f>
        <v>136.66666666666654</v>
      </c>
    </row>
    <row r="790" spans="2:13" ht="45.6" x14ac:dyDescent="0.3">
      <c r="B790" s="4" t="s">
        <v>1604</v>
      </c>
      <c r="C790" s="4" t="s">
        <v>1531</v>
      </c>
      <c r="D790" s="4" t="s">
        <v>1535</v>
      </c>
      <c r="E790" s="5">
        <f>'PU CAST'!$AB$102</f>
        <v>6.37</v>
      </c>
      <c r="F790" s="6">
        <f>'PU CAST'!$AI$102</f>
        <v>246.50821666666656</v>
      </c>
      <c r="G790" s="7" t="s">
        <v>1550</v>
      </c>
      <c r="H790" s="6" t="s">
        <v>1644</v>
      </c>
      <c r="I790" s="369">
        <f>'PU CAST'!AG102</f>
        <v>1</v>
      </c>
      <c r="J790" s="368"/>
      <c r="K790" s="367">
        <f t="shared" si="13"/>
        <v>246.50821666666656</v>
      </c>
      <c r="L790" s="367">
        <f>$F790-'PU CAST'!AH102</f>
        <v>109.84155000000001</v>
      </c>
      <c r="M790" s="367">
        <f>IFERROR('PU CAST'!AH102*'PU CAST'!AG102,0)</f>
        <v>136.66666666666654</v>
      </c>
    </row>
    <row r="791" spans="2:13" ht="45.6" x14ac:dyDescent="0.3">
      <c r="B791" s="4" t="s">
        <v>1605</v>
      </c>
      <c r="C791" s="4" t="s">
        <v>1532</v>
      </c>
      <c r="D791" s="4" t="s">
        <v>1536</v>
      </c>
      <c r="E791" s="5" t="str">
        <f>'PU CAST'!$AB$103</f>
        <v>2”</v>
      </c>
      <c r="F791" s="6">
        <f>'PU CAST'!$AI$103</f>
        <v>14.760069166666653</v>
      </c>
      <c r="G791" s="7" t="s">
        <v>1551</v>
      </c>
      <c r="H791" s="6" t="s">
        <v>1644</v>
      </c>
      <c r="I791" s="369">
        <f>'PU CAST'!AG103</f>
        <v>10</v>
      </c>
      <c r="J791" s="368"/>
      <c r="K791" s="367">
        <f t="shared" si="13"/>
        <v>14.760069166666653</v>
      </c>
      <c r="L791" s="367">
        <f>$F791-'PU CAST'!AH103</f>
        <v>1.0934024999999998</v>
      </c>
      <c r="M791" s="367">
        <f>IFERROR('PU CAST'!AH103*'PU CAST'!AG103,0)</f>
        <v>136.66666666666654</v>
      </c>
    </row>
    <row r="792" spans="2:13" ht="45.6" x14ac:dyDescent="0.3">
      <c r="B792" s="4" t="s">
        <v>1606</v>
      </c>
      <c r="C792" s="4" t="s">
        <v>1532</v>
      </c>
      <c r="D792" s="4" t="s">
        <v>1536</v>
      </c>
      <c r="E792" s="5" t="str">
        <f>'PU CAST'!$AB$104</f>
        <v>3”</v>
      </c>
      <c r="F792" s="6">
        <f>'PU CAST'!$AI$104</f>
        <v>15.853471666666653</v>
      </c>
      <c r="G792" s="7" t="s">
        <v>1552</v>
      </c>
      <c r="H792" s="6" t="s">
        <v>1644</v>
      </c>
      <c r="I792" s="369">
        <f>'PU CAST'!AG104</f>
        <v>10</v>
      </c>
      <c r="J792" s="368"/>
      <c r="K792" s="367">
        <f t="shared" si="13"/>
        <v>15.853471666666653</v>
      </c>
      <c r="L792" s="367">
        <f>$F792-'PU CAST'!AH104</f>
        <v>2.1868049999999997</v>
      </c>
      <c r="M792" s="367">
        <f>IFERROR('PU CAST'!AH104*'PU CAST'!AG104,0)</f>
        <v>136.66666666666654</v>
      </c>
    </row>
    <row r="793" spans="2:13" ht="45.6" x14ac:dyDescent="0.3">
      <c r="B793" s="4" t="s">
        <v>1607</v>
      </c>
      <c r="C793" s="4" t="s">
        <v>1532</v>
      </c>
      <c r="D793" s="4" t="s">
        <v>1536</v>
      </c>
      <c r="E793" s="5" t="str">
        <f>'PU CAST'!$AB$105</f>
        <v>4”</v>
      </c>
      <c r="F793" s="6">
        <f>'PU CAST'!$AI$105</f>
        <v>17.311341666666653</v>
      </c>
      <c r="G793" s="7" t="s">
        <v>1553</v>
      </c>
      <c r="H793" s="6" t="s">
        <v>1644</v>
      </c>
      <c r="I793" s="369">
        <f>'PU CAST'!AG105</f>
        <v>10</v>
      </c>
      <c r="J793" s="368"/>
      <c r="K793" s="367">
        <f t="shared" si="13"/>
        <v>17.311341666666653</v>
      </c>
      <c r="L793" s="367">
        <f>$F793-'PU CAST'!AH105</f>
        <v>3.6446749999999994</v>
      </c>
      <c r="M793" s="367">
        <f>IFERROR('PU CAST'!AH105*'PU CAST'!AG105,0)</f>
        <v>136.66666666666654</v>
      </c>
    </row>
    <row r="794" spans="2:13" ht="45.6" x14ac:dyDescent="0.3">
      <c r="B794" s="4" t="s">
        <v>1608</v>
      </c>
      <c r="C794" s="4" t="s">
        <v>1532</v>
      </c>
      <c r="D794" s="4" t="s">
        <v>1536</v>
      </c>
      <c r="E794" s="5" t="str">
        <f>'PU CAST'!$AB$106</f>
        <v>6”</v>
      </c>
      <c r="F794" s="6">
        <f>'PU CAST'!$AI$106</f>
        <v>151.24536666666654</v>
      </c>
      <c r="G794" s="7" t="s">
        <v>1554</v>
      </c>
      <c r="H794" s="6" t="s">
        <v>1644</v>
      </c>
      <c r="I794" s="369">
        <f>'PU CAST'!AG106</f>
        <v>1</v>
      </c>
      <c r="J794" s="368"/>
      <c r="K794" s="367">
        <f t="shared" si="13"/>
        <v>151.24536666666654</v>
      </c>
      <c r="L794" s="367">
        <f>$F794-'PU CAST'!AH106</f>
        <v>14.578699999999998</v>
      </c>
      <c r="M794" s="367">
        <f>IFERROR('PU CAST'!AH106*'PU CAST'!AG106,0)</f>
        <v>136.66666666666654</v>
      </c>
    </row>
    <row r="795" spans="2:13" ht="45.6" x14ac:dyDescent="0.3">
      <c r="B795" s="4" t="s">
        <v>1609</v>
      </c>
      <c r="C795" s="4" t="s">
        <v>1532</v>
      </c>
      <c r="D795" s="4" t="s">
        <v>1536</v>
      </c>
      <c r="E795" s="5" t="str">
        <f>'PU CAST'!$AB$107</f>
        <v>8”</v>
      </c>
      <c r="F795" s="6">
        <f>'PU CAST'!$AI$107</f>
        <v>165.82406666666654</v>
      </c>
      <c r="G795" s="7" t="s">
        <v>1555</v>
      </c>
      <c r="H795" s="6" t="s">
        <v>1644</v>
      </c>
      <c r="I795" s="369">
        <f>'PU CAST'!AG107</f>
        <v>1</v>
      </c>
      <c r="J795" s="368"/>
      <c r="K795" s="367">
        <f t="shared" si="13"/>
        <v>165.82406666666654</v>
      </c>
      <c r="L795" s="367">
        <f>$F795-'PU CAST'!AH107</f>
        <v>29.157399999999996</v>
      </c>
      <c r="M795" s="367">
        <f>IFERROR('PU CAST'!AH107*'PU CAST'!AG107,0)</f>
        <v>136.66666666666654</v>
      </c>
    </row>
    <row r="796" spans="2:13" ht="45.6" x14ac:dyDescent="0.3">
      <c r="B796" s="4" t="s">
        <v>1610</v>
      </c>
      <c r="C796" s="4" t="s">
        <v>1532</v>
      </c>
      <c r="D796" s="4" t="s">
        <v>1536</v>
      </c>
      <c r="E796" s="5" t="str">
        <f>'PU CAST'!$AB$108</f>
        <v>10”</v>
      </c>
      <c r="F796" s="6">
        <f>'PU CAST'!$AI$108</f>
        <v>191.33679166666656</v>
      </c>
      <c r="G796" s="7" t="s">
        <v>1556</v>
      </c>
      <c r="H796" s="6" t="s">
        <v>1644</v>
      </c>
      <c r="I796" s="369">
        <f>'PU CAST'!AG108</f>
        <v>1</v>
      </c>
      <c r="J796" s="368"/>
      <c r="K796" s="367">
        <f t="shared" si="13"/>
        <v>191.33679166666656</v>
      </c>
      <c r="L796" s="367">
        <f>$F796-'PU CAST'!AH108</f>
        <v>54.670125000000013</v>
      </c>
      <c r="M796" s="367">
        <f>IFERROR('PU CAST'!AH108*'PU CAST'!AG108,0)</f>
        <v>136.66666666666654</v>
      </c>
    </row>
    <row r="797" spans="2:13" ht="45.6" x14ac:dyDescent="0.3">
      <c r="B797" s="4" t="s">
        <v>1611</v>
      </c>
      <c r="C797" s="4" t="s">
        <v>1532</v>
      </c>
      <c r="D797" s="4" t="s">
        <v>1536</v>
      </c>
      <c r="E797" s="5" t="str">
        <f>'PU CAST'!$AB$109</f>
        <v>12"</v>
      </c>
      <c r="F797" s="6">
        <f>'PU CAST'!$AI$109</f>
        <v>235.07289166666655</v>
      </c>
      <c r="G797" s="7" t="s">
        <v>1557</v>
      </c>
      <c r="H797" s="6" t="s">
        <v>1644</v>
      </c>
      <c r="I797" s="369">
        <f>'PU CAST'!AG109</f>
        <v>1</v>
      </c>
      <c r="J797" s="368"/>
      <c r="K797" s="367">
        <f t="shared" si="13"/>
        <v>235.07289166666655</v>
      </c>
      <c r="L797" s="367">
        <f>$F797-'PU CAST'!AH109</f>
        <v>98.406225000000006</v>
      </c>
      <c r="M797" s="367">
        <f>IFERROR('PU CAST'!AH109*'PU CAST'!AG109,0)</f>
        <v>136.66666666666654</v>
      </c>
    </row>
    <row r="798" spans="2:13" ht="45.6" x14ac:dyDescent="0.3">
      <c r="B798" s="4" t="s">
        <v>1612</v>
      </c>
      <c r="C798" s="4" t="s">
        <v>1532</v>
      </c>
      <c r="D798" s="4" t="s">
        <v>1536</v>
      </c>
      <c r="E798" s="5" t="str">
        <f>'PU CAST'!$AB$110</f>
        <v>14”</v>
      </c>
      <c r="F798" s="6">
        <f>'PU CAST'!$AI$110</f>
        <v>242.36224166666653</v>
      </c>
      <c r="G798" s="7" t="s">
        <v>1558</v>
      </c>
      <c r="H798" s="6" t="s">
        <v>1644</v>
      </c>
      <c r="I798" s="369">
        <f>'PU CAST'!AG110</f>
        <v>1</v>
      </c>
      <c r="J798" s="368"/>
      <c r="K798" s="367">
        <f t="shared" si="13"/>
        <v>242.36224166666653</v>
      </c>
      <c r="L798" s="367">
        <f>$F798-'PU CAST'!AH110</f>
        <v>105.69557499999999</v>
      </c>
      <c r="M798" s="367">
        <f>IFERROR('PU CAST'!AH110*'PU CAST'!AG110,0)</f>
        <v>136.66666666666654</v>
      </c>
    </row>
    <row r="799" spans="2:13" ht="45.6" x14ac:dyDescent="0.3">
      <c r="B799" s="4" t="s">
        <v>1613</v>
      </c>
      <c r="C799" s="4" t="s">
        <v>1532</v>
      </c>
      <c r="D799" s="4" t="s">
        <v>1536</v>
      </c>
      <c r="E799" s="5" t="str">
        <f>'PU CAST'!$AB$111</f>
        <v>16”</v>
      </c>
      <c r="F799" s="6">
        <f>'PU CAST'!$AI$111</f>
        <v>348.05781666666655</v>
      </c>
      <c r="G799" s="7" t="s">
        <v>1559</v>
      </c>
      <c r="H799" s="6" t="s">
        <v>1644</v>
      </c>
      <c r="I799" s="369">
        <f>'PU CAST'!AG111</f>
        <v>1</v>
      </c>
      <c r="J799" s="368"/>
      <c r="K799" s="367">
        <f t="shared" si="13"/>
        <v>348.05781666666655</v>
      </c>
      <c r="L799" s="367">
        <f>$F799-'PU CAST'!AH111</f>
        <v>211.39115000000001</v>
      </c>
      <c r="M799" s="367">
        <f>IFERROR('PU CAST'!AH111*'PU CAST'!AG111,0)</f>
        <v>136.66666666666654</v>
      </c>
    </row>
    <row r="800" spans="2:13" ht="45.6" x14ac:dyDescent="0.3">
      <c r="B800" s="4" t="s">
        <v>1614</v>
      </c>
      <c r="C800" s="4" t="s">
        <v>1532</v>
      </c>
      <c r="D800" s="4" t="s">
        <v>1536</v>
      </c>
      <c r="E800" s="5" t="str">
        <f>'PU CAST'!$AB$112</f>
        <v>18”</v>
      </c>
      <c r="F800" s="6">
        <f>'PU CAST'!$AI$112</f>
        <v>369.92586666666659</v>
      </c>
      <c r="G800" s="7" t="s">
        <v>1560</v>
      </c>
      <c r="H800" s="6" t="s">
        <v>1644</v>
      </c>
      <c r="I800" s="369">
        <f>'PU CAST'!AG112</f>
        <v>1</v>
      </c>
      <c r="J800" s="368"/>
      <c r="K800" s="367">
        <f t="shared" si="13"/>
        <v>369.92586666666659</v>
      </c>
      <c r="L800" s="367">
        <f>$F800-'PU CAST'!AH112</f>
        <v>233.25920000000005</v>
      </c>
      <c r="M800" s="367">
        <f>IFERROR('PU CAST'!AH112*'PU CAST'!AG112,0)</f>
        <v>136.66666666666654</v>
      </c>
    </row>
    <row r="801" spans="2:13" ht="45.6" x14ac:dyDescent="0.3">
      <c r="B801" s="4" t="s">
        <v>1615</v>
      </c>
      <c r="C801" s="4" t="s">
        <v>1532</v>
      </c>
      <c r="D801" s="4" t="s">
        <v>1536</v>
      </c>
      <c r="E801" s="5" t="str">
        <f>'PU CAST'!$AB$113</f>
        <v>20”</v>
      </c>
      <c r="F801" s="6">
        <f>'PU CAST'!$AI$113</f>
        <v>439.1746916666666</v>
      </c>
      <c r="G801" s="7" t="s">
        <v>1561</v>
      </c>
      <c r="H801" s="6" t="s">
        <v>1644</v>
      </c>
      <c r="I801" s="369">
        <f>'PU CAST'!AG113</f>
        <v>1</v>
      </c>
      <c r="J801" s="368"/>
      <c r="K801" s="367">
        <f t="shared" si="13"/>
        <v>439.1746916666666</v>
      </c>
      <c r="L801" s="367">
        <f>$F801-'PU CAST'!AH113</f>
        <v>302.50802500000009</v>
      </c>
      <c r="M801" s="367">
        <f>IFERROR('PU CAST'!AH113*'PU CAST'!AG113,0)</f>
        <v>136.66666666666654</v>
      </c>
    </row>
    <row r="802" spans="2:13" ht="45.6" x14ac:dyDescent="0.3">
      <c r="B802" s="4" t="s">
        <v>1616</v>
      </c>
      <c r="C802" s="4" t="s">
        <v>1532</v>
      </c>
      <c r="D802" s="4" t="s">
        <v>1536</v>
      </c>
      <c r="E802" s="5" t="str">
        <f>'PU CAST'!$AB$114</f>
        <v>22”</v>
      </c>
      <c r="F802" s="6">
        <f>'PU CAST'!$AI$114</f>
        <v>570.38299166666661</v>
      </c>
      <c r="G802" s="7" t="s">
        <v>1562</v>
      </c>
      <c r="H802" s="6" t="s">
        <v>1644</v>
      </c>
      <c r="I802" s="369">
        <f>'PU CAST'!AG114</f>
        <v>1</v>
      </c>
      <c r="J802" s="368"/>
      <c r="K802" s="367">
        <f t="shared" si="13"/>
        <v>570.38299166666661</v>
      </c>
      <c r="L802" s="367">
        <f>$F802-'PU CAST'!AH114</f>
        <v>433.7163250000001</v>
      </c>
      <c r="M802" s="367">
        <f>IFERROR('PU CAST'!AH114*'PU CAST'!AG114,0)</f>
        <v>136.66666666666654</v>
      </c>
    </row>
    <row r="803" spans="2:13" ht="45.6" x14ac:dyDescent="0.3">
      <c r="B803" s="4" t="s">
        <v>1617</v>
      </c>
      <c r="C803" s="4" t="s">
        <v>1532</v>
      </c>
      <c r="D803" s="4" t="s">
        <v>1536</v>
      </c>
      <c r="E803" s="5" t="str">
        <f>'PU CAST'!$AB$115</f>
        <v>24”</v>
      </c>
      <c r="F803" s="6">
        <f>'PU CAST'!$AI$115</f>
        <v>581.31701666666652</v>
      </c>
      <c r="G803" s="7" t="s">
        <v>1563</v>
      </c>
      <c r="H803" s="6" t="s">
        <v>1644</v>
      </c>
      <c r="I803" s="369">
        <f>'PU CAST'!AG115</f>
        <v>1</v>
      </c>
      <c r="J803" s="368"/>
      <c r="K803" s="367">
        <f t="shared" si="13"/>
        <v>581.31701666666652</v>
      </c>
      <c r="L803" s="367">
        <f>$F803-'PU CAST'!AH115</f>
        <v>444.65035</v>
      </c>
      <c r="M803" s="367">
        <f>IFERROR('PU CAST'!AH115*'PU CAST'!AG115,0)</f>
        <v>136.66666666666654</v>
      </c>
    </row>
    <row r="804" spans="2:13" ht="45.6" x14ac:dyDescent="0.3">
      <c r="B804" s="4" t="s">
        <v>1618</v>
      </c>
      <c r="C804" s="4" t="s">
        <v>1532</v>
      </c>
      <c r="D804" s="4" t="s">
        <v>1536</v>
      </c>
      <c r="E804" s="5" t="str">
        <f>'PU CAST'!$AB$116</f>
        <v>26”</v>
      </c>
      <c r="F804" s="6">
        <f>'PU CAST'!$AI$116</f>
        <v>883.82504166666661</v>
      </c>
      <c r="G804" s="7" t="s">
        <v>1564</v>
      </c>
      <c r="H804" s="6" t="s">
        <v>1644</v>
      </c>
      <c r="I804" s="369">
        <f>'PU CAST'!AG116</f>
        <v>1</v>
      </c>
      <c r="J804" s="368"/>
      <c r="K804" s="367">
        <f t="shared" si="13"/>
        <v>883.82504166666661</v>
      </c>
      <c r="L804" s="367">
        <f>$F804-'PU CAST'!AH116</f>
        <v>747.15837500000009</v>
      </c>
      <c r="M804" s="367">
        <f>IFERROR('PU CAST'!AH116*'PU CAST'!AG116,0)</f>
        <v>136.66666666666654</v>
      </c>
    </row>
    <row r="805" spans="2:13" ht="45.6" x14ac:dyDescent="0.3">
      <c r="B805" s="4" t="s">
        <v>1619</v>
      </c>
      <c r="C805" s="4" t="s">
        <v>1532</v>
      </c>
      <c r="D805" s="4" t="s">
        <v>1536</v>
      </c>
      <c r="E805" s="5" t="str">
        <f>'PU CAST'!$AB$117</f>
        <v>28”</v>
      </c>
      <c r="F805" s="6">
        <f>'PU CAST'!$AI$117</f>
        <v>1047.8354166666668</v>
      </c>
      <c r="G805" s="7" t="s">
        <v>1565</v>
      </c>
      <c r="H805" s="6" t="s">
        <v>1644</v>
      </c>
      <c r="I805" s="369">
        <f>'PU CAST'!AG117</f>
        <v>1</v>
      </c>
      <c r="J805" s="368"/>
      <c r="K805" s="367">
        <f t="shared" si="13"/>
        <v>1047.8354166666668</v>
      </c>
      <c r="L805" s="367">
        <f>$F805-'PU CAST'!AH117</f>
        <v>911.16875000000027</v>
      </c>
      <c r="M805" s="367">
        <f>IFERROR('PU CAST'!AH117*'PU CAST'!AG117,0)</f>
        <v>136.66666666666654</v>
      </c>
    </row>
    <row r="806" spans="2:13" ht="45.6" x14ac:dyDescent="0.3">
      <c r="B806" s="4" t="s">
        <v>1620</v>
      </c>
      <c r="C806" s="4" t="s">
        <v>1532</v>
      </c>
      <c r="D806" s="4" t="s">
        <v>1536</v>
      </c>
      <c r="E806" s="5" t="str">
        <f>'PU CAST'!$AB$118</f>
        <v>30''</v>
      </c>
      <c r="F806" s="6">
        <f>'PU CAST'!$AI$118</f>
        <v>1193.6224166666666</v>
      </c>
      <c r="G806" s="7" t="s">
        <v>1566</v>
      </c>
      <c r="H806" s="6" t="s">
        <v>1644</v>
      </c>
      <c r="I806" s="369">
        <f>'PU CAST'!AG118</f>
        <v>1</v>
      </c>
      <c r="J806" s="368"/>
      <c r="K806" s="367">
        <f t="shared" si="13"/>
        <v>1193.6224166666666</v>
      </c>
      <c r="L806" s="367">
        <f>$F806-'PU CAST'!AH118</f>
        <v>1056.9557500000001</v>
      </c>
      <c r="M806" s="367">
        <f>IFERROR('PU CAST'!AH118*'PU CAST'!AG118,0)</f>
        <v>136.66666666666654</v>
      </c>
    </row>
    <row r="807" spans="2:13" ht="45.6" x14ac:dyDescent="0.3">
      <c r="B807" s="4" t="s">
        <v>1621</v>
      </c>
      <c r="C807" s="4" t="s">
        <v>1532</v>
      </c>
      <c r="D807" s="4" t="s">
        <v>1536</v>
      </c>
      <c r="E807" s="5" t="str">
        <f>'PU CAST'!$AB$119</f>
        <v>32''</v>
      </c>
      <c r="F807" s="6">
        <f>'PU CAST'!$AI$119</f>
        <v>2323.4716666666668</v>
      </c>
      <c r="G807" s="7" t="s">
        <v>1567</v>
      </c>
      <c r="H807" s="6" t="s">
        <v>1644</v>
      </c>
      <c r="I807" s="369">
        <f>'PU CAST'!AG119</f>
        <v>1</v>
      </c>
      <c r="J807" s="368"/>
      <c r="K807" s="367">
        <f t="shared" ref="K807:K829" si="14">IF(OR($J807="",$J807&lt;=0),$F807,$L807+$M807/$J807)</f>
        <v>2323.4716666666668</v>
      </c>
      <c r="L807" s="367">
        <f>$F807-'PU CAST'!AH119</f>
        <v>2186.8050000000003</v>
      </c>
      <c r="M807" s="367">
        <f>IFERROR('PU CAST'!AH119*'PU CAST'!AG119,0)</f>
        <v>136.66666666666654</v>
      </c>
    </row>
    <row r="808" spans="2:13" ht="45.6" x14ac:dyDescent="0.3">
      <c r="B808" s="4" t="s">
        <v>1622</v>
      </c>
      <c r="C808" s="4" t="s">
        <v>1532</v>
      </c>
      <c r="D808" s="4" t="s">
        <v>1536</v>
      </c>
      <c r="E808" s="5" t="str">
        <f>'PU CAST'!$AB$120</f>
        <v>34''</v>
      </c>
      <c r="F808" s="6">
        <f>'PU CAST'!$AI$120</f>
        <v>2287.0249166666667</v>
      </c>
      <c r="G808" s="7" t="s">
        <v>1568</v>
      </c>
      <c r="H808" s="6" t="s">
        <v>1644</v>
      </c>
      <c r="I808" s="369">
        <f>'PU CAST'!AG120</f>
        <v>1</v>
      </c>
      <c r="J808" s="368"/>
      <c r="K808" s="367">
        <f t="shared" si="14"/>
        <v>2287.0249166666667</v>
      </c>
      <c r="L808" s="367">
        <f>$F808-'PU CAST'!AH120</f>
        <v>2150.3582500000002</v>
      </c>
      <c r="M808" s="367">
        <f>IFERROR('PU CAST'!AH120*'PU CAST'!AG120,0)</f>
        <v>136.66666666666654</v>
      </c>
    </row>
    <row r="809" spans="2:13" ht="45.6" x14ac:dyDescent="0.3">
      <c r="B809" s="4" t="s">
        <v>1623</v>
      </c>
      <c r="C809" s="4" t="s">
        <v>1532</v>
      </c>
      <c r="D809" s="4" t="s">
        <v>1536</v>
      </c>
      <c r="E809" s="5" t="str">
        <f>'PU CAST'!$AB$121</f>
        <v>36''</v>
      </c>
      <c r="F809" s="6">
        <f>'PU CAST'!$AI$121</f>
        <v>2104.7911666666669</v>
      </c>
      <c r="G809" s="7" t="s">
        <v>1569</v>
      </c>
      <c r="H809" s="6" t="s">
        <v>1644</v>
      </c>
      <c r="I809" s="369">
        <f>'PU CAST'!AG121</f>
        <v>1</v>
      </c>
      <c r="J809" s="368"/>
      <c r="K809" s="367">
        <f t="shared" si="14"/>
        <v>2104.7911666666669</v>
      </c>
      <c r="L809" s="367">
        <f>$F809-'PU CAST'!AH121</f>
        <v>1968.1245000000004</v>
      </c>
      <c r="M809" s="367">
        <f>IFERROR('PU CAST'!AH121*'PU CAST'!AG121,0)</f>
        <v>136.66666666666654</v>
      </c>
    </row>
    <row r="810" spans="2:13" ht="45.6" x14ac:dyDescent="0.3">
      <c r="B810" s="4" t="s">
        <v>1624</v>
      </c>
      <c r="C810" s="4" t="s">
        <v>1532</v>
      </c>
      <c r="D810" s="4" t="s">
        <v>1536</v>
      </c>
      <c r="E810" s="5" t="str">
        <f>'PU CAST'!$AB$122</f>
        <v>38''</v>
      </c>
      <c r="F810" s="6">
        <f>'PU CAST'!$AI$122</f>
        <v>2323.4716666666668</v>
      </c>
      <c r="G810" s="7" t="s">
        <v>1570</v>
      </c>
      <c r="H810" s="6" t="s">
        <v>1644</v>
      </c>
      <c r="I810" s="369">
        <f>'PU CAST'!AG122</f>
        <v>1</v>
      </c>
      <c r="J810" s="368"/>
      <c r="K810" s="367">
        <f t="shared" si="14"/>
        <v>2323.4716666666668</v>
      </c>
      <c r="L810" s="367">
        <f>$F810-'PU CAST'!AH122</f>
        <v>2186.8050000000003</v>
      </c>
      <c r="M810" s="367">
        <f>IFERROR('PU CAST'!AH122*'PU CAST'!AG122,0)</f>
        <v>136.66666666666654</v>
      </c>
    </row>
    <row r="811" spans="2:13" ht="45.6" x14ac:dyDescent="0.3">
      <c r="B811" s="4" t="s">
        <v>1625</v>
      </c>
      <c r="C811" s="4" t="s">
        <v>1532</v>
      </c>
      <c r="D811" s="4" t="s">
        <v>1536</v>
      </c>
      <c r="E811" s="5" t="str">
        <f>'PU CAST'!$AB$123</f>
        <v>40”</v>
      </c>
      <c r="F811" s="6">
        <f>'PU CAST'!$AI$123</f>
        <v>2287.0249166666667</v>
      </c>
      <c r="G811" s="7" t="s">
        <v>1571</v>
      </c>
      <c r="H811" s="6" t="s">
        <v>1644</v>
      </c>
      <c r="I811" s="369">
        <f>'PU CAST'!AG123</f>
        <v>1</v>
      </c>
      <c r="J811" s="368"/>
      <c r="K811" s="367">
        <f t="shared" si="14"/>
        <v>2287.0249166666667</v>
      </c>
      <c r="L811" s="367">
        <f>$F811-'PU CAST'!AH123</f>
        <v>2150.3582500000002</v>
      </c>
      <c r="M811" s="367">
        <f>IFERROR('PU CAST'!AH123*'PU CAST'!AG123,0)</f>
        <v>136.66666666666654</v>
      </c>
    </row>
    <row r="812" spans="2:13" ht="45.6" x14ac:dyDescent="0.3">
      <c r="B812" s="4" t="s">
        <v>1626</v>
      </c>
      <c r="C812" s="4" t="s">
        <v>1532</v>
      </c>
      <c r="D812" s="4" t="s">
        <v>1536</v>
      </c>
      <c r="E812" s="5" t="str">
        <f>'PU CAST'!$AB$124</f>
        <v>42”</v>
      </c>
      <c r="F812" s="6">
        <f>'PU CAST'!$AI$124</f>
        <v>2104.7911666666669</v>
      </c>
      <c r="G812" s="7" t="s">
        <v>1572</v>
      </c>
      <c r="H812" s="6" t="s">
        <v>1644</v>
      </c>
      <c r="I812" s="369">
        <f>'PU CAST'!AG124</f>
        <v>1</v>
      </c>
      <c r="J812" s="368"/>
      <c r="K812" s="367">
        <f t="shared" si="14"/>
        <v>2104.7911666666669</v>
      </c>
      <c r="L812" s="367">
        <f>$F812-'PU CAST'!AH124</f>
        <v>1968.1245000000004</v>
      </c>
      <c r="M812" s="367">
        <f>IFERROR('PU CAST'!AH124*'PU CAST'!AG124,0)</f>
        <v>136.66666666666654</v>
      </c>
    </row>
    <row r="813" spans="2:13" ht="45.6" x14ac:dyDescent="0.3">
      <c r="B813" s="4" t="s">
        <v>1627</v>
      </c>
      <c r="C813" s="4" t="s">
        <v>1532</v>
      </c>
      <c r="D813" s="4" t="s">
        <v>1536</v>
      </c>
      <c r="E813" s="5" t="str">
        <f>'PU CAST'!$AB$125</f>
        <v>46''</v>
      </c>
      <c r="F813" s="6">
        <f>'PU CAST'!$AI$125</f>
        <v>2396.3651666666665</v>
      </c>
      <c r="G813" s="7" t="s">
        <v>1573</v>
      </c>
      <c r="H813" s="6" t="s">
        <v>1644</v>
      </c>
      <c r="I813" s="369">
        <f>'PU CAST'!AG125</f>
        <v>1</v>
      </c>
      <c r="J813" s="368"/>
      <c r="K813" s="367">
        <f t="shared" si="14"/>
        <v>2396.3651666666665</v>
      </c>
      <c r="L813" s="367">
        <f>$F813-'PU CAST'!AH125</f>
        <v>2259.6985</v>
      </c>
      <c r="M813" s="367">
        <f>IFERROR('PU CAST'!AH125*'PU CAST'!AG125,0)</f>
        <v>136.66666666666654</v>
      </c>
    </row>
    <row r="814" spans="2:13" ht="45.6" x14ac:dyDescent="0.3">
      <c r="B814" s="4" t="s">
        <v>1628</v>
      </c>
      <c r="C814" s="4" t="s">
        <v>1533</v>
      </c>
      <c r="D814" s="4" t="s">
        <v>1537</v>
      </c>
      <c r="E814" s="5">
        <f>'PU CAST'!$AB$126</f>
        <v>2.5</v>
      </c>
      <c r="F814" s="6">
        <f>'PU CAST'!$AI$126</f>
        <v>138.18754966666654</v>
      </c>
      <c r="G814" s="7" t="s">
        <v>1574</v>
      </c>
      <c r="H814" s="6" t="s">
        <v>1644</v>
      </c>
      <c r="I814" s="369">
        <f>'PU CAST'!AG126</f>
        <v>1</v>
      </c>
      <c r="J814" s="368"/>
      <c r="K814" s="367">
        <f t="shared" si="14"/>
        <v>138.18754966666654</v>
      </c>
      <c r="L814" s="367">
        <f>$F814-'PU CAST'!AH126</f>
        <v>1.5208829999999978</v>
      </c>
      <c r="M814" s="367">
        <f>IFERROR('PU CAST'!AH126*'PU CAST'!AG126,0)</f>
        <v>136.66666666666654</v>
      </c>
    </row>
    <row r="815" spans="2:13" ht="45.6" x14ac:dyDescent="0.3">
      <c r="B815" s="4" t="s">
        <v>1629</v>
      </c>
      <c r="C815" s="4" t="s">
        <v>1533</v>
      </c>
      <c r="D815" s="4" t="s">
        <v>1537</v>
      </c>
      <c r="E815" s="5">
        <f>'PU CAST'!$AB$127</f>
        <v>4</v>
      </c>
      <c r="F815" s="6">
        <f>'PU CAST'!$AI$127</f>
        <v>141.82077016666653</v>
      </c>
      <c r="G815" s="7" t="s">
        <v>1575</v>
      </c>
      <c r="H815" s="6" t="s">
        <v>1644</v>
      </c>
      <c r="I815" s="369">
        <f>'PU CAST'!AG127</f>
        <v>1</v>
      </c>
      <c r="J815" s="368"/>
      <c r="K815" s="367">
        <f t="shared" si="14"/>
        <v>141.82077016666653</v>
      </c>
      <c r="L815" s="367">
        <f>$F815-'PU CAST'!AH127</f>
        <v>5.1541034999999908</v>
      </c>
      <c r="M815" s="367">
        <f>IFERROR('PU CAST'!AH127*'PU CAST'!AG127,0)</f>
        <v>136.66666666666654</v>
      </c>
    </row>
    <row r="816" spans="2:13" ht="45.6" x14ac:dyDescent="0.3">
      <c r="B816" s="4" t="s">
        <v>1630</v>
      </c>
      <c r="C816" s="4" t="s">
        <v>1533</v>
      </c>
      <c r="D816" s="4" t="s">
        <v>1537</v>
      </c>
      <c r="E816" s="5">
        <f>'PU CAST'!$AB$128</f>
        <v>6</v>
      </c>
      <c r="F816" s="6">
        <f>'PU CAST'!$AI$128</f>
        <v>153.56536666666653</v>
      </c>
      <c r="G816" s="7" t="s">
        <v>1576</v>
      </c>
      <c r="H816" s="6" t="s">
        <v>1644</v>
      </c>
      <c r="I816" s="369">
        <f>'PU CAST'!AG128</f>
        <v>1</v>
      </c>
      <c r="J816" s="368"/>
      <c r="K816" s="367">
        <f t="shared" si="14"/>
        <v>153.56536666666653</v>
      </c>
      <c r="L816" s="367">
        <f>$F816-'PU CAST'!AH128</f>
        <v>16.898699999999991</v>
      </c>
      <c r="M816" s="367">
        <f>IFERROR('PU CAST'!AH128*'PU CAST'!AG128,0)</f>
        <v>136.66666666666654</v>
      </c>
    </row>
    <row r="817" spans="2:13" ht="45.6" x14ac:dyDescent="0.3">
      <c r="B817" s="4" t="s">
        <v>1631</v>
      </c>
      <c r="C817" s="4" t="s">
        <v>1533</v>
      </c>
      <c r="D817" s="4" t="s">
        <v>1537</v>
      </c>
      <c r="E817" s="5">
        <f>'PU CAST'!$AB$129</f>
        <v>7</v>
      </c>
      <c r="F817" s="6">
        <f>'PU CAST'!$AI$129</f>
        <v>159.14193766666654</v>
      </c>
      <c r="G817" s="7" t="s">
        <v>1577</v>
      </c>
      <c r="H817" s="6" t="s">
        <v>1644</v>
      </c>
      <c r="I817" s="369">
        <f>'PU CAST'!AG129</f>
        <v>1</v>
      </c>
      <c r="J817" s="368"/>
      <c r="K817" s="367">
        <f t="shared" si="14"/>
        <v>159.14193766666654</v>
      </c>
      <c r="L817" s="367">
        <f>$F817-'PU CAST'!AH129</f>
        <v>22.475270999999992</v>
      </c>
      <c r="M817" s="367">
        <f>IFERROR('PU CAST'!AH129*'PU CAST'!AG129,0)</f>
        <v>136.66666666666654</v>
      </c>
    </row>
    <row r="818" spans="2:13" ht="45.6" x14ac:dyDescent="0.3">
      <c r="B818" s="4" t="s">
        <v>1632</v>
      </c>
      <c r="C818" s="4" t="s">
        <v>1533</v>
      </c>
      <c r="D818" s="4" t="s">
        <v>1537</v>
      </c>
      <c r="E818" s="5">
        <f>'PU CAST'!$AB$130</f>
        <v>8</v>
      </c>
      <c r="F818" s="6">
        <f>'PU CAST'!$AI$130</f>
        <v>170.88653416666654</v>
      </c>
      <c r="G818" s="7" t="s">
        <v>1578</v>
      </c>
      <c r="H818" s="6" t="s">
        <v>1644</v>
      </c>
      <c r="I818" s="369">
        <f>'PU CAST'!AG130</f>
        <v>1</v>
      </c>
      <c r="J818" s="368"/>
      <c r="K818" s="367">
        <f t="shared" si="14"/>
        <v>170.88653416666654</v>
      </c>
      <c r="L818" s="367">
        <f>$F818-'PU CAST'!AH130</f>
        <v>34.219867499999992</v>
      </c>
      <c r="M818" s="367">
        <f>IFERROR('PU CAST'!AH130*'PU CAST'!AG130,0)</f>
        <v>136.66666666666654</v>
      </c>
    </row>
    <row r="819" spans="2:13" ht="45.6" x14ac:dyDescent="0.3">
      <c r="B819" s="4" t="s">
        <v>1633</v>
      </c>
      <c r="C819" s="4" t="s">
        <v>1533</v>
      </c>
      <c r="D819" s="4" t="s">
        <v>1537</v>
      </c>
      <c r="E819" s="5">
        <f>'PU CAST'!$AB$131</f>
        <v>9</v>
      </c>
      <c r="F819" s="6">
        <f>'PU CAST'!$AI$131</f>
        <v>191.58744166666654</v>
      </c>
      <c r="G819" s="7" t="s">
        <v>1579</v>
      </c>
      <c r="H819" s="6" t="s">
        <v>1644</v>
      </c>
      <c r="I819" s="369">
        <f>'PU CAST'!AG131</f>
        <v>1</v>
      </c>
      <c r="J819" s="368"/>
      <c r="K819" s="367">
        <f t="shared" si="14"/>
        <v>191.58744166666654</v>
      </c>
      <c r="L819" s="367">
        <f>$F819-'PU CAST'!AH131</f>
        <v>54.920774999999992</v>
      </c>
      <c r="M819" s="367">
        <f>IFERROR('PU CAST'!AH131*'PU CAST'!AG131,0)</f>
        <v>136.66666666666654</v>
      </c>
    </row>
    <row r="820" spans="2:13" ht="45.6" x14ac:dyDescent="0.3">
      <c r="B820" s="4" t="s">
        <v>1634</v>
      </c>
      <c r="C820" s="4" t="s">
        <v>1533</v>
      </c>
      <c r="D820" s="4" t="s">
        <v>1537</v>
      </c>
      <c r="E820" s="5">
        <f>'PU CAST'!$AB$132</f>
        <v>10</v>
      </c>
      <c r="F820" s="6">
        <f>'PU CAST'!$AI$132</f>
        <v>223.27250416666652</v>
      </c>
      <c r="G820" s="7" t="s">
        <v>1580</v>
      </c>
      <c r="H820" s="6" t="s">
        <v>1644</v>
      </c>
      <c r="I820" s="369">
        <f>'PU CAST'!AG132</f>
        <v>1</v>
      </c>
      <c r="J820" s="368"/>
      <c r="K820" s="367">
        <f t="shared" si="14"/>
        <v>223.27250416666652</v>
      </c>
      <c r="L820" s="367">
        <f>$F820-'PU CAST'!AH132</f>
        <v>86.605837499999978</v>
      </c>
      <c r="M820" s="367">
        <f>IFERROR('PU CAST'!AH132*'PU CAST'!AG132,0)</f>
        <v>136.66666666666654</v>
      </c>
    </row>
    <row r="821" spans="2:13" ht="45.6" x14ac:dyDescent="0.3">
      <c r="B821" s="4" t="s">
        <v>1635</v>
      </c>
      <c r="C821" s="4" t="s">
        <v>1533</v>
      </c>
      <c r="D821" s="4" t="s">
        <v>1537</v>
      </c>
      <c r="E821" s="5">
        <f>'PU CAST'!$AB$133</f>
        <v>12</v>
      </c>
      <c r="F821" s="6">
        <f>'PU CAST'!$AI$133</f>
        <v>254.95756666666654</v>
      </c>
      <c r="G821" s="7" t="s">
        <v>1581</v>
      </c>
      <c r="H821" s="6" t="s">
        <v>1644</v>
      </c>
      <c r="I821" s="369">
        <f>'PU CAST'!AG133</f>
        <v>1</v>
      </c>
      <c r="J821" s="368"/>
      <c r="K821" s="367">
        <f t="shared" si="14"/>
        <v>254.95756666666654</v>
      </c>
      <c r="L821" s="367">
        <f>$F821-'PU CAST'!AH133</f>
        <v>118.29089999999999</v>
      </c>
      <c r="M821" s="367">
        <f>IFERROR('PU CAST'!AH133*'PU CAST'!AG133,0)</f>
        <v>136.66666666666654</v>
      </c>
    </row>
    <row r="822" spans="2:13" ht="45.6" x14ac:dyDescent="0.3">
      <c r="B822" s="4" t="s">
        <v>1636</v>
      </c>
      <c r="C822" s="4" t="s">
        <v>1533</v>
      </c>
      <c r="D822" s="4" t="s">
        <v>1537</v>
      </c>
      <c r="E822" s="5">
        <f>'PU CAST'!$AB$134</f>
        <v>14</v>
      </c>
      <c r="F822" s="6">
        <f>'PU CAST'!$AI$134</f>
        <v>267.63159166666651</v>
      </c>
      <c r="G822" s="7" t="s">
        <v>1582</v>
      </c>
      <c r="H822" s="6" t="s">
        <v>1644</v>
      </c>
      <c r="I822" s="369">
        <f>'PU CAST'!AG134</f>
        <v>1</v>
      </c>
      <c r="J822" s="368"/>
      <c r="K822" s="367">
        <f t="shared" si="14"/>
        <v>267.63159166666651</v>
      </c>
      <c r="L822" s="367">
        <f>$F822-'PU CAST'!AH134</f>
        <v>130.96492499999997</v>
      </c>
      <c r="M822" s="367">
        <f>IFERROR('PU CAST'!AH134*'PU CAST'!AG134,0)</f>
        <v>136.66666666666654</v>
      </c>
    </row>
    <row r="823" spans="2:13" ht="45.6" x14ac:dyDescent="0.3">
      <c r="B823" s="4" t="s">
        <v>1637</v>
      </c>
      <c r="C823" s="4" t="s">
        <v>1533</v>
      </c>
      <c r="D823" s="4" t="s">
        <v>1537</v>
      </c>
      <c r="E823" s="5">
        <f>'PU CAST'!$AB$135</f>
        <v>16</v>
      </c>
      <c r="F823" s="6">
        <f>'PU CAST'!$AI$135</f>
        <v>292.97964166666657</v>
      </c>
      <c r="G823" s="7" t="s">
        <v>1583</v>
      </c>
      <c r="H823" s="6" t="s">
        <v>1644</v>
      </c>
      <c r="I823" s="369">
        <f>'PU CAST'!AG135</f>
        <v>1</v>
      </c>
      <c r="J823" s="368"/>
      <c r="K823" s="367">
        <f t="shared" si="14"/>
        <v>292.97964166666657</v>
      </c>
      <c r="L823" s="367">
        <f>$F823-'PU CAST'!AH135</f>
        <v>156.31297500000002</v>
      </c>
      <c r="M823" s="367">
        <f>IFERROR('PU CAST'!AH135*'PU CAST'!AG135,0)</f>
        <v>136.66666666666654</v>
      </c>
    </row>
    <row r="824" spans="2:13" ht="45.6" x14ac:dyDescent="0.3">
      <c r="B824" s="4" t="s">
        <v>1638</v>
      </c>
      <c r="C824" s="4" t="s">
        <v>1533</v>
      </c>
      <c r="D824" s="4" t="s">
        <v>1537</v>
      </c>
      <c r="E824" s="5">
        <f>'PU CAST'!$AB$136</f>
        <v>18</v>
      </c>
      <c r="F824" s="6">
        <f>'PU CAST'!$AI$136</f>
        <v>411.27054166666653</v>
      </c>
      <c r="G824" s="7" t="s">
        <v>1584</v>
      </c>
      <c r="H824" s="6" t="s">
        <v>1644</v>
      </c>
      <c r="I824" s="369">
        <f>'PU CAST'!AG136</f>
        <v>1</v>
      </c>
      <c r="J824" s="368"/>
      <c r="K824" s="367">
        <f t="shared" si="14"/>
        <v>411.27054166666653</v>
      </c>
      <c r="L824" s="367">
        <f>$F824-'PU CAST'!AH136</f>
        <v>274.60387500000002</v>
      </c>
      <c r="M824" s="367">
        <f>IFERROR('PU CAST'!AH136*'PU CAST'!AG136,0)</f>
        <v>136.66666666666654</v>
      </c>
    </row>
    <row r="825" spans="2:13" ht="45.6" x14ac:dyDescent="0.3">
      <c r="B825" s="4" t="s">
        <v>1639</v>
      </c>
      <c r="C825" s="4" t="s">
        <v>1533</v>
      </c>
      <c r="D825" s="4" t="s">
        <v>1537</v>
      </c>
      <c r="E825" s="5">
        <f>'PU CAST'!$AB$137</f>
        <v>20</v>
      </c>
      <c r="F825" s="6">
        <f>'PU CAST'!$AI$137</f>
        <v>474.64066666666656</v>
      </c>
      <c r="G825" s="7" t="s">
        <v>1585</v>
      </c>
      <c r="H825" s="6" t="s">
        <v>1644</v>
      </c>
      <c r="I825" s="369">
        <f>'PU CAST'!AG137</f>
        <v>1</v>
      </c>
      <c r="J825" s="368"/>
      <c r="K825" s="367">
        <f t="shared" si="14"/>
        <v>474.64066666666656</v>
      </c>
      <c r="L825" s="367">
        <f>$F825-'PU CAST'!AH137</f>
        <v>337.97400000000005</v>
      </c>
      <c r="M825" s="367">
        <f>IFERROR('PU CAST'!AH137*'PU CAST'!AG137,0)</f>
        <v>136.66666666666654</v>
      </c>
    </row>
    <row r="826" spans="2:13" ht="45.6" x14ac:dyDescent="0.3">
      <c r="B826" s="4" t="s">
        <v>1640</v>
      </c>
      <c r="C826" s="4" t="s">
        <v>1533</v>
      </c>
      <c r="D826" s="4" t="s">
        <v>1537</v>
      </c>
      <c r="E826" s="5">
        <f>'PU CAST'!$AB$138</f>
        <v>22</v>
      </c>
      <c r="F826" s="6">
        <f>'PU CAST'!$AI$138</f>
        <v>695.80083333333312</v>
      </c>
      <c r="G826" s="7" t="s">
        <v>1586</v>
      </c>
      <c r="H826" s="6" t="s">
        <v>1644</v>
      </c>
      <c r="I826" s="369">
        <f>'PU CAST'!AG138</f>
        <v>1</v>
      </c>
      <c r="J826" s="368"/>
      <c r="K826" s="367">
        <f t="shared" si="14"/>
        <v>695.80083333333312</v>
      </c>
      <c r="L826" s="367">
        <f>$F826-'PU CAST'!AH138</f>
        <v>422.46750000000003</v>
      </c>
      <c r="M826" s="367">
        <f>IFERROR('PU CAST'!AH138*'PU CAST'!AG138,0)</f>
        <v>273.33333333333309</v>
      </c>
    </row>
    <row r="827" spans="2:13" ht="45.6" x14ac:dyDescent="0.3">
      <c r="B827" s="4" t="s">
        <v>1641</v>
      </c>
      <c r="C827" s="4" t="s">
        <v>1533</v>
      </c>
      <c r="D827" s="4" t="s">
        <v>1537</v>
      </c>
      <c r="E827" s="5">
        <f>'PU CAST'!$AB$139</f>
        <v>30</v>
      </c>
      <c r="F827" s="6">
        <f>'PU CAST'!$AI$139</f>
        <v>1498.4890833333332</v>
      </c>
      <c r="G827" s="7" t="s">
        <v>1587</v>
      </c>
      <c r="H827" s="6" t="s">
        <v>1644</v>
      </c>
      <c r="I827" s="369">
        <f>'PU CAST'!AG139</f>
        <v>1</v>
      </c>
      <c r="J827" s="368"/>
      <c r="K827" s="367">
        <f t="shared" si="14"/>
        <v>1498.4890833333332</v>
      </c>
      <c r="L827" s="367">
        <f>$F827-'PU CAST'!AH139</f>
        <v>1225.1557500000001</v>
      </c>
      <c r="M827" s="367">
        <f>IFERROR('PU CAST'!AH139*'PU CAST'!AG139,0)</f>
        <v>273.33333333333309</v>
      </c>
    </row>
    <row r="828" spans="2:13" ht="45.6" x14ac:dyDescent="0.3">
      <c r="B828" s="4" t="s">
        <v>1642</v>
      </c>
      <c r="C828" s="4" t="s">
        <v>1533</v>
      </c>
      <c r="D828" s="4" t="s">
        <v>1537</v>
      </c>
      <c r="E828" s="5">
        <f>'PU CAST'!$AB$140</f>
        <v>42</v>
      </c>
      <c r="F828" s="6">
        <f>'PU CAST'!$AI$140</f>
        <v>2005.4500833333329</v>
      </c>
      <c r="G828" s="7" t="s">
        <v>1588</v>
      </c>
      <c r="H828" s="6" t="s">
        <v>1644</v>
      </c>
      <c r="I828" s="369">
        <f>'PU CAST'!AG140</f>
        <v>1</v>
      </c>
      <c r="J828" s="368"/>
      <c r="K828" s="367">
        <f t="shared" si="14"/>
        <v>2005.4500833333329</v>
      </c>
      <c r="L828" s="367">
        <f>$F828-'PU CAST'!AH140</f>
        <v>1732.1167499999999</v>
      </c>
      <c r="M828" s="367">
        <f>IFERROR('PU CAST'!AH140*'PU CAST'!AG140,0)</f>
        <v>273.33333333333309</v>
      </c>
    </row>
    <row r="829" spans="2:13" ht="45.6" x14ac:dyDescent="0.3">
      <c r="B829" s="4" t="s">
        <v>1643</v>
      </c>
      <c r="C829" s="4" t="s">
        <v>1533</v>
      </c>
      <c r="D829" s="4" t="s">
        <v>1537</v>
      </c>
      <c r="E829" s="5">
        <f>'PU CAST'!$AB$141</f>
        <v>46</v>
      </c>
      <c r="F829" s="6">
        <f>'PU CAST'!$AI$141</f>
        <v>2512.411083333333</v>
      </c>
      <c r="G829" s="7" t="s">
        <v>1589</v>
      </c>
      <c r="H829" s="6" t="s">
        <v>1644</v>
      </c>
      <c r="I829" s="369">
        <f>'PU CAST'!AG141</f>
        <v>1</v>
      </c>
      <c r="J829" s="368"/>
      <c r="K829" s="367">
        <f t="shared" si="14"/>
        <v>2512.411083333333</v>
      </c>
      <c r="L829" s="367">
        <f>$F829-'PU CAST'!AH141</f>
        <v>2239.0777499999999</v>
      </c>
      <c r="M829" s="367">
        <f>IFERROR('PU CAST'!AH141*'PU CAST'!AG141,0)</f>
        <v>273.33333333333309</v>
      </c>
    </row>
  </sheetData>
  <autoFilter ref="B18:G829" xr:uid="{00000000-0009-0000-0000-000000000000}">
    <filterColumn colId="0">
      <filters>
        <filter val="PIG H | PIG H — BAIXA D26 (CUSTO COMPLETO H COM SELO) | DN 1''"/>
        <filter val="PIG H | PIG H — BAIXA D26 (CUSTO COMPLETO H COM SELO) | DN 10''"/>
        <filter val="PIG H | PIG H — BAIXA D26 (CUSTO COMPLETO H COM SELO) | DN 12''"/>
        <filter val="PIG H | PIG H — BAIXA D26 (CUSTO COMPLETO H COM SELO) | DN 14''"/>
        <filter val="PIG H | PIG H — BAIXA D26 (CUSTO COMPLETO H COM SELO) | DN 16''"/>
        <filter val="PIG H | PIG H — BAIXA D26 (CUSTO COMPLETO H COM SELO) | DN 18''"/>
        <filter val="PIG H | PIG H — BAIXA D26 (CUSTO COMPLETO H COM SELO) | DN 2''"/>
        <filter val="PIG H | PIG H — BAIXA D26 (CUSTO COMPLETO H COM SELO) | DN 20''"/>
        <filter val="PIG H | PIG H — BAIXA D26 (CUSTO COMPLETO H COM SELO) | DN 22''"/>
        <filter val="PIG H | PIG H — BAIXA D26 (CUSTO COMPLETO H COM SELO) | DN 24''"/>
        <filter val="PIG H | PIG H — BAIXA D26 (CUSTO COMPLETO H COM SELO) | DN 26''"/>
        <filter val="PIG H | PIG H — BAIXA D26 (CUSTO COMPLETO H COM SELO) | DN 28''"/>
        <filter val="PIG H | PIG H — BAIXA D26 (CUSTO COMPLETO H COM SELO) | DN 3''"/>
        <filter val="PIG H | PIG H — BAIXA D26 (CUSTO COMPLETO H COM SELO) | DN 30''"/>
        <filter val="PIG H | PIG H — BAIXA D26 (CUSTO COMPLETO H COM SELO) | DN 32''"/>
        <filter val="PIG H | PIG H — BAIXA D26 (CUSTO COMPLETO H COM SELO) | DN 34''"/>
        <filter val="PIG H | PIG H — BAIXA D26 (CUSTO COMPLETO H COM SELO) | DN 36''"/>
        <filter val="PIG H | PIG H — BAIXA D26 (CUSTO COMPLETO H COM SELO) | DN 38''"/>
        <filter val="PIG H | PIG H — BAIXA D26 (CUSTO COMPLETO H COM SELO) | DN 4''"/>
        <filter val="PIG H | PIG H — BAIXA D26 (CUSTO COMPLETO H COM SELO) | DN 40''"/>
        <filter val="PIG H | PIG H — BAIXA D26 (CUSTO COMPLETO H COM SELO) | DN 42''"/>
        <filter val="PIG H | PIG H — BAIXA D26 (CUSTO COMPLETO H COM SELO) | DN 44''"/>
        <filter val="PIG H | PIG H — BAIXA D26 (CUSTO COMPLETO H COM SELO) | DN 6''"/>
        <filter val="PIG H | PIG H — BAIXA D26 (CUSTO COMPLETO H COM SELO) | DN 8''"/>
        <filter val="PIG H | PIG H — BAIXA D26 (CUSTO COMPLETO H COM SELO/CORDA) | DN 1''"/>
        <filter val="PIG H | PIG H — BAIXA D26 (CUSTO COMPLETO H COM SELO/CORDA) | DN 10''"/>
        <filter val="PIG H | PIG H — BAIXA D26 (CUSTO COMPLETO H COM SELO/CORDA) | DN 12''"/>
        <filter val="PIG H | PIG H — BAIXA D26 (CUSTO COMPLETO H COM SELO/CORDA) | DN 14''"/>
        <filter val="PIG H | PIG H — BAIXA D26 (CUSTO COMPLETO H COM SELO/CORDA) | DN 16''"/>
        <filter val="PIG H | PIG H — BAIXA D26 (CUSTO COMPLETO H COM SELO/CORDA) | DN 18''"/>
        <filter val="PIG H | PIG H — BAIXA D26 (CUSTO COMPLETO H COM SELO/CORDA) | DN 2''"/>
        <filter val="PIG H | PIG H — BAIXA D26 (CUSTO COMPLETO H COM SELO/CORDA) | DN 20''"/>
        <filter val="PIG H | PIG H — BAIXA D26 (CUSTO COMPLETO H COM SELO/CORDA) | DN 22''"/>
        <filter val="PIG H | PIG H — BAIXA D26 (CUSTO COMPLETO H COM SELO/CORDA) | DN 24''"/>
        <filter val="PIG H | PIG H — BAIXA D26 (CUSTO COMPLETO H COM SELO/CORDA) | DN 26''"/>
        <filter val="PIG H | PIG H — BAIXA D26 (CUSTO COMPLETO H COM SELO/CORDA) | DN 28''"/>
        <filter val="PIG H | PIG H — BAIXA D26 (CUSTO COMPLETO H COM SELO/CORDA) | DN 3''"/>
        <filter val="PIG H | PIG H — BAIXA D26 (CUSTO COMPLETO H COM SELO/CORDA) | DN 30''"/>
        <filter val="PIG H | PIG H — BAIXA D26 (CUSTO COMPLETO H COM SELO/CORDA) | DN 32''"/>
        <filter val="PIG H | PIG H — BAIXA D26 (CUSTO COMPLETO H COM SELO/CORDA) | DN 34''"/>
        <filter val="PIG H | PIG H — BAIXA D26 (CUSTO COMPLETO H COM SELO/CORDA) | DN 36''"/>
        <filter val="PIG H | PIG H — BAIXA D26 (CUSTO COMPLETO H COM SELO/CORDA) | DN 38''"/>
        <filter val="PIG H | PIG H — BAIXA D26 (CUSTO COMPLETO H COM SELO/CORDA) | DN 4''"/>
        <filter val="PIG H | PIG H — BAIXA D26 (CUSTO COMPLETO H COM SELO/CORDA) | DN 40''"/>
        <filter val="PIG H | PIG H — BAIXA D26 (CUSTO COMPLETO H COM SELO/CORDA) | DN 42''"/>
        <filter val="PIG H | PIG H — BAIXA D26 (CUSTO COMPLETO H COM SELO/CORDA) | DN 44''"/>
        <filter val="PIG H | PIG H — BAIXA D26 (CUSTO COMPLETO H COM SELO/CORDA) | DN 6''"/>
        <filter val="PIG H | PIG H — BAIXA D26 (CUSTO COMPLETO H COM SELO/CORDA) | DN 8''"/>
        <filter val="PIG H | PIG H — BAIXA D26 (CUSTO COMPLETO H) | DN 1''"/>
        <filter val="PIG H | PIG H — BAIXA D26 (CUSTO COMPLETO H) | DN 10''"/>
        <filter val="PIG H | PIG H — BAIXA D26 (CUSTO COMPLETO H) | DN 12''"/>
        <filter val="PIG H | PIG H — BAIXA D26 (CUSTO COMPLETO H) | DN 14''"/>
        <filter val="PIG H | PIG H — BAIXA D26 (CUSTO COMPLETO H) | DN 16''"/>
        <filter val="PIG H | PIG H — BAIXA D26 (CUSTO COMPLETO H) | DN 18''"/>
        <filter val="PIG H | PIG H — BAIXA D26 (CUSTO COMPLETO H) | DN 2''"/>
        <filter val="PIG H | PIG H — BAIXA D26 (CUSTO COMPLETO H) | DN 20''"/>
        <filter val="PIG H | PIG H — BAIXA D26 (CUSTO COMPLETO H) | DN 22''"/>
        <filter val="PIG H | PIG H — BAIXA D26 (CUSTO COMPLETO H) | DN 24''"/>
        <filter val="PIG H | PIG H — BAIXA D26 (CUSTO COMPLETO H) | DN 26''"/>
        <filter val="PIG H | PIG H — BAIXA D26 (CUSTO COMPLETO H) | DN 28''"/>
        <filter val="PIG H | PIG H — BAIXA D26 (CUSTO COMPLETO H) | DN 3''"/>
        <filter val="PIG H | PIG H — BAIXA D26 (CUSTO COMPLETO H) | DN 30''"/>
        <filter val="PIG H | PIG H — BAIXA D26 (CUSTO COMPLETO H) | DN 32''"/>
        <filter val="PIG H | PIG H — BAIXA D26 (CUSTO COMPLETO H) | DN 34''"/>
        <filter val="PIG H | PIG H — BAIXA D26 (CUSTO COMPLETO H) | DN 36''"/>
        <filter val="PIG H | PIG H — BAIXA D26 (CUSTO COMPLETO H) | DN 38''"/>
        <filter val="PIG H | PIG H — BAIXA D26 (CUSTO COMPLETO H) | DN 4''"/>
        <filter val="PIG H | PIG H — BAIXA D26 (CUSTO COMPLETO H) | DN 40''"/>
        <filter val="PIG H | PIG H — BAIXA D26 (CUSTO COMPLETO H) | DN 42''"/>
        <filter val="PIG H | PIG H — BAIXA D26 (CUSTO COMPLETO H) | DN 44''"/>
        <filter val="PIG H | PIG H — BAIXA D26 (CUSTO COMPLETO H) | DN 6''"/>
        <filter val="PIG H | PIG H — BAIXA D26 (CUSTO COMPLETO H) | DN 8''"/>
        <filter val="PIG H | PIG H — BAIXA D45 (CUSTO COMPLETO H COM SELO) | DN 1''"/>
        <filter val="PIG H | PIG H — BAIXA D45 (CUSTO COMPLETO H COM SELO) | DN 10''"/>
        <filter val="PIG H | PIG H — BAIXA D45 (CUSTO COMPLETO H COM SELO) | DN 12''"/>
        <filter val="PIG H | PIG H — BAIXA D45 (CUSTO COMPLETO H COM SELO) | DN 14''"/>
        <filter val="PIG H | PIG H — BAIXA D45 (CUSTO COMPLETO H COM SELO) | DN 16''"/>
        <filter val="PIG H | PIG H — BAIXA D45 (CUSTO COMPLETO H COM SELO) | DN 18''"/>
        <filter val="PIG H | PIG H — BAIXA D45 (CUSTO COMPLETO H COM SELO) | DN 2''"/>
        <filter val="PIG H | PIG H — BAIXA D45 (CUSTO COMPLETO H COM SELO) | DN 20''"/>
        <filter val="PIG H | PIG H — BAIXA D45 (CUSTO COMPLETO H COM SELO) | DN 22''"/>
        <filter val="PIG H | PIG H — BAIXA D45 (CUSTO COMPLETO H COM SELO) | DN 24''"/>
        <filter val="PIG H | PIG H — BAIXA D45 (CUSTO COMPLETO H COM SELO) | DN 26''"/>
        <filter val="PIG H | PIG H — BAIXA D45 (CUSTO COMPLETO H COM SELO) | DN 28''"/>
        <filter val="PIG H | PIG H — BAIXA D45 (CUSTO COMPLETO H COM SELO) | DN 3''"/>
        <filter val="PIG H | PIG H — BAIXA D45 (CUSTO COMPLETO H COM SELO) | DN 30''"/>
        <filter val="PIG H | PIG H — BAIXA D45 (CUSTO COMPLETO H COM SELO) | DN 32''"/>
        <filter val="PIG H | PIG H — BAIXA D45 (CUSTO COMPLETO H COM SELO) | DN 34''"/>
        <filter val="PIG H | PIG H — BAIXA D45 (CUSTO COMPLETO H COM SELO) | DN 36''"/>
        <filter val="PIG H | PIG H — BAIXA D45 (CUSTO COMPLETO H COM SELO) | DN 38''"/>
        <filter val="PIG H | PIG H — BAIXA D45 (CUSTO COMPLETO H COM SELO) | DN 4''"/>
        <filter val="PIG H | PIG H — BAIXA D45 (CUSTO COMPLETO H COM SELO) | DN 40''"/>
        <filter val="PIG H | PIG H — BAIXA D45 (CUSTO COMPLETO H COM SELO) | DN 42''"/>
        <filter val="PIG H | PIG H — BAIXA D45 (CUSTO COMPLETO H COM SELO) | DN 44''"/>
        <filter val="PIG H | PIG H — BAIXA D45 (CUSTO COMPLETO H COM SELO) | DN 6''"/>
        <filter val="PIG H | PIG H — BAIXA D45 (CUSTO COMPLETO H COM SELO) | DN 7''"/>
        <filter val="PIG H | PIG H — BAIXA D45 (CUSTO COMPLETO H COM SELO) | DN 8''"/>
        <filter val="PIG H | PIG H — BAIXA D45 (CUSTO COMPLETO H COM SELO/CORDA) | DN 1''"/>
        <filter val="PIG H | PIG H — BAIXA D45 (CUSTO COMPLETO H COM SELO/CORDA) | DN 10''"/>
        <filter val="PIG H | PIG H — BAIXA D45 (CUSTO COMPLETO H COM SELO/CORDA) | DN 12''"/>
        <filter val="PIG H | PIG H — BAIXA D45 (CUSTO COMPLETO H COM SELO/CORDA) | DN 14''"/>
        <filter val="PIG H | PIG H — BAIXA D45 (CUSTO COMPLETO H COM SELO/CORDA) | DN 16''"/>
        <filter val="PIG H | PIG H — BAIXA D45 (CUSTO COMPLETO H COM SELO/CORDA) | DN 18''"/>
        <filter val="PIG H | PIG H — BAIXA D45 (CUSTO COMPLETO H COM SELO/CORDA) | DN 2''"/>
        <filter val="PIG H | PIG H — BAIXA D45 (CUSTO COMPLETO H COM SELO/CORDA) | DN 20''"/>
        <filter val="PIG H | PIG H — BAIXA D45 (CUSTO COMPLETO H COM SELO/CORDA) | DN 22''"/>
        <filter val="PIG H | PIG H — BAIXA D45 (CUSTO COMPLETO H COM SELO/CORDA) | DN 24''"/>
        <filter val="PIG H | PIG H — BAIXA D45 (CUSTO COMPLETO H COM SELO/CORDA) | DN 26''"/>
        <filter val="PIG H | PIG H — BAIXA D45 (CUSTO COMPLETO H COM SELO/CORDA) | DN 28''"/>
        <filter val="PIG H | PIG H — BAIXA D45 (CUSTO COMPLETO H COM SELO/CORDA) | DN 3''"/>
        <filter val="PIG H | PIG H — BAIXA D45 (CUSTO COMPLETO H COM SELO/CORDA) | DN 30''"/>
        <filter val="PIG H | PIG H — BAIXA D45 (CUSTO COMPLETO H COM SELO/CORDA) | DN 32''"/>
        <filter val="PIG H | PIG H — BAIXA D45 (CUSTO COMPLETO H COM SELO/CORDA) | DN 34''"/>
        <filter val="PIG H | PIG H — BAIXA D45 (CUSTO COMPLETO H COM SELO/CORDA) | DN 36''"/>
        <filter val="PIG H | PIG H — BAIXA D45 (CUSTO COMPLETO H COM SELO/CORDA) | DN 38''"/>
        <filter val="PIG H | PIG H — BAIXA D45 (CUSTO COMPLETO H COM SELO/CORDA) | DN 4''"/>
        <filter val="PIG H | PIG H — BAIXA D45 (CUSTO COMPLETO H COM SELO/CORDA) | DN 40''"/>
        <filter val="PIG H | PIG H — BAIXA D45 (CUSTO COMPLETO H COM SELO/CORDA) | DN 42''"/>
        <filter val="PIG H | PIG H — BAIXA D45 (CUSTO COMPLETO H COM SELO/CORDA) | DN 44''"/>
        <filter val="PIG H | PIG H — BAIXA D45 (CUSTO COMPLETO H COM SELO/CORDA) | DN 6''"/>
        <filter val="PIG H | PIG H — BAIXA D45 (CUSTO COMPLETO H COM SELO/CORDA) | DN 7''"/>
        <filter val="PIG H | PIG H — BAIXA D45 (CUSTO COMPLETO H COM SELO/CORDA) | DN 8''"/>
        <filter val="PIG H | PIG H — BAIXA D45 (CUSTO COMPLETO H) | DN 1''"/>
        <filter val="PIG H | PIG H — BAIXA D45 (CUSTO COMPLETO H) | DN 10''"/>
        <filter val="PIG H | PIG H — BAIXA D45 (CUSTO COMPLETO H) | DN 12''"/>
        <filter val="PIG H | PIG H — BAIXA D45 (CUSTO COMPLETO H) | DN 14''"/>
        <filter val="PIG H | PIG H — BAIXA D45 (CUSTO COMPLETO H) | DN 16''"/>
        <filter val="PIG H | PIG H — BAIXA D45 (CUSTO COMPLETO H) | DN 18''"/>
        <filter val="PIG H | PIG H — BAIXA D45 (CUSTO COMPLETO H) | DN 2''"/>
        <filter val="PIG H | PIG H — BAIXA D45 (CUSTO COMPLETO H) | DN 20''"/>
        <filter val="PIG H | PIG H — BAIXA D45 (CUSTO COMPLETO H) | DN 22''"/>
        <filter val="PIG H | PIG H — BAIXA D45 (CUSTO COMPLETO H) | DN 24''"/>
        <filter val="PIG H | PIG H — BAIXA D45 (CUSTO COMPLETO H) | DN 26''"/>
        <filter val="PIG H | PIG H — BAIXA D45 (CUSTO COMPLETO H) | DN 28''"/>
        <filter val="PIG H | PIG H — BAIXA D45 (CUSTO COMPLETO H) | DN 3''"/>
        <filter val="PIG H | PIG H — BAIXA D45 (CUSTO COMPLETO H) | DN 30''"/>
        <filter val="PIG H | PIG H — BAIXA D45 (CUSTO COMPLETO H) | DN 32''"/>
        <filter val="PIG H | PIG H — BAIXA D45 (CUSTO COMPLETO H) | DN 34''"/>
        <filter val="PIG H | PIG H — BAIXA D45 (CUSTO COMPLETO H) | DN 36''"/>
        <filter val="PIG H | PIG H — BAIXA D45 (CUSTO COMPLETO H) | DN 38''"/>
        <filter val="PIG H | PIG H — BAIXA D45 (CUSTO COMPLETO H) | DN 4''"/>
        <filter val="PIG H | PIG H — BAIXA D45 (CUSTO COMPLETO H) | DN 40''"/>
        <filter val="PIG H | PIG H — BAIXA D45 (CUSTO COMPLETO H) | DN 42''"/>
        <filter val="PIG H | PIG H — BAIXA D45 (CUSTO COMPLETO H) | DN 44''"/>
        <filter val="PIG H | PIG H — BAIXA D45 (CUSTO COMPLETO H) | DN 6''"/>
        <filter val="PIG H | PIG H — BAIXA D45 (CUSTO COMPLETO H) | DN 7''"/>
        <filter val="PIG H | PIG H — BAIXA D45 (CUSTO COMPLETO H) | DN 8''"/>
        <filter val="PIG H | PIG H — BAIXA D60 (CUSTO COMPLETO H COM SELO) | DN 1''"/>
        <filter val="PIG H | PIG H — BAIXA D60 (CUSTO COMPLETO H COM SELO) | DN 2''"/>
        <filter val="PIG H | PIG H — BAIXA D60 (CUSTO COMPLETO H COM SELO) | DN 3''"/>
        <filter val="PIG H | PIG H — BAIXA D60 (CUSTO COMPLETO H COM SELO) | DN 4''"/>
        <filter val="PIG H | PIG H — BAIXA D60 (CUSTO COMPLETO H COM SELO) | DN 6''"/>
        <filter val="PIG H | PIG H — BAIXA D60 (CUSTO COMPLETO H COM SELO/CORDA) | DN 1''"/>
        <filter val="PIG H | PIG H — BAIXA D60 (CUSTO COMPLETO H COM SELO/CORDA) | DN 2''"/>
        <filter val="PIG H | PIG H — BAIXA D60 (CUSTO COMPLETO H COM SELO/CORDA) | DN 3''"/>
        <filter val="PIG H | PIG H — BAIXA D60 (CUSTO COMPLETO H COM SELO/CORDA) | DN 4''"/>
        <filter val="PIG H | PIG H — BAIXA D60 (CUSTO COMPLETO H COM SELO/CORDA) | DN 6''"/>
        <filter val="PIG H | PIG H — BAIXA D60 (CUSTO COMPLETO H) | DN 1''"/>
        <filter val="PIG H | PIG H — BAIXA D60 (CUSTO COMPLETO H) | DN 2''"/>
        <filter val="PIG H | PIG H — BAIXA D60 (CUSTO COMPLETO H) | DN 3''"/>
        <filter val="PIG H | PIG H — BAIXA D60 (CUSTO COMPLETO H) | DN 4''"/>
        <filter val="PIG H | PIG H — BAIXA D60 (CUSTO COMPLETO H) | DN 6''"/>
      </filters>
    </filterColumn>
  </autoFilter>
  <mergeCells count="9">
    <mergeCell ref="A1:B1"/>
    <mergeCell ref="B13:D14"/>
    <mergeCell ref="B17:G17"/>
    <mergeCell ref="B2:D2"/>
    <mergeCell ref="B3:D3"/>
    <mergeCell ref="B6:D6"/>
    <mergeCell ref="B8:D8"/>
    <mergeCell ref="B9:D10"/>
    <mergeCell ref="E9:G10"/>
  </mergeCells>
  <dataValidations count="2">
    <dataValidation type="list" allowBlank="1" error="Selecione um item da lista suspensa." prompt="Digite parte do nome para localizar mais rápido, ou role a lista." sqref="B6" xr:uid="{00000000-0002-0000-0000-000000000000}">
      <formula1>$B$19:$B$829</formula1>
    </dataValidation>
    <dataValidation type="list" allowBlank="1" showInputMessage="1" showErrorMessage="1" sqref="C6" xr:uid="{3ED07184-D118-46E4-B7FD-4AC7B4AE02AA}">
      <formula1>$B$19:$B$829</formula1>
    </dataValidation>
  </dataValidations>
  <hyperlinks>
    <hyperlink ref="A1" location="PAINEL!A1" tooltip="Voltar ao Painel de Navegação" display="⬅ PAINEL" xr:uid="{FCE9ADF7-E40D-424C-97ED-7A4733C84204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B1B59-5277-433B-9262-6253DE898410}">
  <sheetPr>
    <tabColor rgb="FF2E75B6"/>
  </sheetPr>
  <dimension ref="A1:N897"/>
  <sheetViews>
    <sheetView workbookViewId="0">
      <pane xSplit="3" ySplit="20" topLeftCell="D21" activePane="bottomRight" state="frozen"/>
      <selection pane="topRight" activeCell="D1" sqref="D1"/>
      <selection pane="bottomLeft" activeCell="A21" sqref="A21"/>
      <selection pane="bottomRight" sqref="A1:C1"/>
    </sheetView>
  </sheetViews>
  <sheetFormatPr defaultRowHeight="14.4" x14ac:dyDescent="0.3"/>
  <cols>
    <col min="1" max="1" width="3.6640625" customWidth="1"/>
    <col min="2" max="2" width="61.109375" customWidth="1"/>
    <col min="3" max="3" width="17.5546875" customWidth="1"/>
    <col min="4" max="4" width="11.44140625" customWidth="1"/>
    <col min="5" max="5" width="3.6640625" customWidth="1"/>
    <col min="6" max="6" width="13.88671875" customWidth="1"/>
    <col min="7" max="7" width="16.6640625" customWidth="1"/>
    <col min="8" max="8" width="61.109375" customWidth="1"/>
    <col min="9" max="9" width="27.77734375" customWidth="1"/>
    <col min="10" max="12" width="16.6640625" customWidth="1"/>
    <col min="13" max="13" width="42.5546875" customWidth="1"/>
    <col min="14" max="14" width="31.44140625" customWidth="1"/>
  </cols>
  <sheetData>
    <row r="1" spans="1:14" x14ac:dyDescent="0.3">
      <c r="A1" s="420" t="s">
        <v>1757</v>
      </c>
      <c r="B1" s="421"/>
      <c r="C1" s="421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</row>
    <row r="2" spans="1:14" ht="17.399999999999999" x14ac:dyDescent="0.3">
      <c r="A2" s="332"/>
      <c r="B2" s="322" t="s">
        <v>1507</v>
      </c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</row>
    <row r="3" spans="1:14" x14ac:dyDescent="0.3">
      <c r="A3" s="332"/>
      <c r="B3" s="323" t="s">
        <v>1508</v>
      </c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</row>
    <row r="4" spans="1:14" x14ac:dyDescent="0.3">
      <c r="A4" s="332"/>
      <c r="B4" s="324" t="s">
        <v>1509</v>
      </c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</row>
    <row r="5" spans="1:14" x14ac:dyDescent="0.3">
      <c r="A5" s="332"/>
      <c r="B5" s="325" t="s">
        <v>1510</v>
      </c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</row>
    <row r="6" spans="1:14" x14ac:dyDescent="0.3">
      <c r="A6" s="332"/>
      <c r="B6" s="326" t="s">
        <v>1511</v>
      </c>
      <c r="C6" s="327" t="s">
        <v>213</v>
      </c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</row>
    <row r="7" spans="1:14" x14ac:dyDescent="0.3">
      <c r="A7" s="332"/>
      <c r="B7" s="332"/>
      <c r="C7" s="332"/>
      <c r="D7" s="332"/>
      <c r="E7" s="332"/>
      <c r="F7" s="332"/>
      <c r="G7" s="332"/>
      <c r="H7" s="332"/>
      <c r="I7" s="332"/>
      <c r="J7" s="332"/>
      <c r="K7" s="332"/>
      <c r="L7" s="332"/>
      <c r="M7" s="332"/>
      <c r="N7" s="332"/>
    </row>
    <row r="8" spans="1:14" x14ac:dyDescent="0.3">
      <c r="A8" s="332"/>
      <c r="B8" s="326" t="s">
        <v>1512</v>
      </c>
      <c r="C8" s="328">
        <f>IFERROR(INDEX('BUSCA DE CUSTO'!$F$19:$F$834,MATCH($C$6,'BUSCA DE CUSTO'!$B$19:$B$834,0)),"Selecione um produto")</f>
        <v>40.178156601111105</v>
      </c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</row>
    <row r="9" spans="1:14" x14ac:dyDescent="0.3">
      <c r="A9" s="332"/>
      <c r="B9" s="326" t="s">
        <v>1513</v>
      </c>
      <c r="C9" s="329">
        <f ca="1">IFERROR(INDEX($J$21:$J$1200,MATCH($C$6&amp;"|"&amp;TEXT(_xlfn.MAXIFS($F$21:$F$1200,$H$21:$H$1200,$C$6,$F$21:$F$1200,"&lt;="&amp;TODAY()),"0"),$N$21:$N$1200,0)),"Selecione um produto")</f>
        <v>57.821801467111101</v>
      </c>
      <c r="D9" s="332"/>
      <c r="E9" s="332"/>
      <c r="F9" s="332"/>
      <c r="G9" s="332"/>
      <c r="H9" s="332"/>
      <c r="I9" s="332"/>
      <c r="J9" s="332"/>
      <c r="K9" s="332"/>
      <c r="L9" s="332"/>
      <c r="M9" s="332"/>
      <c r="N9" s="332"/>
    </row>
    <row r="10" spans="1:14" x14ac:dyDescent="0.3">
      <c r="A10" s="332"/>
      <c r="B10" s="326" t="s">
        <v>1514</v>
      </c>
      <c r="C10" s="344">
        <f ca="1">IFERROR(_xlfn.MAXIFS($F$21:$F$1200,$H$21:$H$1200,$C$6,$F$21:$F$1200,"&lt;="&amp;TODAY()),"")</f>
        <v>46241</v>
      </c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</row>
    <row r="11" spans="1:14" x14ac:dyDescent="0.3">
      <c r="A11" s="332"/>
      <c r="B11" s="326" t="s">
        <v>1515</v>
      </c>
      <c r="C11" s="329" t="str">
        <f ca="1">IFERROR(INDEX($J$21:$J$1200,MATCH($C$6&amp;"|"&amp;TEXT(_xlfn.MAXIFS($F$21:$F$1200,$H$21:$H$1200,$C$6,$F$21:$F$1200,"&lt;"&amp;$C$10),"0"),$N$21:$N$1200,0)),"—")</f>
        <v>—</v>
      </c>
      <c r="D11" s="332"/>
      <c r="E11" s="332"/>
      <c r="F11" s="332"/>
      <c r="G11" s="332"/>
      <c r="H11" s="332"/>
      <c r="I11" s="332"/>
      <c r="J11" s="332"/>
      <c r="K11" s="332"/>
      <c r="L11" s="332"/>
      <c r="M11" s="332"/>
      <c r="N11" s="332"/>
    </row>
    <row r="12" spans="1:14" x14ac:dyDescent="0.3">
      <c r="A12" s="332"/>
      <c r="B12" s="326" t="s">
        <v>1516</v>
      </c>
      <c r="C12" s="344">
        <f ca="1">IFERROR(_xlfn.MAXIFS($F$21:$F$1200,$H$21:$H$1200,$C$6,$F$21:$F$1200,"&lt;"&amp;$C$10),"")</f>
        <v>0</v>
      </c>
      <c r="D12" s="332"/>
      <c r="E12" s="332"/>
      <c r="F12" s="332"/>
      <c r="G12" s="332"/>
      <c r="H12" s="332"/>
      <c r="I12" s="332"/>
      <c r="J12" s="332"/>
      <c r="K12" s="332"/>
      <c r="L12" s="332"/>
      <c r="M12" s="332"/>
      <c r="N12" s="332"/>
    </row>
    <row r="13" spans="1:14" x14ac:dyDescent="0.3">
      <c r="A13" s="332"/>
      <c r="B13" s="326" t="s">
        <v>763</v>
      </c>
      <c r="C13" s="330" t="str">
        <f ca="1">IF(OR($C$11="—",$C$11=""),"",($C$9-$C$11)/$C$11)</f>
        <v/>
      </c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332"/>
    </row>
    <row r="14" spans="1:14" x14ac:dyDescent="0.3">
      <c r="A14" s="332"/>
      <c r="B14" s="326" t="s">
        <v>1517</v>
      </c>
      <c r="C14" s="329">
        <f>IFERROR(INDEX($J$21:$J$1200,MATCH($C$6&amp;"|"&amp;TEXT(_xlfn.MINIFS($F$21:$F$1200,$H$21:$H$1200,$C$6),"0"),$N$21:$N$1200,0)),"")</f>
        <v>57.821801467111101</v>
      </c>
      <c r="D14" s="332"/>
      <c r="E14" s="332"/>
      <c r="F14" s="332"/>
      <c r="G14" s="332"/>
      <c r="H14" s="332"/>
      <c r="I14" s="332"/>
      <c r="J14" s="332"/>
      <c r="K14" s="332"/>
      <c r="L14" s="332"/>
      <c r="M14" s="332"/>
      <c r="N14" s="332"/>
    </row>
    <row r="15" spans="1:14" x14ac:dyDescent="0.3">
      <c r="A15" s="332"/>
      <c r="B15" s="326" t="s">
        <v>765</v>
      </c>
      <c r="C15" s="344">
        <f>IFERROR(_xlfn.MINIFS($F$21:$F$1200,$H$21:$H$1200,$C$6),"")</f>
        <v>46241</v>
      </c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332"/>
    </row>
    <row r="16" spans="1:14" x14ac:dyDescent="0.3">
      <c r="A16" s="332"/>
      <c r="B16" s="326" t="s">
        <v>766</v>
      </c>
      <c r="C16" s="330">
        <f ca="1">IF(OR($C$14="",$C$14=0),"",($C$9-$C$14)/$C$14)</f>
        <v>0</v>
      </c>
      <c r="D16" s="332"/>
      <c r="E16" s="332"/>
      <c r="F16" s="332"/>
      <c r="G16" s="332"/>
      <c r="H16" s="332"/>
      <c r="I16" s="332"/>
      <c r="J16" s="332"/>
      <c r="K16" s="332"/>
      <c r="L16" s="332"/>
      <c r="M16" s="332"/>
      <c r="N16" s="332"/>
    </row>
    <row r="17" spans="1:14" x14ac:dyDescent="0.3">
      <c r="A17" s="332"/>
      <c r="B17" s="326" t="s">
        <v>767</v>
      </c>
      <c r="C17" s="331">
        <f>COUNTIF($H$21:$H$1200,$C$6)</f>
        <v>1</v>
      </c>
      <c r="D17" s="332"/>
      <c r="E17" s="332"/>
      <c r="F17" s="332"/>
      <c r="G17" s="332"/>
      <c r="H17" s="332"/>
      <c r="I17" s="332"/>
      <c r="J17" s="332"/>
      <c r="K17" s="332"/>
      <c r="L17" s="332"/>
      <c r="M17" s="332"/>
      <c r="N17" s="332"/>
    </row>
    <row r="18" spans="1:14" x14ac:dyDescent="0.3">
      <c r="A18" s="332"/>
      <c r="B18" s="332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</row>
    <row r="19" spans="1:14" x14ac:dyDescent="0.3">
      <c r="A19" s="332"/>
      <c r="B19" s="431" t="s">
        <v>1518</v>
      </c>
      <c r="C19" s="431"/>
      <c r="D19" s="431"/>
      <c r="E19" s="332"/>
      <c r="F19" s="325" t="s">
        <v>1524</v>
      </c>
      <c r="G19" s="332"/>
      <c r="H19" s="332"/>
      <c r="I19" s="332"/>
      <c r="J19" s="332"/>
      <c r="K19" s="332"/>
      <c r="L19" s="332"/>
      <c r="M19" s="332"/>
      <c r="N19" s="332"/>
    </row>
    <row r="20" spans="1:14" x14ac:dyDescent="0.3">
      <c r="A20" s="332"/>
      <c r="B20" s="333" t="s">
        <v>1519</v>
      </c>
      <c r="C20" s="333" t="s">
        <v>771</v>
      </c>
      <c r="D20" s="334">
        <f>'EVOLUÇÃO DE CUSTOS - MP'!D$19</f>
        <v>46235</v>
      </c>
      <c r="E20" s="332"/>
      <c r="F20" s="333" t="s">
        <v>772</v>
      </c>
      <c r="G20" s="333" t="s">
        <v>771</v>
      </c>
      <c r="H20" s="333" t="s">
        <v>1525</v>
      </c>
      <c r="I20" s="333" t="s">
        <v>1526</v>
      </c>
      <c r="J20" s="333" t="s">
        <v>1527</v>
      </c>
      <c r="K20" s="333" t="s">
        <v>1528</v>
      </c>
      <c r="L20" s="333" t="s">
        <v>777</v>
      </c>
      <c r="M20" s="333" t="s">
        <v>12</v>
      </c>
      <c r="N20" s="333" t="s">
        <v>778</v>
      </c>
    </row>
    <row r="21" spans="1:14" x14ac:dyDescent="0.3">
      <c r="A21" s="332"/>
      <c r="B21" s="335" t="s">
        <v>36</v>
      </c>
      <c r="C21" s="336" t="s">
        <v>1520</v>
      </c>
      <c r="D21" s="337">
        <f>IF($B21="","",IFERROR(INDEX($J$21:$J$1200,MATCH($B21&amp;"|"&amp;TEXT(_xlfn.MAXIFS($F$21:$F$1200,$H$21:$H$1200,$B21,$F$21:$F$1200,"&lt;="&amp;EOMONTH(D$20,0)),"0"),$N$21:$N$1200,0)),"-"))</f>
        <v>837.3</v>
      </c>
      <c r="E21" s="332"/>
      <c r="F21" s="338">
        <v>46241</v>
      </c>
      <c r="G21" s="339" t="s">
        <v>1520</v>
      </c>
      <c r="H21" s="339" t="s">
        <v>36</v>
      </c>
      <c r="I21" s="339" t="s">
        <v>1522</v>
      </c>
      <c r="J21" s="340">
        <v>837.3</v>
      </c>
      <c r="K21" s="341" t="str">
        <f>IF($H21="","",IFERROR(INDEX($J$21:$J$1200,MATCH($H21&amp;"|"&amp;TEXT(_xlfn.MAXIFS($F$21:$F$1200,$H$21:$H$1200,$H21,$F$21:$F$1200,"&lt;"&amp;$F21),"0"),$N$21:$N$1200,0)),"1º registro"))</f>
        <v>1º registro</v>
      </c>
      <c r="L21" s="342" t="str">
        <f>IF(OR($H21="",$K21="1º registro"),"",IFERROR(($J21-$K21)/$K21,""))</f>
        <v/>
      </c>
      <c r="M21" s="339" t="s">
        <v>1523</v>
      </c>
      <c r="N21" s="343" t="str">
        <f>IF($H21="","",$H21&amp;"|"&amp;TEXT($F21,"0"))</f>
        <v>PIG LUN-CP3 EPDM | Corpo completo (Eixo+Cabeçote+Nylon+Porca+Flange+Copo) | DN 6''|46241</v>
      </c>
    </row>
    <row r="22" spans="1:14" x14ac:dyDescent="0.3">
      <c r="A22" s="332"/>
      <c r="B22" s="335" t="s">
        <v>40</v>
      </c>
      <c r="C22" s="336" t="s">
        <v>1520</v>
      </c>
      <c r="D22" s="337">
        <f t="shared" ref="D22:D85" si="0">IF($B22="","",IFERROR(INDEX($J$21:$J$1200,MATCH($B22&amp;"|"&amp;TEXT(_xlfn.MAXIFS($F$21:$F$1200,$H$21:$H$1200,$B22,$F$21:$F$1200,"&lt;="&amp;EOMONTH(D$20,0)),"0"),$N$21:$N$1200,0)),"-"))</f>
        <v>1022.8</v>
      </c>
      <c r="E22" s="332"/>
      <c r="F22" s="338">
        <v>46241</v>
      </c>
      <c r="G22" s="339" t="s">
        <v>1520</v>
      </c>
      <c r="H22" s="339" t="s">
        <v>40</v>
      </c>
      <c r="I22" s="339" t="s">
        <v>1522</v>
      </c>
      <c r="J22" s="340">
        <v>1022.8</v>
      </c>
      <c r="K22" s="341" t="str">
        <f t="shared" ref="K22:K85" si="1">IF($H22="","",IFERROR(INDEX($J$21:$J$1200,MATCH($H22&amp;"|"&amp;TEXT(_xlfn.MAXIFS($F$21:$F$1200,$H$21:$H$1200,$H22,$F$21:$F$1200,"&lt;"&amp;$F22),"0"),$N$21:$N$1200,0)),"1º registro"))</f>
        <v>1º registro</v>
      </c>
      <c r="L22" s="342" t="str">
        <f t="shared" ref="L22:L85" si="2">IF(OR($H22="",$K22="1º registro"),"",IFERROR(($J22-$K22)/$K22,""))</f>
        <v/>
      </c>
      <c r="M22" s="339" t="s">
        <v>1523</v>
      </c>
      <c r="N22" s="343" t="str">
        <f t="shared" ref="N22:N85" si="3">IF($H22="","",$H22&amp;"|"&amp;TEXT($F22,"0"))</f>
        <v>PIG LUN-CP3 EPDM | Corpo completo (Eixo+Cabeçote+Nylon+Porca+Flange+Copo) | DN 8''|46241</v>
      </c>
    </row>
    <row r="23" spans="1:14" x14ac:dyDescent="0.3">
      <c r="A23" s="332"/>
      <c r="B23" s="335" t="s">
        <v>42</v>
      </c>
      <c r="C23" s="336" t="s">
        <v>1520</v>
      </c>
      <c r="D23" s="337">
        <f t="shared" si="0"/>
        <v>1118.7</v>
      </c>
      <c r="E23" s="332"/>
      <c r="F23" s="338">
        <v>46241</v>
      </c>
      <c r="G23" s="339" t="s">
        <v>1520</v>
      </c>
      <c r="H23" s="339" t="s">
        <v>42</v>
      </c>
      <c r="I23" s="339" t="s">
        <v>1522</v>
      </c>
      <c r="J23" s="340">
        <v>1118.7</v>
      </c>
      <c r="K23" s="341" t="str">
        <f t="shared" si="1"/>
        <v>1º registro</v>
      </c>
      <c r="L23" s="342" t="str">
        <f t="shared" si="2"/>
        <v/>
      </c>
      <c r="M23" s="339" t="s">
        <v>1523</v>
      </c>
      <c r="N23" s="343" t="str">
        <f t="shared" si="3"/>
        <v>PIG LUN-CP3 EPDM | Corpo completo (Eixo+Cabeçote+Nylon+Porca+Flange+Copo) | DN 10''|46241</v>
      </c>
    </row>
    <row r="24" spans="1:14" x14ac:dyDescent="0.3">
      <c r="A24" s="332"/>
      <c r="B24" s="335" t="s">
        <v>44</v>
      </c>
      <c r="C24" s="336" t="s">
        <v>1520</v>
      </c>
      <c r="D24" s="337">
        <f t="shared" si="0"/>
        <v>1332.1</v>
      </c>
      <c r="E24" s="332"/>
      <c r="F24" s="338">
        <v>46241</v>
      </c>
      <c r="G24" s="339" t="s">
        <v>1520</v>
      </c>
      <c r="H24" s="339" t="s">
        <v>44</v>
      </c>
      <c r="I24" s="339" t="s">
        <v>1522</v>
      </c>
      <c r="J24" s="340">
        <v>1332.1</v>
      </c>
      <c r="K24" s="341" t="str">
        <f t="shared" si="1"/>
        <v>1º registro</v>
      </c>
      <c r="L24" s="342" t="str">
        <f t="shared" si="2"/>
        <v/>
      </c>
      <c r="M24" s="339" t="s">
        <v>1523</v>
      </c>
      <c r="N24" s="343" t="str">
        <f t="shared" si="3"/>
        <v>PIG LUN-CP3 EPDM | Corpo completo (Eixo+Cabeçote+Nylon+Porca+Flange+Copo) | DN 12''|46241</v>
      </c>
    </row>
    <row r="25" spans="1:14" x14ac:dyDescent="0.3">
      <c r="A25" s="332"/>
      <c r="B25" s="335" t="s">
        <v>46</v>
      </c>
      <c r="C25" s="336" t="s">
        <v>1520</v>
      </c>
      <c r="D25" s="337">
        <f t="shared" si="0"/>
        <v>1656.4</v>
      </c>
      <c r="E25" s="332"/>
      <c r="F25" s="338">
        <v>46241</v>
      </c>
      <c r="G25" s="339" t="s">
        <v>1520</v>
      </c>
      <c r="H25" s="339" t="s">
        <v>46</v>
      </c>
      <c r="I25" s="339" t="s">
        <v>1522</v>
      </c>
      <c r="J25" s="340">
        <v>1656.4</v>
      </c>
      <c r="K25" s="341" t="str">
        <f t="shared" si="1"/>
        <v>1º registro</v>
      </c>
      <c r="L25" s="342" t="str">
        <f t="shared" si="2"/>
        <v/>
      </c>
      <c r="M25" s="339" t="s">
        <v>1523</v>
      </c>
      <c r="N25" s="343" t="str">
        <f t="shared" si="3"/>
        <v>PIG LUN-CP3 EPDM | Corpo completo (Eixo+Cabeçote+Nylon+Porca+Flange+Copo) | DN 14''|46241</v>
      </c>
    </row>
    <row r="26" spans="1:14" x14ac:dyDescent="0.3">
      <c r="A26" s="332"/>
      <c r="B26" s="335" t="s">
        <v>48</v>
      </c>
      <c r="C26" s="336" t="s">
        <v>1520</v>
      </c>
      <c r="D26" s="337">
        <f t="shared" si="0"/>
        <v>939.3</v>
      </c>
      <c r="E26" s="332"/>
      <c r="F26" s="338">
        <v>46241</v>
      </c>
      <c r="G26" s="339" t="s">
        <v>1520</v>
      </c>
      <c r="H26" s="339" t="s">
        <v>48</v>
      </c>
      <c r="I26" s="339" t="s">
        <v>1522</v>
      </c>
      <c r="J26" s="340">
        <v>939.3</v>
      </c>
      <c r="K26" s="341" t="str">
        <f t="shared" si="1"/>
        <v>1º registro</v>
      </c>
      <c r="L26" s="342" t="str">
        <f t="shared" si="2"/>
        <v/>
      </c>
      <c r="M26" s="339" t="s">
        <v>1523</v>
      </c>
      <c r="N26" s="343" t="str">
        <f t="shared" si="3"/>
        <v>PIG LUN-CP3 BUNA N | Corpo completo (Eixo+Cabeçote+Nylon+Porca+Flange+Copo) | DN 6''|46241</v>
      </c>
    </row>
    <row r="27" spans="1:14" x14ac:dyDescent="0.3">
      <c r="A27" s="332"/>
      <c r="B27" s="335" t="s">
        <v>50</v>
      </c>
      <c r="C27" s="336" t="s">
        <v>1520</v>
      </c>
      <c r="D27" s="337">
        <f t="shared" si="0"/>
        <v>1157.8</v>
      </c>
      <c r="E27" s="332"/>
      <c r="F27" s="338">
        <v>46241</v>
      </c>
      <c r="G27" s="339" t="s">
        <v>1520</v>
      </c>
      <c r="H27" s="339" t="s">
        <v>50</v>
      </c>
      <c r="I27" s="339" t="s">
        <v>1522</v>
      </c>
      <c r="J27" s="340">
        <v>1157.8</v>
      </c>
      <c r="K27" s="341" t="str">
        <f t="shared" si="1"/>
        <v>1º registro</v>
      </c>
      <c r="L27" s="342" t="str">
        <f t="shared" si="2"/>
        <v/>
      </c>
      <c r="M27" s="339" t="s">
        <v>1523</v>
      </c>
      <c r="N27" s="343" t="str">
        <f t="shared" si="3"/>
        <v>PIG LUN-CP3 BUNA N | Corpo completo (Eixo+Cabeçote+Nylon+Porca+Flange+Copo) | DN 8''|46241</v>
      </c>
    </row>
    <row r="28" spans="1:14" x14ac:dyDescent="0.3">
      <c r="A28" s="332"/>
      <c r="B28" s="335" t="s">
        <v>51</v>
      </c>
      <c r="C28" s="336" t="s">
        <v>1520</v>
      </c>
      <c r="D28" s="337">
        <f t="shared" si="0"/>
        <v>1271.7</v>
      </c>
      <c r="E28" s="332"/>
      <c r="F28" s="338">
        <v>46241</v>
      </c>
      <c r="G28" s="339" t="s">
        <v>1520</v>
      </c>
      <c r="H28" s="339" t="s">
        <v>51</v>
      </c>
      <c r="I28" s="339" t="s">
        <v>1522</v>
      </c>
      <c r="J28" s="340">
        <v>1271.7</v>
      </c>
      <c r="K28" s="341" t="str">
        <f t="shared" si="1"/>
        <v>1º registro</v>
      </c>
      <c r="L28" s="342" t="str">
        <f t="shared" si="2"/>
        <v/>
      </c>
      <c r="M28" s="339" t="s">
        <v>1523</v>
      </c>
      <c r="N28" s="343" t="str">
        <f t="shared" si="3"/>
        <v>PIG LUN-CP3 BUNA N | Corpo completo (Eixo+Cabeçote+Nylon+Porca+Flange+Copo) | DN 10''|46241</v>
      </c>
    </row>
    <row r="29" spans="1:14" x14ac:dyDescent="0.3">
      <c r="A29" s="332"/>
      <c r="B29" s="335" t="s">
        <v>52</v>
      </c>
      <c r="C29" s="336" t="s">
        <v>1520</v>
      </c>
      <c r="D29" s="337">
        <f t="shared" si="0"/>
        <v>1488.1</v>
      </c>
      <c r="E29" s="332"/>
      <c r="F29" s="338">
        <v>46241</v>
      </c>
      <c r="G29" s="339" t="s">
        <v>1520</v>
      </c>
      <c r="H29" s="339" t="s">
        <v>52</v>
      </c>
      <c r="I29" s="339" t="s">
        <v>1522</v>
      </c>
      <c r="J29" s="340">
        <v>1488.1</v>
      </c>
      <c r="K29" s="341" t="str">
        <f t="shared" si="1"/>
        <v>1º registro</v>
      </c>
      <c r="L29" s="342" t="str">
        <f t="shared" si="2"/>
        <v/>
      </c>
      <c r="M29" s="339" t="s">
        <v>1523</v>
      </c>
      <c r="N29" s="343" t="str">
        <f t="shared" si="3"/>
        <v>PIG LUN-CP3 BUNA N | Corpo completo (Eixo+Cabeçote+Nylon+Porca+Flange+Copo) | DN 12''|46241</v>
      </c>
    </row>
    <row r="30" spans="1:14" x14ac:dyDescent="0.3">
      <c r="A30" s="332"/>
      <c r="B30" s="335" t="s">
        <v>53</v>
      </c>
      <c r="C30" s="336" t="s">
        <v>1520</v>
      </c>
      <c r="D30" s="337">
        <f t="shared" si="0"/>
        <v>1836.4</v>
      </c>
      <c r="E30" s="332"/>
      <c r="F30" s="338">
        <v>46241</v>
      </c>
      <c r="G30" s="339" t="s">
        <v>1520</v>
      </c>
      <c r="H30" s="339" t="s">
        <v>53</v>
      </c>
      <c r="I30" s="339" t="s">
        <v>1522</v>
      </c>
      <c r="J30" s="340">
        <v>1836.4</v>
      </c>
      <c r="K30" s="341" t="str">
        <f t="shared" si="1"/>
        <v>1º registro</v>
      </c>
      <c r="L30" s="342" t="str">
        <f t="shared" si="2"/>
        <v/>
      </c>
      <c r="M30" s="339" t="s">
        <v>1523</v>
      </c>
      <c r="N30" s="343" t="str">
        <f t="shared" si="3"/>
        <v>PIG LUN-CP3 BUNA N | Corpo completo (Eixo+Cabeçote+Nylon+Porca+Flange+Copo) | DN 14''|46241</v>
      </c>
    </row>
    <row r="31" spans="1:14" x14ac:dyDescent="0.3">
      <c r="A31" s="332"/>
      <c r="B31" s="335" t="s">
        <v>54</v>
      </c>
      <c r="C31" s="336" t="s">
        <v>1520</v>
      </c>
      <c r="D31" s="337">
        <f t="shared" si="0"/>
        <v>1083.3</v>
      </c>
      <c r="E31" s="332"/>
      <c r="F31" s="338">
        <v>46241</v>
      </c>
      <c r="G31" s="339" t="s">
        <v>1520</v>
      </c>
      <c r="H31" s="339" t="s">
        <v>54</v>
      </c>
      <c r="I31" s="339" t="s">
        <v>1522</v>
      </c>
      <c r="J31" s="340">
        <v>1083.3</v>
      </c>
      <c r="K31" s="341" t="str">
        <f t="shared" si="1"/>
        <v>1º registro</v>
      </c>
      <c r="L31" s="342" t="str">
        <f t="shared" si="2"/>
        <v/>
      </c>
      <c r="M31" s="339" t="s">
        <v>1523</v>
      </c>
      <c r="N31" s="343" t="str">
        <f t="shared" si="3"/>
        <v>PIG LUN-CP4 BUNA N | Corpo completo (Eixo+Cabeçote+Nylon+Porca+Flange+Copo) | DN 6''|46241</v>
      </c>
    </row>
    <row r="32" spans="1:14" x14ac:dyDescent="0.3">
      <c r="A32" s="332"/>
      <c r="B32" s="335" t="s">
        <v>56</v>
      </c>
      <c r="C32" s="336" t="s">
        <v>1520</v>
      </c>
      <c r="D32" s="337">
        <f t="shared" si="0"/>
        <v>1352.8</v>
      </c>
      <c r="E32" s="332"/>
      <c r="F32" s="338">
        <v>46241</v>
      </c>
      <c r="G32" s="339" t="s">
        <v>1520</v>
      </c>
      <c r="H32" s="339" t="s">
        <v>56</v>
      </c>
      <c r="I32" s="339" t="s">
        <v>1522</v>
      </c>
      <c r="J32" s="340">
        <v>1352.8</v>
      </c>
      <c r="K32" s="341" t="str">
        <f t="shared" si="1"/>
        <v>1º registro</v>
      </c>
      <c r="L32" s="342" t="str">
        <f t="shared" si="2"/>
        <v/>
      </c>
      <c r="M32" s="339" t="s">
        <v>1523</v>
      </c>
      <c r="N32" s="343" t="str">
        <f t="shared" si="3"/>
        <v>PIG LUN-CP4 BUNA N | Corpo completo (Eixo+Cabeçote+Nylon+Porca+Flange+Copo) | DN 8''|46241</v>
      </c>
    </row>
    <row r="33" spans="1:14" x14ac:dyDescent="0.3">
      <c r="A33" s="332"/>
      <c r="B33" s="335" t="s">
        <v>57</v>
      </c>
      <c r="C33" s="336" t="s">
        <v>1520</v>
      </c>
      <c r="D33" s="337">
        <f t="shared" si="0"/>
        <v>1491.7</v>
      </c>
      <c r="E33" s="332"/>
      <c r="F33" s="338">
        <v>46241</v>
      </c>
      <c r="G33" s="339" t="s">
        <v>1520</v>
      </c>
      <c r="H33" s="339" t="s">
        <v>57</v>
      </c>
      <c r="I33" s="339" t="s">
        <v>1522</v>
      </c>
      <c r="J33" s="340">
        <v>1491.7</v>
      </c>
      <c r="K33" s="341" t="str">
        <f t="shared" si="1"/>
        <v>1º registro</v>
      </c>
      <c r="L33" s="342" t="str">
        <f t="shared" si="2"/>
        <v/>
      </c>
      <c r="M33" s="339" t="s">
        <v>1523</v>
      </c>
      <c r="N33" s="343" t="str">
        <f t="shared" si="3"/>
        <v>PIG LUN-CP4 BUNA N | Corpo completo (Eixo+Cabeçote+Nylon+Porca+Flange+Copo) | DN 10''|46241</v>
      </c>
    </row>
    <row r="34" spans="1:14" x14ac:dyDescent="0.3">
      <c r="A34" s="332"/>
      <c r="B34" s="335" t="s">
        <v>58</v>
      </c>
      <c r="C34" s="336" t="s">
        <v>1520</v>
      </c>
      <c r="D34" s="337">
        <f t="shared" si="0"/>
        <v>1760.1</v>
      </c>
      <c r="E34" s="332"/>
      <c r="F34" s="338">
        <v>46241</v>
      </c>
      <c r="G34" s="339" t="s">
        <v>1520</v>
      </c>
      <c r="H34" s="339" t="s">
        <v>58</v>
      </c>
      <c r="I34" s="339" t="s">
        <v>1522</v>
      </c>
      <c r="J34" s="340">
        <v>1760.1</v>
      </c>
      <c r="K34" s="341" t="str">
        <f t="shared" si="1"/>
        <v>1º registro</v>
      </c>
      <c r="L34" s="342" t="str">
        <f t="shared" si="2"/>
        <v/>
      </c>
      <c r="M34" s="339" t="s">
        <v>1523</v>
      </c>
      <c r="N34" s="343" t="str">
        <f t="shared" si="3"/>
        <v>PIG LUN-CP4 BUNA N | Corpo completo (Eixo+Cabeçote+Nylon+Porca+Flange+Copo) | DN 12''|46241</v>
      </c>
    </row>
    <row r="35" spans="1:14" x14ac:dyDescent="0.3">
      <c r="A35" s="332"/>
      <c r="B35" s="335" t="s">
        <v>59</v>
      </c>
      <c r="C35" s="336" t="s">
        <v>1520</v>
      </c>
      <c r="D35" s="337">
        <f t="shared" si="0"/>
        <v>2186.4</v>
      </c>
      <c r="E35" s="332"/>
      <c r="F35" s="338">
        <v>46241</v>
      </c>
      <c r="G35" s="339" t="s">
        <v>1520</v>
      </c>
      <c r="H35" s="339" t="s">
        <v>59</v>
      </c>
      <c r="I35" s="339" t="s">
        <v>1522</v>
      </c>
      <c r="J35" s="340">
        <v>2186.4</v>
      </c>
      <c r="K35" s="341" t="str">
        <f t="shared" si="1"/>
        <v>1º registro</v>
      </c>
      <c r="L35" s="342" t="str">
        <f t="shared" si="2"/>
        <v/>
      </c>
      <c r="M35" s="339" t="s">
        <v>1523</v>
      </c>
      <c r="N35" s="343" t="str">
        <f t="shared" si="3"/>
        <v>PIG LUN-CP4 BUNA N | Corpo completo (Eixo+Cabeçote+Nylon+Porca+Flange+Copo) | DN 14''|46241</v>
      </c>
    </row>
    <row r="36" spans="1:14" x14ac:dyDescent="0.3">
      <c r="A36" s="332"/>
      <c r="B36" s="335" t="s">
        <v>60</v>
      </c>
      <c r="C36" s="336" t="s">
        <v>1520</v>
      </c>
      <c r="D36" s="337">
        <f t="shared" si="0"/>
        <v>3150.3</v>
      </c>
      <c r="E36" s="332"/>
      <c r="F36" s="338">
        <v>46241</v>
      </c>
      <c r="G36" s="339" t="s">
        <v>1520</v>
      </c>
      <c r="H36" s="339" t="s">
        <v>60</v>
      </c>
      <c r="I36" s="339" t="s">
        <v>1522</v>
      </c>
      <c r="J36" s="340">
        <v>3150.3</v>
      </c>
      <c r="K36" s="341" t="str">
        <f t="shared" si="1"/>
        <v>1º registro</v>
      </c>
      <c r="L36" s="342" t="str">
        <f t="shared" si="2"/>
        <v/>
      </c>
      <c r="M36" s="339" t="s">
        <v>1523</v>
      </c>
      <c r="N36" s="343" t="str">
        <f t="shared" si="3"/>
        <v>PIG LUN-CP3 VITON | Corpo completo (Eixo+Cabeçote+Nylon+Porca+Flange+Copo) | DN 6''|46241</v>
      </c>
    </row>
    <row r="37" spans="1:14" x14ac:dyDescent="0.3">
      <c r="A37" s="332"/>
      <c r="B37" s="335" t="s">
        <v>62</v>
      </c>
      <c r="C37" s="336" t="s">
        <v>1520</v>
      </c>
      <c r="D37" s="337">
        <f t="shared" si="0"/>
        <v>3812.8</v>
      </c>
      <c r="E37" s="332"/>
      <c r="F37" s="338">
        <v>46241</v>
      </c>
      <c r="G37" s="339" t="s">
        <v>1520</v>
      </c>
      <c r="H37" s="339" t="s">
        <v>62</v>
      </c>
      <c r="I37" s="339" t="s">
        <v>1522</v>
      </c>
      <c r="J37" s="340">
        <v>3812.8</v>
      </c>
      <c r="K37" s="341" t="str">
        <f t="shared" si="1"/>
        <v>1º registro</v>
      </c>
      <c r="L37" s="342" t="str">
        <f t="shared" si="2"/>
        <v/>
      </c>
      <c r="M37" s="339" t="s">
        <v>1523</v>
      </c>
      <c r="N37" s="343" t="str">
        <f t="shared" si="3"/>
        <v>PIG LUN-CP3 VITON | Corpo completo (Eixo+Cabeçote+Nylon+Porca+Flange+Copo) | DN 8''|46241</v>
      </c>
    </row>
    <row r="38" spans="1:14" x14ac:dyDescent="0.3">
      <c r="A38" s="332"/>
      <c r="B38" s="335" t="s">
        <v>63</v>
      </c>
      <c r="C38" s="336" t="s">
        <v>1520</v>
      </c>
      <c r="D38" s="337">
        <f t="shared" si="0"/>
        <v>5087.7</v>
      </c>
      <c r="E38" s="332"/>
      <c r="F38" s="338">
        <v>46241</v>
      </c>
      <c r="G38" s="339" t="s">
        <v>1520</v>
      </c>
      <c r="H38" s="339" t="s">
        <v>63</v>
      </c>
      <c r="I38" s="339" t="s">
        <v>1522</v>
      </c>
      <c r="J38" s="340">
        <v>5087.7</v>
      </c>
      <c r="K38" s="341" t="str">
        <f t="shared" si="1"/>
        <v>1º registro</v>
      </c>
      <c r="L38" s="342" t="str">
        <f t="shared" si="2"/>
        <v/>
      </c>
      <c r="M38" s="339" t="s">
        <v>1523</v>
      </c>
      <c r="N38" s="343" t="str">
        <f t="shared" si="3"/>
        <v>PIG LUN-CP3 VITON | Corpo completo (Eixo+Cabeçote+Nylon+Porca+Flange+Copo) | DN 10''|46241</v>
      </c>
    </row>
    <row r="39" spans="1:14" x14ac:dyDescent="0.3">
      <c r="A39" s="332"/>
      <c r="B39" s="335" t="s">
        <v>64</v>
      </c>
      <c r="C39" s="336" t="s">
        <v>1520</v>
      </c>
      <c r="D39" s="337">
        <f t="shared" si="0"/>
        <v>6342.1</v>
      </c>
      <c r="E39" s="332"/>
      <c r="F39" s="338">
        <v>46241</v>
      </c>
      <c r="G39" s="339" t="s">
        <v>1520</v>
      </c>
      <c r="H39" s="339" t="s">
        <v>64</v>
      </c>
      <c r="I39" s="339" t="s">
        <v>1522</v>
      </c>
      <c r="J39" s="340">
        <v>6342.1</v>
      </c>
      <c r="K39" s="341" t="str">
        <f t="shared" si="1"/>
        <v>1º registro</v>
      </c>
      <c r="L39" s="342" t="str">
        <f t="shared" si="2"/>
        <v/>
      </c>
      <c r="M39" s="339" t="s">
        <v>1523</v>
      </c>
      <c r="N39" s="343" t="str">
        <f t="shared" si="3"/>
        <v>PIG LUN-CP3 VITON | Corpo completo (Eixo+Cabeçote+Nylon+Porca+Flange+Copo) | DN 12''|46241</v>
      </c>
    </row>
    <row r="40" spans="1:14" x14ac:dyDescent="0.3">
      <c r="A40" s="332"/>
      <c r="B40" s="335" t="s">
        <v>65</v>
      </c>
      <c r="C40" s="336" t="s">
        <v>1520</v>
      </c>
      <c r="D40" s="337">
        <f t="shared" si="0"/>
        <v>7761.4</v>
      </c>
      <c r="E40" s="332"/>
      <c r="F40" s="338">
        <v>46241</v>
      </c>
      <c r="G40" s="339" t="s">
        <v>1520</v>
      </c>
      <c r="H40" s="339" t="s">
        <v>65</v>
      </c>
      <c r="I40" s="339" t="s">
        <v>1522</v>
      </c>
      <c r="J40" s="340">
        <v>7761.4</v>
      </c>
      <c r="K40" s="341" t="str">
        <f t="shared" si="1"/>
        <v>1º registro</v>
      </c>
      <c r="L40" s="342" t="str">
        <f t="shared" si="2"/>
        <v/>
      </c>
      <c r="M40" s="339" t="s">
        <v>1523</v>
      </c>
      <c r="N40" s="343" t="str">
        <f t="shared" si="3"/>
        <v>PIG LUN-CP3 VITON | Corpo completo (Eixo+Cabeçote+Nylon+Porca+Flange+Copo) | DN 14''|46241</v>
      </c>
    </row>
    <row r="41" spans="1:14" x14ac:dyDescent="0.3">
      <c r="A41" s="332"/>
      <c r="B41" s="335" t="s">
        <v>67</v>
      </c>
      <c r="C41" s="336" t="s">
        <v>1521</v>
      </c>
      <c r="D41" s="337">
        <f t="shared" si="0"/>
        <v>39.47</v>
      </c>
      <c r="E41" s="332"/>
      <c r="F41" s="338">
        <v>46241</v>
      </c>
      <c r="G41" s="339" t="s">
        <v>1521</v>
      </c>
      <c r="H41" s="339" t="s">
        <v>67</v>
      </c>
      <c r="I41" s="339" t="s">
        <v>1522</v>
      </c>
      <c r="J41" s="340">
        <v>39.47</v>
      </c>
      <c r="K41" s="341" t="str">
        <f t="shared" si="1"/>
        <v>1º registro</v>
      </c>
      <c r="L41" s="342" t="str">
        <f t="shared" si="2"/>
        <v/>
      </c>
      <c r="M41" s="339" t="s">
        <v>1523</v>
      </c>
      <c r="N41" s="343" t="str">
        <f t="shared" si="3"/>
        <v>ELC (AÇO) | Produção (matéria-prima + HH) | DN 2|46241</v>
      </c>
    </row>
    <row r="42" spans="1:14" x14ac:dyDescent="0.3">
      <c r="A42" s="332"/>
      <c r="B42" s="335" t="s">
        <v>70</v>
      </c>
      <c r="C42" s="336" t="s">
        <v>1521</v>
      </c>
      <c r="D42" s="337">
        <f t="shared" si="0"/>
        <v>44.52</v>
      </c>
      <c r="E42" s="332"/>
      <c r="F42" s="338">
        <v>46241</v>
      </c>
      <c r="G42" s="339" t="s">
        <v>1521</v>
      </c>
      <c r="H42" s="339" t="s">
        <v>70</v>
      </c>
      <c r="I42" s="339" t="s">
        <v>1522</v>
      </c>
      <c r="J42" s="340">
        <v>44.52</v>
      </c>
      <c r="K42" s="341" t="str">
        <f t="shared" si="1"/>
        <v>1º registro</v>
      </c>
      <c r="L42" s="342" t="str">
        <f t="shared" si="2"/>
        <v/>
      </c>
      <c r="M42" s="339" t="s">
        <v>1523</v>
      </c>
      <c r="N42" s="343" t="str">
        <f t="shared" si="3"/>
        <v>ELC (AÇO) | Produção (matéria-prima + HH) | DN 3|46241</v>
      </c>
    </row>
    <row r="43" spans="1:14" x14ac:dyDescent="0.3">
      <c r="A43" s="332"/>
      <c r="B43" s="335" t="s">
        <v>71</v>
      </c>
      <c r="C43" s="336" t="s">
        <v>1521</v>
      </c>
      <c r="D43" s="337">
        <f t="shared" si="0"/>
        <v>90.22</v>
      </c>
      <c r="E43" s="332"/>
      <c r="F43" s="338">
        <v>46241</v>
      </c>
      <c r="G43" s="339" t="s">
        <v>1521</v>
      </c>
      <c r="H43" s="339" t="s">
        <v>71</v>
      </c>
      <c r="I43" s="339" t="s">
        <v>1522</v>
      </c>
      <c r="J43" s="340">
        <v>90.22</v>
      </c>
      <c r="K43" s="341" t="str">
        <f t="shared" si="1"/>
        <v>1º registro</v>
      </c>
      <c r="L43" s="342" t="str">
        <f t="shared" si="2"/>
        <v/>
      </c>
      <c r="M43" s="339" t="s">
        <v>1523</v>
      </c>
      <c r="N43" s="343" t="str">
        <f t="shared" si="3"/>
        <v>ELC (AÇO) | Produção (matéria-prima + HH) | DN 4|46241</v>
      </c>
    </row>
    <row r="44" spans="1:14" x14ac:dyDescent="0.3">
      <c r="A44" s="332"/>
      <c r="B44" s="335" t="s">
        <v>72</v>
      </c>
      <c r="C44" s="336" t="s">
        <v>1521</v>
      </c>
      <c r="D44" s="337">
        <f t="shared" si="0"/>
        <v>195.47</v>
      </c>
      <c r="E44" s="332"/>
      <c r="F44" s="338">
        <v>46241</v>
      </c>
      <c r="G44" s="339" t="s">
        <v>1521</v>
      </c>
      <c r="H44" s="339" t="s">
        <v>72</v>
      </c>
      <c r="I44" s="339" t="s">
        <v>1522</v>
      </c>
      <c r="J44" s="340">
        <v>195.47</v>
      </c>
      <c r="K44" s="341" t="str">
        <f t="shared" si="1"/>
        <v>1º registro</v>
      </c>
      <c r="L44" s="342" t="str">
        <f t="shared" si="2"/>
        <v/>
      </c>
      <c r="M44" s="339" t="s">
        <v>1523</v>
      </c>
      <c r="N44" s="343" t="str">
        <f t="shared" si="3"/>
        <v>ELC (AÇO) | Produção (matéria-prima + HH) | DN 6|46241</v>
      </c>
    </row>
    <row r="45" spans="1:14" x14ac:dyDescent="0.3">
      <c r="A45" s="332"/>
      <c r="B45" s="335" t="s">
        <v>73</v>
      </c>
      <c r="C45" s="336" t="s">
        <v>1521</v>
      </c>
      <c r="D45" s="337">
        <f t="shared" si="0"/>
        <v>216.86</v>
      </c>
      <c r="E45" s="332"/>
      <c r="F45" s="338">
        <v>46241</v>
      </c>
      <c r="G45" s="339" t="s">
        <v>1521</v>
      </c>
      <c r="H45" s="339" t="s">
        <v>73</v>
      </c>
      <c r="I45" s="339" t="s">
        <v>1522</v>
      </c>
      <c r="J45" s="340">
        <v>216.86</v>
      </c>
      <c r="K45" s="341" t="str">
        <f t="shared" si="1"/>
        <v>1º registro</v>
      </c>
      <c r="L45" s="342" t="str">
        <f t="shared" si="2"/>
        <v/>
      </c>
      <c r="M45" s="339" t="s">
        <v>1523</v>
      </c>
      <c r="N45" s="343" t="str">
        <f t="shared" si="3"/>
        <v>ELC (AÇO) | Produção (matéria-prima + HH) | DN 8|46241</v>
      </c>
    </row>
    <row r="46" spans="1:14" x14ac:dyDescent="0.3">
      <c r="A46" s="332"/>
      <c r="B46" s="335" t="s">
        <v>74</v>
      </c>
      <c r="C46" s="336" t="s">
        <v>1521</v>
      </c>
      <c r="D46" s="337">
        <f t="shared" si="0"/>
        <v>245.24</v>
      </c>
      <c r="E46" s="332"/>
      <c r="F46" s="338">
        <v>46241</v>
      </c>
      <c r="G46" s="339" t="s">
        <v>1521</v>
      </c>
      <c r="H46" s="339" t="s">
        <v>74</v>
      </c>
      <c r="I46" s="339" t="s">
        <v>1522</v>
      </c>
      <c r="J46" s="340">
        <v>245.24</v>
      </c>
      <c r="K46" s="341" t="str">
        <f t="shared" si="1"/>
        <v>1º registro</v>
      </c>
      <c r="L46" s="342" t="str">
        <f t="shared" si="2"/>
        <v/>
      </c>
      <c r="M46" s="339" t="s">
        <v>1523</v>
      </c>
      <c r="N46" s="343" t="str">
        <f t="shared" si="3"/>
        <v>ELC (AÇO) | Produção (matéria-prima + HH) | DN 10|46241</v>
      </c>
    </row>
    <row r="47" spans="1:14" x14ac:dyDescent="0.3">
      <c r="A47" s="332"/>
      <c r="B47" s="335" t="s">
        <v>75</v>
      </c>
      <c r="C47" s="336" t="s">
        <v>1521</v>
      </c>
      <c r="D47" s="337">
        <f t="shared" si="0"/>
        <v>292.75</v>
      </c>
      <c r="E47" s="332"/>
      <c r="F47" s="338">
        <v>46241</v>
      </c>
      <c r="G47" s="339" t="s">
        <v>1521</v>
      </c>
      <c r="H47" s="339" t="s">
        <v>75</v>
      </c>
      <c r="I47" s="339" t="s">
        <v>1522</v>
      </c>
      <c r="J47" s="340">
        <v>292.75</v>
      </c>
      <c r="K47" s="341" t="str">
        <f t="shared" si="1"/>
        <v>1º registro</v>
      </c>
      <c r="L47" s="342" t="str">
        <f t="shared" si="2"/>
        <v/>
      </c>
      <c r="M47" s="339" t="s">
        <v>1523</v>
      </c>
      <c r="N47" s="343" t="str">
        <f t="shared" si="3"/>
        <v>ELC (AÇO) | Produção (matéria-prima + HH) | DN 12|46241</v>
      </c>
    </row>
    <row r="48" spans="1:14" x14ac:dyDescent="0.3">
      <c r="A48" s="332"/>
      <c r="B48" s="335" t="s">
        <v>76</v>
      </c>
      <c r="C48" s="336" t="s">
        <v>1521</v>
      </c>
      <c r="D48" s="337">
        <f t="shared" si="0"/>
        <v>312.66000000000003</v>
      </c>
      <c r="E48" s="332"/>
      <c r="F48" s="338">
        <v>46241</v>
      </c>
      <c r="G48" s="339" t="s">
        <v>1521</v>
      </c>
      <c r="H48" s="339" t="s">
        <v>76</v>
      </c>
      <c r="I48" s="339" t="s">
        <v>1522</v>
      </c>
      <c r="J48" s="340">
        <v>312.66000000000003</v>
      </c>
      <c r="K48" s="341" t="str">
        <f t="shared" si="1"/>
        <v>1º registro</v>
      </c>
      <c r="L48" s="342" t="str">
        <f t="shared" si="2"/>
        <v/>
      </c>
      <c r="M48" s="339" t="s">
        <v>1523</v>
      </c>
      <c r="N48" s="343" t="str">
        <f t="shared" si="3"/>
        <v>ELC (AÇO) | Produção (matéria-prima + HH) | DN 14|46241</v>
      </c>
    </row>
    <row r="49" spans="1:14" x14ac:dyDescent="0.3">
      <c r="A49" s="332"/>
      <c r="B49" s="335" t="s">
        <v>77</v>
      </c>
      <c r="C49" s="336" t="s">
        <v>1521</v>
      </c>
      <c r="D49" s="337">
        <f t="shared" si="0"/>
        <v>366.22</v>
      </c>
      <c r="E49" s="332"/>
      <c r="F49" s="338">
        <v>46241</v>
      </c>
      <c r="G49" s="339" t="s">
        <v>1521</v>
      </c>
      <c r="H49" s="339" t="s">
        <v>77</v>
      </c>
      <c r="I49" s="339" t="s">
        <v>1522</v>
      </c>
      <c r="J49" s="340">
        <v>366.22</v>
      </c>
      <c r="K49" s="341" t="str">
        <f t="shared" si="1"/>
        <v>1º registro</v>
      </c>
      <c r="L49" s="342" t="str">
        <f t="shared" si="2"/>
        <v/>
      </c>
      <c r="M49" s="339" t="s">
        <v>1523</v>
      </c>
      <c r="N49" s="343" t="str">
        <f t="shared" si="3"/>
        <v>ELC (AÇO) | Produção (matéria-prima + HH) | DN 16|46241</v>
      </c>
    </row>
    <row r="50" spans="1:14" x14ac:dyDescent="0.3">
      <c r="A50" s="332"/>
      <c r="B50" s="335" t="s">
        <v>78</v>
      </c>
      <c r="C50" s="336" t="s">
        <v>1521</v>
      </c>
      <c r="D50" s="337">
        <f t="shared" si="0"/>
        <v>523.02</v>
      </c>
      <c r="E50" s="332"/>
      <c r="F50" s="338">
        <v>46241</v>
      </c>
      <c r="G50" s="339" t="s">
        <v>1521</v>
      </c>
      <c r="H50" s="339" t="s">
        <v>78</v>
      </c>
      <c r="I50" s="339" t="s">
        <v>1522</v>
      </c>
      <c r="J50" s="340">
        <v>523.02</v>
      </c>
      <c r="K50" s="341" t="str">
        <f t="shared" si="1"/>
        <v>1º registro</v>
      </c>
      <c r="L50" s="342" t="str">
        <f t="shared" si="2"/>
        <v/>
      </c>
      <c r="M50" s="339" t="s">
        <v>1523</v>
      </c>
      <c r="N50" s="343" t="str">
        <f t="shared" si="3"/>
        <v>ELC (AÇO) | Produção (matéria-prima + HH) | DN 18|46241</v>
      </c>
    </row>
    <row r="51" spans="1:14" x14ac:dyDescent="0.3">
      <c r="A51" s="332"/>
      <c r="B51" s="335" t="s">
        <v>79</v>
      </c>
      <c r="C51" s="336" t="s">
        <v>1521</v>
      </c>
      <c r="D51" s="337">
        <f t="shared" si="0"/>
        <v>634.63</v>
      </c>
      <c r="E51" s="332"/>
      <c r="F51" s="338">
        <v>46241</v>
      </c>
      <c r="G51" s="339" t="s">
        <v>1521</v>
      </c>
      <c r="H51" s="339" t="s">
        <v>79</v>
      </c>
      <c r="I51" s="339" t="s">
        <v>1522</v>
      </c>
      <c r="J51" s="340">
        <v>634.63</v>
      </c>
      <c r="K51" s="341" t="str">
        <f t="shared" si="1"/>
        <v>1º registro</v>
      </c>
      <c r="L51" s="342" t="str">
        <f t="shared" si="2"/>
        <v/>
      </c>
      <c r="M51" s="339" t="s">
        <v>1523</v>
      </c>
      <c r="N51" s="343" t="str">
        <f t="shared" si="3"/>
        <v>ELC (AÇO) | Produção (matéria-prima + HH) | DN 20|46241</v>
      </c>
    </row>
    <row r="52" spans="1:14" x14ac:dyDescent="0.3">
      <c r="A52" s="332"/>
      <c r="B52" s="335" t="s">
        <v>80</v>
      </c>
      <c r="C52" s="336" t="s">
        <v>1521</v>
      </c>
      <c r="D52" s="337">
        <f t="shared" si="0"/>
        <v>730.18</v>
      </c>
      <c r="E52" s="332"/>
      <c r="F52" s="338">
        <v>46241</v>
      </c>
      <c r="G52" s="339" t="s">
        <v>1521</v>
      </c>
      <c r="H52" s="339" t="s">
        <v>80</v>
      </c>
      <c r="I52" s="339" t="s">
        <v>1522</v>
      </c>
      <c r="J52" s="340">
        <v>730.18</v>
      </c>
      <c r="K52" s="341" t="str">
        <f t="shared" si="1"/>
        <v>1º registro</v>
      </c>
      <c r="L52" s="342" t="str">
        <f t="shared" si="2"/>
        <v/>
      </c>
      <c r="M52" s="339" t="s">
        <v>1523</v>
      </c>
      <c r="N52" s="343" t="str">
        <f t="shared" si="3"/>
        <v>ELC (AÇO) | Produção (matéria-prima + HH) | DN 22|46241</v>
      </c>
    </row>
    <row r="53" spans="1:14" x14ac:dyDescent="0.3">
      <c r="A53" s="332"/>
      <c r="B53" s="335" t="s">
        <v>81</v>
      </c>
      <c r="C53" s="336" t="s">
        <v>1521</v>
      </c>
      <c r="D53" s="337">
        <f t="shared" si="0"/>
        <v>933.55</v>
      </c>
      <c r="E53" s="332"/>
      <c r="F53" s="338">
        <v>46241</v>
      </c>
      <c r="G53" s="339" t="s">
        <v>1521</v>
      </c>
      <c r="H53" s="339" t="s">
        <v>81</v>
      </c>
      <c r="I53" s="339" t="s">
        <v>1522</v>
      </c>
      <c r="J53" s="340">
        <v>933.55</v>
      </c>
      <c r="K53" s="341" t="str">
        <f t="shared" si="1"/>
        <v>1º registro</v>
      </c>
      <c r="L53" s="342" t="str">
        <f t="shared" si="2"/>
        <v/>
      </c>
      <c r="M53" s="339" t="s">
        <v>1523</v>
      </c>
      <c r="N53" s="343" t="str">
        <f t="shared" si="3"/>
        <v>ELC (AÇO) | Produção (matéria-prima + HH) | DN 24|46241</v>
      </c>
    </row>
    <row r="54" spans="1:14" x14ac:dyDescent="0.3">
      <c r="A54" s="332"/>
      <c r="B54" s="335" t="s">
        <v>82</v>
      </c>
      <c r="C54" s="336" t="s">
        <v>1521</v>
      </c>
      <c r="D54" s="337">
        <f t="shared" si="0"/>
        <v>1026.8900000000001</v>
      </c>
      <c r="E54" s="332"/>
      <c r="F54" s="338">
        <v>46241</v>
      </c>
      <c r="G54" s="339" t="s">
        <v>1521</v>
      </c>
      <c r="H54" s="339" t="s">
        <v>82</v>
      </c>
      <c r="I54" s="339" t="s">
        <v>1522</v>
      </c>
      <c r="J54" s="340">
        <v>1026.8900000000001</v>
      </c>
      <c r="K54" s="341" t="str">
        <f t="shared" si="1"/>
        <v>1º registro</v>
      </c>
      <c r="L54" s="342" t="str">
        <f t="shared" si="2"/>
        <v/>
      </c>
      <c r="M54" s="339" t="s">
        <v>1523</v>
      </c>
      <c r="N54" s="343" t="str">
        <f t="shared" si="3"/>
        <v>ELC (AÇO) | Produção (matéria-prima + HH) | DN 26|46241</v>
      </c>
    </row>
    <row r="55" spans="1:14" x14ac:dyDescent="0.3">
      <c r="A55" s="332"/>
      <c r="B55" s="335" t="s">
        <v>83</v>
      </c>
      <c r="C55" s="336" t="s">
        <v>1521</v>
      </c>
      <c r="D55" s="337">
        <f t="shared" si="0"/>
        <v>1124.3599999999999</v>
      </c>
      <c r="E55" s="332"/>
      <c r="F55" s="338">
        <v>46241</v>
      </c>
      <c r="G55" s="339" t="s">
        <v>1521</v>
      </c>
      <c r="H55" s="339" t="s">
        <v>83</v>
      </c>
      <c r="I55" s="339" t="s">
        <v>1522</v>
      </c>
      <c r="J55" s="340">
        <v>1124.3599999999999</v>
      </c>
      <c r="K55" s="341" t="str">
        <f t="shared" si="1"/>
        <v>1º registro</v>
      </c>
      <c r="L55" s="342" t="str">
        <f t="shared" si="2"/>
        <v/>
      </c>
      <c r="M55" s="339" t="s">
        <v>1523</v>
      </c>
      <c r="N55" s="343" t="str">
        <f t="shared" si="3"/>
        <v>ELC (AÇO) | Produção (matéria-prima + HH) | DN 28|46241</v>
      </c>
    </row>
    <row r="56" spans="1:14" x14ac:dyDescent="0.3">
      <c r="A56" s="332"/>
      <c r="B56" s="335" t="s">
        <v>84</v>
      </c>
      <c r="C56" s="336" t="s">
        <v>1521</v>
      </c>
      <c r="D56" s="337">
        <f t="shared" si="0"/>
        <v>1438.86</v>
      </c>
      <c r="E56" s="332"/>
      <c r="F56" s="338">
        <v>46241</v>
      </c>
      <c r="G56" s="339" t="s">
        <v>1521</v>
      </c>
      <c r="H56" s="339" t="s">
        <v>84</v>
      </c>
      <c r="I56" s="339" t="s">
        <v>1522</v>
      </c>
      <c r="J56" s="340">
        <v>1438.86</v>
      </c>
      <c r="K56" s="341" t="str">
        <f t="shared" si="1"/>
        <v>1º registro</v>
      </c>
      <c r="L56" s="342" t="str">
        <f t="shared" si="2"/>
        <v/>
      </c>
      <c r="M56" s="339" t="s">
        <v>1523</v>
      </c>
      <c r="N56" s="343" t="str">
        <f t="shared" si="3"/>
        <v>ELC (AÇO) | Produção (matéria-prima + HH) | DN 30|46241</v>
      </c>
    </row>
    <row r="57" spans="1:14" x14ac:dyDescent="0.3">
      <c r="A57" s="332"/>
      <c r="B57" s="335" t="s">
        <v>85</v>
      </c>
      <c r="C57" s="336" t="s">
        <v>1521</v>
      </c>
      <c r="D57" s="337">
        <f t="shared" si="0"/>
        <v>1547.98</v>
      </c>
      <c r="E57" s="332"/>
      <c r="F57" s="338">
        <v>46241</v>
      </c>
      <c r="G57" s="339" t="s">
        <v>1521</v>
      </c>
      <c r="H57" s="339" t="s">
        <v>85</v>
      </c>
      <c r="I57" s="339" t="s">
        <v>1522</v>
      </c>
      <c r="J57" s="340">
        <v>1547.98</v>
      </c>
      <c r="K57" s="341" t="str">
        <f t="shared" si="1"/>
        <v>1º registro</v>
      </c>
      <c r="L57" s="342" t="str">
        <f t="shared" si="2"/>
        <v/>
      </c>
      <c r="M57" s="339" t="s">
        <v>1523</v>
      </c>
      <c r="N57" s="343" t="str">
        <f t="shared" si="3"/>
        <v>ELC (AÇO) | Produção (matéria-prima + HH) | DN 32|46241</v>
      </c>
    </row>
    <row r="58" spans="1:14" x14ac:dyDescent="0.3">
      <c r="A58" s="332"/>
      <c r="B58" s="335" t="s">
        <v>86</v>
      </c>
      <c r="C58" s="336" t="s">
        <v>1521</v>
      </c>
      <c r="D58" s="337">
        <f t="shared" si="0"/>
        <v>1738.11</v>
      </c>
      <c r="E58" s="332"/>
      <c r="F58" s="338">
        <v>46241</v>
      </c>
      <c r="G58" s="339" t="s">
        <v>1521</v>
      </c>
      <c r="H58" s="339" t="s">
        <v>86</v>
      </c>
      <c r="I58" s="339" t="s">
        <v>1522</v>
      </c>
      <c r="J58" s="340">
        <v>1738.11</v>
      </c>
      <c r="K58" s="341" t="str">
        <f t="shared" si="1"/>
        <v>1º registro</v>
      </c>
      <c r="L58" s="342" t="str">
        <f t="shared" si="2"/>
        <v/>
      </c>
      <c r="M58" s="339" t="s">
        <v>1523</v>
      </c>
      <c r="N58" s="343" t="str">
        <f t="shared" si="3"/>
        <v>ELC (AÇO) | Produção (matéria-prima + HH) | DN 34|46241</v>
      </c>
    </row>
    <row r="59" spans="1:14" x14ac:dyDescent="0.3">
      <c r="A59" s="332"/>
      <c r="B59" s="335" t="s">
        <v>87</v>
      </c>
      <c r="C59" s="336" t="s">
        <v>1521</v>
      </c>
      <c r="D59" s="337">
        <f t="shared" si="0"/>
        <v>1865.62</v>
      </c>
      <c r="E59" s="332"/>
      <c r="F59" s="338">
        <v>46241</v>
      </c>
      <c r="G59" s="339" t="s">
        <v>1521</v>
      </c>
      <c r="H59" s="339" t="s">
        <v>87</v>
      </c>
      <c r="I59" s="339" t="s">
        <v>1522</v>
      </c>
      <c r="J59" s="340">
        <v>1865.62</v>
      </c>
      <c r="K59" s="341" t="str">
        <f t="shared" si="1"/>
        <v>1º registro</v>
      </c>
      <c r="L59" s="342" t="str">
        <f t="shared" si="2"/>
        <v/>
      </c>
      <c r="M59" s="339" t="s">
        <v>1523</v>
      </c>
      <c r="N59" s="343" t="str">
        <f t="shared" si="3"/>
        <v>ELC (AÇO) | Produção (matéria-prima + HH) | DN 36|46241</v>
      </c>
    </row>
    <row r="60" spans="1:14" x14ac:dyDescent="0.3">
      <c r="A60" s="332"/>
      <c r="B60" s="335" t="s">
        <v>88</v>
      </c>
      <c r="C60" s="336" t="s">
        <v>1521</v>
      </c>
      <c r="D60" s="337">
        <f t="shared" si="0"/>
        <v>2796.47</v>
      </c>
      <c r="E60" s="332"/>
      <c r="F60" s="338">
        <v>46241</v>
      </c>
      <c r="G60" s="339" t="s">
        <v>1521</v>
      </c>
      <c r="H60" s="339" t="s">
        <v>88</v>
      </c>
      <c r="I60" s="339" t="s">
        <v>1522</v>
      </c>
      <c r="J60" s="340">
        <v>2796.47</v>
      </c>
      <c r="K60" s="341" t="str">
        <f t="shared" si="1"/>
        <v>1º registro</v>
      </c>
      <c r="L60" s="342" t="str">
        <f t="shared" si="2"/>
        <v/>
      </c>
      <c r="M60" s="339" t="s">
        <v>1523</v>
      </c>
      <c r="N60" s="343" t="str">
        <f t="shared" si="3"/>
        <v>ELC (AÇO) | Produção (matéria-prima + HH) | DN 38|46241</v>
      </c>
    </row>
    <row r="61" spans="1:14" x14ac:dyDescent="0.3">
      <c r="A61" s="332"/>
      <c r="B61" s="335" t="s">
        <v>89</v>
      </c>
      <c r="C61" s="336" t="s">
        <v>1521</v>
      </c>
      <c r="D61" s="337">
        <f t="shared" si="0"/>
        <v>2965.23</v>
      </c>
      <c r="E61" s="332"/>
      <c r="F61" s="338">
        <v>46241</v>
      </c>
      <c r="G61" s="339" t="s">
        <v>1521</v>
      </c>
      <c r="H61" s="339" t="s">
        <v>89</v>
      </c>
      <c r="I61" s="339" t="s">
        <v>1522</v>
      </c>
      <c r="J61" s="340">
        <v>2965.23</v>
      </c>
      <c r="K61" s="341" t="str">
        <f t="shared" si="1"/>
        <v>1º registro</v>
      </c>
      <c r="L61" s="342" t="str">
        <f t="shared" si="2"/>
        <v/>
      </c>
      <c r="M61" s="339" t="s">
        <v>1523</v>
      </c>
      <c r="N61" s="343" t="str">
        <f t="shared" si="3"/>
        <v>ELC (AÇO) | Produção (matéria-prima + HH) | DN 40|46241</v>
      </c>
    </row>
    <row r="62" spans="1:14" x14ac:dyDescent="0.3">
      <c r="A62" s="332"/>
      <c r="B62" s="335" t="s">
        <v>90</v>
      </c>
      <c r="C62" s="336" t="s">
        <v>1521</v>
      </c>
      <c r="D62" s="337">
        <f t="shared" si="0"/>
        <v>3124.09</v>
      </c>
      <c r="E62" s="332"/>
      <c r="F62" s="338">
        <v>46241</v>
      </c>
      <c r="G62" s="339" t="s">
        <v>1521</v>
      </c>
      <c r="H62" s="339" t="s">
        <v>90</v>
      </c>
      <c r="I62" s="339" t="s">
        <v>1522</v>
      </c>
      <c r="J62" s="340">
        <v>3124.09</v>
      </c>
      <c r="K62" s="341" t="str">
        <f t="shared" si="1"/>
        <v>1º registro</v>
      </c>
      <c r="L62" s="342" t="str">
        <f t="shared" si="2"/>
        <v/>
      </c>
      <c r="M62" s="339" t="s">
        <v>1523</v>
      </c>
      <c r="N62" s="343" t="str">
        <f t="shared" si="3"/>
        <v>ELC (AÇO) | Produção (matéria-prima + HH) | DN 42|46241</v>
      </c>
    </row>
    <row r="63" spans="1:14" x14ac:dyDescent="0.3">
      <c r="A63" s="332"/>
      <c r="B63" s="335" t="s">
        <v>91</v>
      </c>
      <c r="C63" s="336" t="s">
        <v>1521</v>
      </c>
      <c r="D63" s="337">
        <f t="shared" si="0"/>
        <v>105.88</v>
      </c>
      <c r="E63" s="332"/>
      <c r="F63" s="338">
        <v>46241</v>
      </c>
      <c r="G63" s="339" t="s">
        <v>1521</v>
      </c>
      <c r="H63" s="339" t="s">
        <v>91</v>
      </c>
      <c r="I63" s="339" t="s">
        <v>1522</v>
      </c>
      <c r="J63" s="340">
        <v>105.88</v>
      </c>
      <c r="K63" s="341" t="str">
        <f t="shared" si="1"/>
        <v>1º registro</v>
      </c>
      <c r="L63" s="342" t="str">
        <f t="shared" si="2"/>
        <v/>
      </c>
      <c r="M63" s="339" t="s">
        <v>1523</v>
      </c>
      <c r="N63" s="343" t="str">
        <f t="shared" si="3"/>
        <v>ELP (PP) | Produção (matéria-prima + HH) | DN 2|46241</v>
      </c>
    </row>
    <row r="64" spans="1:14" x14ac:dyDescent="0.3">
      <c r="A64" s="332"/>
      <c r="B64" s="335" t="s">
        <v>93</v>
      </c>
      <c r="C64" s="336" t="s">
        <v>1521</v>
      </c>
      <c r="D64" s="337">
        <f t="shared" si="0"/>
        <v>133.41999999999999</v>
      </c>
      <c r="E64" s="332"/>
      <c r="F64" s="338">
        <v>46241</v>
      </c>
      <c r="G64" s="339" t="s">
        <v>1521</v>
      </c>
      <c r="H64" s="339" t="s">
        <v>93</v>
      </c>
      <c r="I64" s="339" t="s">
        <v>1522</v>
      </c>
      <c r="J64" s="340">
        <v>133.41999999999999</v>
      </c>
      <c r="K64" s="341" t="str">
        <f t="shared" si="1"/>
        <v>1º registro</v>
      </c>
      <c r="L64" s="342" t="str">
        <f t="shared" si="2"/>
        <v/>
      </c>
      <c r="M64" s="339" t="s">
        <v>1523</v>
      </c>
      <c r="N64" s="343" t="str">
        <f t="shared" si="3"/>
        <v>ELP (PP) | Produção (matéria-prima + HH) | DN 3|46241</v>
      </c>
    </row>
    <row r="65" spans="1:14" x14ac:dyDescent="0.3">
      <c r="A65" s="332"/>
      <c r="B65" s="335" t="s">
        <v>94</v>
      </c>
      <c r="C65" s="336" t="s">
        <v>1521</v>
      </c>
      <c r="D65" s="337">
        <f t="shared" si="0"/>
        <v>153.12</v>
      </c>
      <c r="E65" s="332"/>
      <c r="F65" s="338">
        <v>46241</v>
      </c>
      <c r="G65" s="339" t="s">
        <v>1521</v>
      </c>
      <c r="H65" s="339" t="s">
        <v>94</v>
      </c>
      <c r="I65" s="339" t="s">
        <v>1522</v>
      </c>
      <c r="J65" s="340">
        <v>153.12</v>
      </c>
      <c r="K65" s="341" t="str">
        <f t="shared" si="1"/>
        <v>1º registro</v>
      </c>
      <c r="L65" s="342" t="str">
        <f t="shared" si="2"/>
        <v/>
      </c>
      <c r="M65" s="339" t="s">
        <v>1523</v>
      </c>
      <c r="N65" s="343" t="str">
        <f t="shared" si="3"/>
        <v>ELP (PP) | Produção (matéria-prima + HH) | DN 4|46241</v>
      </c>
    </row>
    <row r="66" spans="1:14" x14ac:dyDescent="0.3">
      <c r="A66" s="332"/>
      <c r="B66" s="335" t="s">
        <v>95</v>
      </c>
      <c r="C66" s="336" t="s">
        <v>1521</v>
      </c>
      <c r="D66" s="337">
        <f t="shared" si="0"/>
        <v>190</v>
      </c>
      <c r="E66" s="332"/>
      <c r="F66" s="338">
        <v>46241</v>
      </c>
      <c r="G66" s="339" t="s">
        <v>1521</v>
      </c>
      <c r="H66" s="339" t="s">
        <v>95</v>
      </c>
      <c r="I66" s="339" t="s">
        <v>1522</v>
      </c>
      <c r="J66" s="340">
        <v>190</v>
      </c>
      <c r="K66" s="341" t="str">
        <f t="shared" si="1"/>
        <v>1º registro</v>
      </c>
      <c r="L66" s="342" t="str">
        <f t="shared" si="2"/>
        <v/>
      </c>
      <c r="M66" s="339" t="s">
        <v>1523</v>
      </c>
      <c r="N66" s="343" t="str">
        <f t="shared" si="3"/>
        <v>ELP (PP) | Produção (matéria-prima + HH) | DN 6|46241</v>
      </c>
    </row>
    <row r="67" spans="1:14" x14ac:dyDescent="0.3">
      <c r="A67" s="332"/>
      <c r="B67" s="335" t="s">
        <v>96</v>
      </c>
      <c r="C67" s="336" t="s">
        <v>1521</v>
      </c>
      <c r="D67" s="337">
        <f t="shared" si="0"/>
        <v>205.62</v>
      </c>
      <c r="E67" s="332"/>
      <c r="F67" s="338">
        <v>46241</v>
      </c>
      <c r="G67" s="339" t="s">
        <v>1521</v>
      </c>
      <c r="H67" s="339" t="s">
        <v>96</v>
      </c>
      <c r="I67" s="339" t="s">
        <v>1522</v>
      </c>
      <c r="J67" s="340">
        <v>205.62</v>
      </c>
      <c r="K67" s="341" t="str">
        <f t="shared" si="1"/>
        <v>1º registro</v>
      </c>
      <c r="L67" s="342" t="str">
        <f t="shared" si="2"/>
        <v/>
      </c>
      <c r="M67" s="339" t="s">
        <v>1523</v>
      </c>
      <c r="N67" s="343" t="str">
        <f t="shared" si="3"/>
        <v>ELP (PP) | Produção (matéria-prima + HH) | DN 8|46241</v>
      </c>
    </row>
    <row r="68" spans="1:14" x14ac:dyDescent="0.3">
      <c r="A68" s="332"/>
      <c r="B68" s="335" t="s">
        <v>97</v>
      </c>
      <c r="C68" s="336" t="s">
        <v>1521</v>
      </c>
      <c r="D68" s="337">
        <f t="shared" si="0"/>
        <v>215.08</v>
      </c>
      <c r="E68" s="332"/>
      <c r="F68" s="338">
        <v>46241</v>
      </c>
      <c r="G68" s="339" t="s">
        <v>1521</v>
      </c>
      <c r="H68" s="339" t="s">
        <v>97</v>
      </c>
      <c r="I68" s="339" t="s">
        <v>1522</v>
      </c>
      <c r="J68" s="340">
        <v>215.08</v>
      </c>
      <c r="K68" s="341" t="str">
        <f t="shared" si="1"/>
        <v>1º registro</v>
      </c>
      <c r="L68" s="342" t="str">
        <f t="shared" si="2"/>
        <v/>
      </c>
      <c r="M68" s="339" t="s">
        <v>1523</v>
      </c>
      <c r="N68" s="343" t="str">
        <f t="shared" si="3"/>
        <v>ELP (PP) | Produção (matéria-prima + HH) | DN 10|46241</v>
      </c>
    </row>
    <row r="69" spans="1:14" x14ac:dyDescent="0.3">
      <c r="A69" s="332"/>
      <c r="B69" s="335" t="s">
        <v>98</v>
      </c>
      <c r="C69" s="336" t="s">
        <v>1521</v>
      </c>
      <c r="D69" s="337">
        <f t="shared" si="0"/>
        <v>230.916666666666</v>
      </c>
      <c r="E69" s="332"/>
      <c r="F69" s="338">
        <v>46241</v>
      </c>
      <c r="G69" s="339" t="s">
        <v>1521</v>
      </c>
      <c r="H69" s="339" t="s">
        <v>98</v>
      </c>
      <c r="I69" s="339" t="s">
        <v>1522</v>
      </c>
      <c r="J69" s="340">
        <v>230.916666666666</v>
      </c>
      <c r="K69" s="341" t="str">
        <f t="shared" si="1"/>
        <v>1º registro</v>
      </c>
      <c r="L69" s="342" t="str">
        <f t="shared" si="2"/>
        <v/>
      </c>
      <c r="M69" s="339" t="s">
        <v>1523</v>
      </c>
      <c r="N69" s="343" t="str">
        <f t="shared" si="3"/>
        <v>ELP (PP) | Produção (matéria-prima + HH) | DN 12|46241</v>
      </c>
    </row>
    <row r="70" spans="1:14" x14ac:dyDescent="0.3">
      <c r="A70" s="332"/>
      <c r="B70" s="335" t="s">
        <v>99</v>
      </c>
      <c r="C70" s="336" t="s">
        <v>1521</v>
      </c>
      <c r="D70" s="337">
        <f t="shared" si="0"/>
        <v>237.553333333333</v>
      </c>
      <c r="E70" s="332"/>
      <c r="F70" s="338">
        <v>46241</v>
      </c>
      <c r="G70" s="339" t="s">
        <v>1521</v>
      </c>
      <c r="H70" s="339" t="s">
        <v>99</v>
      </c>
      <c r="I70" s="339" t="s">
        <v>1522</v>
      </c>
      <c r="J70" s="340">
        <v>237.553333333333</v>
      </c>
      <c r="K70" s="341" t="str">
        <f t="shared" si="1"/>
        <v>1º registro</v>
      </c>
      <c r="L70" s="342" t="str">
        <f t="shared" si="2"/>
        <v/>
      </c>
      <c r="M70" s="339" t="s">
        <v>1523</v>
      </c>
      <c r="N70" s="343" t="str">
        <f t="shared" si="3"/>
        <v>ELP (PP) | Produção (matéria-prima + HH) | DN 14|46241</v>
      </c>
    </row>
    <row r="71" spans="1:14" x14ac:dyDescent="0.3">
      <c r="A71" s="332"/>
      <c r="B71" s="335" t="s">
        <v>100</v>
      </c>
      <c r="C71" s="336" t="s">
        <v>1521</v>
      </c>
      <c r="D71" s="337">
        <f t="shared" si="0"/>
        <v>255.40666666666601</v>
      </c>
      <c r="E71" s="332"/>
      <c r="F71" s="338">
        <v>46241</v>
      </c>
      <c r="G71" s="339" t="s">
        <v>1521</v>
      </c>
      <c r="H71" s="339" t="s">
        <v>100</v>
      </c>
      <c r="I71" s="339" t="s">
        <v>1522</v>
      </c>
      <c r="J71" s="340">
        <v>255.40666666666601</v>
      </c>
      <c r="K71" s="341" t="str">
        <f t="shared" si="1"/>
        <v>1º registro</v>
      </c>
      <c r="L71" s="342" t="str">
        <f t="shared" si="2"/>
        <v/>
      </c>
      <c r="M71" s="339" t="s">
        <v>1523</v>
      </c>
      <c r="N71" s="343" t="str">
        <f t="shared" si="3"/>
        <v>ELP (PP) | Produção (matéria-prima + HH) | DN 16|46241</v>
      </c>
    </row>
    <row r="72" spans="1:14" x14ac:dyDescent="0.3">
      <c r="A72" s="332"/>
      <c r="B72" s="335" t="s">
        <v>101</v>
      </c>
      <c r="C72" s="336" t="s">
        <v>1521</v>
      </c>
      <c r="D72" s="337">
        <f t="shared" si="0"/>
        <v>307.67333333333301</v>
      </c>
      <c r="E72" s="332"/>
      <c r="F72" s="338">
        <v>46241</v>
      </c>
      <c r="G72" s="339" t="s">
        <v>1521</v>
      </c>
      <c r="H72" s="339" t="s">
        <v>101</v>
      </c>
      <c r="I72" s="339" t="s">
        <v>1522</v>
      </c>
      <c r="J72" s="340">
        <v>307.67333333333301</v>
      </c>
      <c r="K72" s="341" t="str">
        <f t="shared" si="1"/>
        <v>1º registro</v>
      </c>
      <c r="L72" s="342" t="str">
        <f t="shared" si="2"/>
        <v/>
      </c>
      <c r="M72" s="339" t="s">
        <v>1523</v>
      </c>
      <c r="N72" s="343" t="str">
        <f t="shared" si="3"/>
        <v>ELP (PP) | Produção (matéria-prima + HH) | DN 18|46241</v>
      </c>
    </row>
    <row r="73" spans="1:14" x14ac:dyDescent="0.3">
      <c r="A73" s="332"/>
      <c r="B73" s="335" t="s">
        <v>102</v>
      </c>
      <c r="C73" s="336" t="s">
        <v>1521</v>
      </c>
      <c r="D73" s="337">
        <f t="shared" si="0"/>
        <v>371.54333333333301</v>
      </c>
      <c r="E73" s="332"/>
      <c r="F73" s="338">
        <v>46241</v>
      </c>
      <c r="G73" s="339" t="s">
        <v>1521</v>
      </c>
      <c r="H73" s="339" t="s">
        <v>102</v>
      </c>
      <c r="I73" s="339" t="s">
        <v>1522</v>
      </c>
      <c r="J73" s="340">
        <v>371.54333333333301</v>
      </c>
      <c r="K73" s="341" t="str">
        <f t="shared" si="1"/>
        <v>1º registro</v>
      </c>
      <c r="L73" s="342" t="str">
        <f t="shared" si="2"/>
        <v/>
      </c>
      <c r="M73" s="339" t="s">
        <v>1523</v>
      </c>
      <c r="N73" s="343" t="str">
        <f t="shared" si="3"/>
        <v>ELP (PP) | Produção (matéria-prima + HH) | DN 20|46241</v>
      </c>
    </row>
    <row r="74" spans="1:14" x14ac:dyDescent="0.3">
      <c r="A74" s="332"/>
      <c r="B74" s="335" t="s">
        <v>103</v>
      </c>
      <c r="C74" s="336" t="s">
        <v>1521</v>
      </c>
      <c r="D74" s="337">
        <f t="shared" si="0"/>
        <v>403.39333333333298</v>
      </c>
      <c r="E74" s="332"/>
      <c r="F74" s="338">
        <v>46241</v>
      </c>
      <c r="G74" s="339" t="s">
        <v>1521</v>
      </c>
      <c r="H74" s="339" t="s">
        <v>103</v>
      </c>
      <c r="I74" s="339" t="s">
        <v>1522</v>
      </c>
      <c r="J74" s="340">
        <v>403.39333333333298</v>
      </c>
      <c r="K74" s="341" t="str">
        <f t="shared" si="1"/>
        <v>1º registro</v>
      </c>
      <c r="L74" s="342" t="str">
        <f t="shared" si="2"/>
        <v/>
      </c>
      <c r="M74" s="339" t="s">
        <v>1523</v>
      </c>
      <c r="N74" s="343" t="str">
        <f t="shared" si="3"/>
        <v>ELP (PP) | Produção (matéria-prima + HH) | DN 22|46241</v>
      </c>
    </row>
    <row r="75" spans="1:14" x14ac:dyDescent="0.3">
      <c r="A75" s="332"/>
      <c r="B75" s="335" t="s">
        <v>104</v>
      </c>
      <c r="C75" s="336" t="s">
        <v>1521</v>
      </c>
      <c r="D75" s="337">
        <f t="shared" si="0"/>
        <v>471.183333333333</v>
      </c>
      <c r="E75" s="332"/>
      <c r="F75" s="338">
        <v>46241</v>
      </c>
      <c r="G75" s="339" t="s">
        <v>1521</v>
      </c>
      <c r="H75" s="339" t="s">
        <v>104</v>
      </c>
      <c r="I75" s="339" t="s">
        <v>1522</v>
      </c>
      <c r="J75" s="340">
        <v>471.183333333333</v>
      </c>
      <c r="K75" s="341" t="str">
        <f t="shared" si="1"/>
        <v>1º registro</v>
      </c>
      <c r="L75" s="342" t="str">
        <f t="shared" si="2"/>
        <v/>
      </c>
      <c r="M75" s="339" t="s">
        <v>1523</v>
      </c>
      <c r="N75" s="343" t="str">
        <f t="shared" si="3"/>
        <v>ELP (PP) | Produção (matéria-prima + HH) | DN 24|46241</v>
      </c>
    </row>
    <row r="76" spans="1:14" x14ac:dyDescent="0.3">
      <c r="A76" s="332"/>
      <c r="B76" s="335" t="s">
        <v>105</v>
      </c>
      <c r="C76" s="336" t="s">
        <v>1521</v>
      </c>
      <c r="D76" s="337">
        <f t="shared" si="0"/>
        <v>502.29666666666702</v>
      </c>
      <c r="E76" s="332"/>
      <c r="F76" s="338">
        <v>46241</v>
      </c>
      <c r="G76" s="339" t="s">
        <v>1521</v>
      </c>
      <c r="H76" s="339" t="s">
        <v>105</v>
      </c>
      <c r="I76" s="339" t="s">
        <v>1522</v>
      </c>
      <c r="J76" s="340">
        <v>502.29666666666702</v>
      </c>
      <c r="K76" s="341" t="str">
        <f t="shared" si="1"/>
        <v>1º registro</v>
      </c>
      <c r="L76" s="342" t="str">
        <f t="shared" si="2"/>
        <v/>
      </c>
      <c r="M76" s="339" t="s">
        <v>1523</v>
      </c>
      <c r="N76" s="343" t="str">
        <f t="shared" si="3"/>
        <v>ELP (PP) | Produção (matéria-prima + HH) | DN 26|46241</v>
      </c>
    </row>
    <row r="77" spans="1:14" x14ac:dyDescent="0.3">
      <c r="A77" s="332"/>
      <c r="B77" s="335" t="s">
        <v>106</v>
      </c>
      <c r="C77" s="336" t="s">
        <v>1521</v>
      </c>
      <c r="D77" s="337">
        <f t="shared" si="0"/>
        <v>534.78666666666697</v>
      </c>
      <c r="E77" s="332"/>
      <c r="F77" s="338">
        <v>46241</v>
      </c>
      <c r="G77" s="339" t="s">
        <v>1521</v>
      </c>
      <c r="H77" s="339" t="s">
        <v>106</v>
      </c>
      <c r="I77" s="339" t="s">
        <v>1522</v>
      </c>
      <c r="J77" s="340">
        <v>534.78666666666697</v>
      </c>
      <c r="K77" s="341" t="str">
        <f t="shared" si="1"/>
        <v>1º registro</v>
      </c>
      <c r="L77" s="342" t="str">
        <f t="shared" si="2"/>
        <v/>
      </c>
      <c r="M77" s="339" t="s">
        <v>1523</v>
      </c>
      <c r="N77" s="343" t="str">
        <f t="shared" si="3"/>
        <v>ELP (PP) | Produção (matéria-prima + HH) | DN 28|46241</v>
      </c>
    </row>
    <row r="78" spans="1:14" x14ac:dyDescent="0.3">
      <c r="A78" s="332"/>
      <c r="B78" s="335" t="s">
        <v>107</v>
      </c>
      <c r="C78" s="336" t="s">
        <v>1521</v>
      </c>
      <c r="D78" s="337">
        <f t="shared" si="0"/>
        <v>692.95333333333303</v>
      </c>
      <c r="E78" s="332"/>
      <c r="F78" s="338">
        <v>46241</v>
      </c>
      <c r="G78" s="339" t="s">
        <v>1521</v>
      </c>
      <c r="H78" s="339" t="s">
        <v>107</v>
      </c>
      <c r="I78" s="339" t="s">
        <v>1522</v>
      </c>
      <c r="J78" s="340">
        <v>692.95333333333303</v>
      </c>
      <c r="K78" s="341" t="str">
        <f t="shared" si="1"/>
        <v>1º registro</v>
      </c>
      <c r="L78" s="342" t="str">
        <f t="shared" si="2"/>
        <v/>
      </c>
      <c r="M78" s="339" t="s">
        <v>1523</v>
      </c>
      <c r="N78" s="343" t="str">
        <f t="shared" si="3"/>
        <v>ELP (PP) | Produção (matéria-prima + HH) | DN 30|46241</v>
      </c>
    </row>
    <row r="79" spans="1:14" x14ac:dyDescent="0.3">
      <c r="A79" s="332"/>
      <c r="B79" s="335" t="s">
        <v>108</v>
      </c>
      <c r="C79" s="336" t="s">
        <v>1521</v>
      </c>
      <c r="D79" s="337">
        <f t="shared" si="0"/>
        <v>729.32666666666705</v>
      </c>
      <c r="E79" s="332"/>
      <c r="F79" s="338">
        <v>46241</v>
      </c>
      <c r="G79" s="339" t="s">
        <v>1521</v>
      </c>
      <c r="H79" s="339" t="s">
        <v>108</v>
      </c>
      <c r="I79" s="339" t="s">
        <v>1522</v>
      </c>
      <c r="J79" s="340">
        <v>729.32666666666705</v>
      </c>
      <c r="K79" s="341" t="str">
        <f t="shared" si="1"/>
        <v>1º registro</v>
      </c>
      <c r="L79" s="342" t="str">
        <f t="shared" si="2"/>
        <v/>
      </c>
      <c r="M79" s="339" t="s">
        <v>1523</v>
      </c>
      <c r="N79" s="343" t="str">
        <f t="shared" si="3"/>
        <v>ELP (PP) | Produção (matéria-prima + HH) | DN 32|46241</v>
      </c>
    </row>
    <row r="80" spans="1:14" x14ac:dyDescent="0.3">
      <c r="A80" s="332"/>
      <c r="B80" s="335" t="s">
        <v>109</v>
      </c>
      <c r="C80" s="336" t="s">
        <v>1521</v>
      </c>
      <c r="D80" s="337">
        <f t="shared" si="0"/>
        <v>792.70333333333303</v>
      </c>
      <c r="E80" s="332"/>
      <c r="F80" s="338">
        <v>46241</v>
      </c>
      <c r="G80" s="339" t="s">
        <v>1521</v>
      </c>
      <c r="H80" s="339" t="s">
        <v>109</v>
      </c>
      <c r="I80" s="339" t="s">
        <v>1522</v>
      </c>
      <c r="J80" s="340">
        <v>792.70333333333303</v>
      </c>
      <c r="K80" s="341" t="str">
        <f t="shared" si="1"/>
        <v>1º registro</v>
      </c>
      <c r="L80" s="342" t="str">
        <f t="shared" si="2"/>
        <v/>
      </c>
      <c r="M80" s="339" t="s">
        <v>1523</v>
      </c>
      <c r="N80" s="343" t="str">
        <f t="shared" si="3"/>
        <v>ELP (PP) | Produção (matéria-prima + HH) | DN 34|46241</v>
      </c>
    </row>
    <row r="81" spans="1:14" x14ac:dyDescent="0.3">
      <c r="A81" s="332"/>
      <c r="B81" s="335" t="s">
        <v>110</v>
      </c>
      <c r="C81" s="336" t="s">
        <v>1521</v>
      </c>
      <c r="D81" s="337">
        <f t="shared" si="0"/>
        <v>835.20666666666705</v>
      </c>
      <c r="E81" s="332"/>
      <c r="F81" s="338">
        <v>46241</v>
      </c>
      <c r="G81" s="339" t="s">
        <v>1521</v>
      </c>
      <c r="H81" s="339" t="s">
        <v>110</v>
      </c>
      <c r="I81" s="339" t="s">
        <v>1522</v>
      </c>
      <c r="J81" s="340">
        <v>835.20666666666705</v>
      </c>
      <c r="K81" s="341" t="str">
        <f t="shared" si="1"/>
        <v>1º registro</v>
      </c>
      <c r="L81" s="342" t="str">
        <f t="shared" si="2"/>
        <v/>
      </c>
      <c r="M81" s="339" t="s">
        <v>1523</v>
      </c>
      <c r="N81" s="343" t="str">
        <f t="shared" si="3"/>
        <v>ELP (PP) | Produção (matéria-prima + HH) | DN 36|46241</v>
      </c>
    </row>
    <row r="82" spans="1:14" x14ac:dyDescent="0.3">
      <c r="A82" s="332"/>
      <c r="B82" s="335" t="s">
        <v>111</v>
      </c>
      <c r="C82" s="336" t="s">
        <v>1521</v>
      </c>
      <c r="D82" s="337">
        <f t="shared" si="0"/>
        <v>1198.8233333333301</v>
      </c>
      <c r="E82" s="332"/>
      <c r="F82" s="338">
        <v>46241</v>
      </c>
      <c r="G82" s="339" t="s">
        <v>1521</v>
      </c>
      <c r="H82" s="339" t="s">
        <v>111</v>
      </c>
      <c r="I82" s="339" t="s">
        <v>1522</v>
      </c>
      <c r="J82" s="340">
        <v>1198.8233333333301</v>
      </c>
      <c r="K82" s="341" t="str">
        <f t="shared" si="1"/>
        <v>1º registro</v>
      </c>
      <c r="L82" s="342" t="str">
        <f t="shared" si="2"/>
        <v/>
      </c>
      <c r="M82" s="339" t="s">
        <v>1523</v>
      </c>
      <c r="N82" s="343" t="str">
        <f t="shared" si="3"/>
        <v>ELP (PP) | Produção (matéria-prima + HH) | DN 38|46241</v>
      </c>
    </row>
    <row r="83" spans="1:14" x14ac:dyDescent="0.3">
      <c r="A83" s="332"/>
      <c r="B83" s="335" t="s">
        <v>112</v>
      </c>
      <c r="C83" s="336" t="s">
        <v>1521</v>
      </c>
      <c r="D83" s="337">
        <f t="shared" si="0"/>
        <v>1255.07666666667</v>
      </c>
      <c r="E83" s="332"/>
      <c r="F83" s="338">
        <v>46241</v>
      </c>
      <c r="G83" s="339" t="s">
        <v>1521</v>
      </c>
      <c r="H83" s="339" t="s">
        <v>112</v>
      </c>
      <c r="I83" s="339" t="s">
        <v>1522</v>
      </c>
      <c r="J83" s="340">
        <v>1255.07666666667</v>
      </c>
      <c r="K83" s="341" t="str">
        <f t="shared" si="1"/>
        <v>1º registro</v>
      </c>
      <c r="L83" s="342" t="str">
        <f t="shared" si="2"/>
        <v/>
      </c>
      <c r="M83" s="339" t="s">
        <v>1523</v>
      </c>
      <c r="N83" s="343" t="str">
        <f t="shared" si="3"/>
        <v>ELP (PP) | Produção (matéria-prima + HH) | DN 40|46241</v>
      </c>
    </row>
    <row r="84" spans="1:14" x14ac:dyDescent="0.3">
      <c r="A84" s="332"/>
      <c r="B84" s="335" t="s">
        <v>113</v>
      </c>
      <c r="C84" s="336" t="s">
        <v>1521</v>
      </c>
      <c r="D84" s="337">
        <f t="shared" si="0"/>
        <v>1308.03</v>
      </c>
      <c r="E84" s="332"/>
      <c r="F84" s="338">
        <v>46241</v>
      </c>
      <c r="G84" s="339" t="s">
        <v>1521</v>
      </c>
      <c r="H84" s="339" t="s">
        <v>113</v>
      </c>
      <c r="I84" s="339" t="s">
        <v>1522</v>
      </c>
      <c r="J84" s="340">
        <v>1308.03</v>
      </c>
      <c r="K84" s="341" t="str">
        <f t="shared" si="1"/>
        <v>1º registro</v>
      </c>
      <c r="L84" s="342" t="str">
        <f t="shared" si="2"/>
        <v/>
      </c>
      <c r="M84" s="339" t="s">
        <v>1523</v>
      </c>
      <c r="N84" s="343" t="str">
        <f t="shared" si="3"/>
        <v>ELP (PP) | Produção (matéria-prima + HH) | DN 42|46241</v>
      </c>
    </row>
    <row r="85" spans="1:14" x14ac:dyDescent="0.3">
      <c r="A85" s="332"/>
      <c r="B85" s="335" t="s">
        <v>114</v>
      </c>
      <c r="C85" s="336" t="s">
        <v>1521</v>
      </c>
      <c r="D85" s="337">
        <f t="shared" si="0"/>
        <v>400</v>
      </c>
      <c r="E85" s="332"/>
      <c r="F85" s="338">
        <v>46241</v>
      </c>
      <c r="G85" s="339" t="s">
        <v>1521</v>
      </c>
      <c r="H85" s="339" t="s">
        <v>114</v>
      </c>
      <c r="I85" s="339" t="s">
        <v>1522</v>
      </c>
      <c r="J85" s="340">
        <v>400</v>
      </c>
      <c r="K85" s="341" t="str">
        <f t="shared" si="1"/>
        <v>1º registro</v>
      </c>
      <c r="L85" s="342" t="str">
        <f t="shared" si="2"/>
        <v/>
      </c>
      <c r="M85" s="339" t="s">
        <v>1523</v>
      </c>
      <c r="N85" s="343" t="str">
        <f t="shared" si="3"/>
        <v>CINTA MAGNÉTICA | Produção (matéria-prima + HH) | DN 2|46241</v>
      </c>
    </row>
    <row r="86" spans="1:14" x14ac:dyDescent="0.3">
      <c r="A86" s="332"/>
      <c r="B86" s="335" t="s">
        <v>116</v>
      </c>
      <c r="C86" s="336" t="s">
        <v>1521</v>
      </c>
      <c r="D86" s="337">
        <f t="shared" ref="D86:D149" si="4">IF($B86="","",IFERROR(INDEX($J$21:$J$1200,MATCH($B86&amp;"|"&amp;TEXT(_xlfn.MAXIFS($F$21:$F$1200,$H$21:$H$1200,$B86,$F$21:$F$1200,"&lt;="&amp;EOMONTH(D$20,0)),"0"),$N$21:$N$1200,0)),"-"))</f>
        <v>400</v>
      </c>
      <c r="E86" s="332"/>
      <c r="F86" s="338">
        <v>46241</v>
      </c>
      <c r="G86" s="339" t="s">
        <v>1521</v>
      </c>
      <c r="H86" s="339" t="s">
        <v>116</v>
      </c>
      <c r="I86" s="339" t="s">
        <v>1522</v>
      </c>
      <c r="J86" s="340">
        <v>400</v>
      </c>
      <c r="K86" s="341" t="str">
        <f t="shared" ref="K86:K149" si="5">IF($H86="","",IFERROR(INDEX($J$21:$J$1200,MATCH($H86&amp;"|"&amp;TEXT(_xlfn.MAXIFS($F$21:$F$1200,$H$21:$H$1200,$H86,$F$21:$F$1200,"&lt;"&amp;$F86),"0"),$N$21:$N$1200,0)),"1º registro"))</f>
        <v>1º registro</v>
      </c>
      <c r="L86" s="342" t="str">
        <f t="shared" ref="L86:L149" si="6">IF(OR($H86="",$K86="1º registro"),"",IFERROR(($J86-$K86)/$K86,""))</f>
        <v/>
      </c>
      <c r="M86" s="339" t="s">
        <v>1523</v>
      </c>
      <c r="N86" s="343" t="str">
        <f t="shared" ref="N86:N149" si="7">IF($H86="","",$H86&amp;"|"&amp;TEXT($F86,"0"))</f>
        <v>CINTA MAGNÉTICA | Produção (matéria-prima + HH) | DN 3|46241</v>
      </c>
    </row>
    <row r="87" spans="1:14" x14ac:dyDescent="0.3">
      <c r="A87" s="332"/>
      <c r="B87" s="335" t="s">
        <v>117</v>
      </c>
      <c r="C87" s="336" t="s">
        <v>1521</v>
      </c>
      <c r="D87" s="337">
        <f t="shared" si="4"/>
        <v>440</v>
      </c>
      <c r="E87" s="332"/>
      <c r="F87" s="338">
        <v>46241</v>
      </c>
      <c r="G87" s="339" t="s">
        <v>1521</v>
      </c>
      <c r="H87" s="339" t="s">
        <v>117</v>
      </c>
      <c r="I87" s="339" t="s">
        <v>1522</v>
      </c>
      <c r="J87" s="340">
        <v>440</v>
      </c>
      <c r="K87" s="341" t="str">
        <f t="shared" si="5"/>
        <v>1º registro</v>
      </c>
      <c r="L87" s="342" t="str">
        <f t="shared" si="6"/>
        <v/>
      </c>
      <c r="M87" s="339" t="s">
        <v>1523</v>
      </c>
      <c r="N87" s="343" t="str">
        <f t="shared" si="7"/>
        <v>CINTA MAGNÉTICA | Produção (matéria-prima + HH) | DN 4|46241</v>
      </c>
    </row>
    <row r="88" spans="1:14" x14ac:dyDescent="0.3">
      <c r="A88" s="332"/>
      <c r="B88" s="335" t="s">
        <v>118</v>
      </c>
      <c r="C88" s="336" t="s">
        <v>1521</v>
      </c>
      <c r="D88" s="337">
        <f t="shared" si="4"/>
        <v>480</v>
      </c>
      <c r="E88" s="332"/>
      <c r="F88" s="338">
        <v>46241</v>
      </c>
      <c r="G88" s="339" t="s">
        <v>1521</v>
      </c>
      <c r="H88" s="339" t="s">
        <v>118</v>
      </c>
      <c r="I88" s="339" t="s">
        <v>1522</v>
      </c>
      <c r="J88" s="340">
        <v>480</v>
      </c>
      <c r="K88" s="341" t="str">
        <f t="shared" si="5"/>
        <v>1º registro</v>
      </c>
      <c r="L88" s="342" t="str">
        <f t="shared" si="6"/>
        <v/>
      </c>
      <c r="M88" s="339" t="s">
        <v>1523</v>
      </c>
      <c r="N88" s="343" t="str">
        <f t="shared" si="7"/>
        <v>CINTA MAGNÉTICA | Produção (matéria-prima + HH) | DN 6|46241</v>
      </c>
    </row>
    <row r="89" spans="1:14" x14ac:dyDescent="0.3">
      <c r="A89" s="332"/>
      <c r="B89" s="335" t="s">
        <v>119</v>
      </c>
      <c r="C89" s="336" t="s">
        <v>1521</v>
      </c>
      <c r="D89" s="337">
        <f t="shared" si="4"/>
        <v>422</v>
      </c>
      <c r="E89" s="332"/>
      <c r="F89" s="338">
        <v>46241</v>
      </c>
      <c r="G89" s="339" t="s">
        <v>1521</v>
      </c>
      <c r="H89" s="339" t="s">
        <v>119</v>
      </c>
      <c r="I89" s="339" t="s">
        <v>1522</v>
      </c>
      <c r="J89" s="340">
        <v>422</v>
      </c>
      <c r="K89" s="341" t="str">
        <f t="shared" si="5"/>
        <v>1º registro</v>
      </c>
      <c r="L89" s="342" t="str">
        <f t="shared" si="6"/>
        <v/>
      </c>
      <c r="M89" s="339" t="s">
        <v>1523</v>
      </c>
      <c r="N89" s="343" t="str">
        <f t="shared" si="7"/>
        <v>CINTA MAGNÉTICA | Produção (matéria-prima + HH) | DN 8|46241</v>
      </c>
    </row>
    <row r="90" spans="1:14" x14ac:dyDescent="0.3">
      <c r="A90" s="332"/>
      <c r="B90" s="335" t="s">
        <v>120</v>
      </c>
      <c r="C90" s="336" t="s">
        <v>1521</v>
      </c>
      <c r="D90" s="337">
        <f t="shared" si="4"/>
        <v>422</v>
      </c>
      <c r="E90" s="332"/>
      <c r="F90" s="338">
        <v>46241</v>
      </c>
      <c r="G90" s="339" t="s">
        <v>1521</v>
      </c>
      <c r="H90" s="339" t="s">
        <v>120</v>
      </c>
      <c r="I90" s="339" t="s">
        <v>1522</v>
      </c>
      <c r="J90" s="340">
        <v>422</v>
      </c>
      <c r="K90" s="341" t="str">
        <f t="shared" si="5"/>
        <v>1º registro</v>
      </c>
      <c r="L90" s="342" t="str">
        <f t="shared" si="6"/>
        <v/>
      </c>
      <c r="M90" s="339" t="s">
        <v>1523</v>
      </c>
      <c r="N90" s="343" t="str">
        <f t="shared" si="7"/>
        <v>CINTA MAGNÉTICA | Produção (matéria-prima + HH) | DN 10|46241</v>
      </c>
    </row>
    <row r="91" spans="1:14" x14ac:dyDescent="0.3">
      <c r="A91" s="332"/>
      <c r="B91" s="335" t="s">
        <v>121</v>
      </c>
      <c r="C91" s="336" t="s">
        <v>1521</v>
      </c>
      <c r="D91" s="337">
        <f t="shared" si="4"/>
        <v>430</v>
      </c>
      <c r="E91" s="332"/>
      <c r="F91" s="338">
        <v>46241</v>
      </c>
      <c r="G91" s="339" t="s">
        <v>1521</v>
      </c>
      <c r="H91" s="339" t="s">
        <v>121</v>
      </c>
      <c r="I91" s="339" t="s">
        <v>1522</v>
      </c>
      <c r="J91" s="340">
        <v>430</v>
      </c>
      <c r="K91" s="341" t="str">
        <f t="shared" si="5"/>
        <v>1º registro</v>
      </c>
      <c r="L91" s="342" t="str">
        <f t="shared" si="6"/>
        <v/>
      </c>
      <c r="M91" s="339" t="s">
        <v>1523</v>
      </c>
      <c r="N91" s="343" t="str">
        <f t="shared" si="7"/>
        <v>CINTA MAGNÉTICA | Produção (matéria-prima + HH) | DN 12|46241</v>
      </c>
    </row>
    <row r="92" spans="1:14" x14ac:dyDescent="0.3">
      <c r="A92" s="332"/>
      <c r="B92" s="335" t="s">
        <v>122</v>
      </c>
      <c r="C92" s="336" t="s">
        <v>1521</v>
      </c>
      <c r="D92" s="337">
        <f t="shared" si="4"/>
        <v>430</v>
      </c>
      <c r="E92" s="332"/>
      <c r="F92" s="338">
        <v>46241</v>
      </c>
      <c r="G92" s="339" t="s">
        <v>1521</v>
      </c>
      <c r="H92" s="339" t="s">
        <v>122</v>
      </c>
      <c r="I92" s="339" t="s">
        <v>1522</v>
      </c>
      <c r="J92" s="340">
        <v>430</v>
      </c>
      <c r="K92" s="341" t="str">
        <f t="shared" si="5"/>
        <v>1º registro</v>
      </c>
      <c r="L92" s="342" t="str">
        <f t="shared" si="6"/>
        <v/>
      </c>
      <c r="M92" s="339" t="s">
        <v>1523</v>
      </c>
      <c r="N92" s="343" t="str">
        <f t="shared" si="7"/>
        <v>CINTA MAGNÉTICA | Produção (matéria-prima + HH) | DN 14|46241</v>
      </c>
    </row>
    <row r="93" spans="1:14" x14ac:dyDescent="0.3">
      <c r="A93" s="332"/>
      <c r="B93" s="335" t="s">
        <v>123</v>
      </c>
      <c r="C93" s="336" t="s">
        <v>1521</v>
      </c>
      <c r="D93" s="337">
        <f t="shared" si="4"/>
        <v>510</v>
      </c>
      <c r="E93" s="332"/>
      <c r="F93" s="338">
        <v>46241</v>
      </c>
      <c r="G93" s="339" t="s">
        <v>1521</v>
      </c>
      <c r="H93" s="339" t="s">
        <v>123</v>
      </c>
      <c r="I93" s="339" t="s">
        <v>1522</v>
      </c>
      <c r="J93" s="340">
        <v>510</v>
      </c>
      <c r="K93" s="341" t="str">
        <f t="shared" si="5"/>
        <v>1º registro</v>
      </c>
      <c r="L93" s="342" t="str">
        <f t="shared" si="6"/>
        <v/>
      </c>
      <c r="M93" s="339" t="s">
        <v>1523</v>
      </c>
      <c r="N93" s="343" t="str">
        <f t="shared" si="7"/>
        <v>CINTA MAGNÉTICA | Produção (matéria-prima + HH) | DN 16|46241</v>
      </c>
    </row>
    <row r="94" spans="1:14" x14ac:dyDescent="0.3">
      <c r="A94" s="332"/>
      <c r="B94" s="335" t="s">
        <v>124</v>
      </c>
      <c r="C94" s="336" t="s">
        <v>1521</v>
      </c>
      <c r="D94" s="337">
        <f t="shared" si="4"/>
        <v>680</v>
      </c>
      <c r="E94" s="332"/>
      <c r="F94" s="338">
        <v>46241</v>
      </c>
      <c r="G94" s="339" t="s">
        <v>1521</v>
      </c>
      <c r="H94" s="339" t="s">
        <v>124</v>
      </c>
      <c r="I94" s="339" t="s">
        <v>1522</v>
      </c>
      <c r="J94" s="340">
        <v>680</v>
      </c>
      <c r="K94" s="341" t="str">
        <f t="shared" si="5"/>
        <v>1º registro</v>
      </c>
      <c r="L94" s="342" t="str">
        <f t="shared" si="6"/>
        <v/>
      </c>
      <c r="M94" s="339" t="s">
        <v>1523</v>
      </c>
      <c r="N94" s="343" t="str">
        <f t="shared" si="7"/>
        <v>CINTA MAGNÉTICA | Produção (matéria-prima + HH) | DN 18|46241</v>
      </c>
    </row>
    <row r="95" spans="1:14" x14ac:dyDescent="0.3">
      <c r="A95" s="332"/>
      <c r="B95" s="335" t="s">
        <v>125</v>
      </c>
      <c r="C95" s="336" t="s">
        <v>1521</v>
      </c>
      <c r="D95" s="337">
        <f t="shared" si="4"/>
        <v>910</v>
      </c>
      <c r="E95" s="332"/>
      <c r="F95" s="338">
        <v>46241</v>
      </c>
      <c r="G95" s="339" t="s">
        <v>1521</v>
      </c>
      <c r="H95" s="339" t="s">
        <v>125</v>
      </c>
      <c r="I95" s="339" t="s">
        <v>1522</v>
      </c>
      <c r="J95" s="340">
        <v>910</v>
      </c>
      <c r="K95" s="341" t="str">
        <f t="shared" si="5"/>
        <v>1º registro</v>
      </c>
      <c r="L95" s="342" t="str">
        <f t="shared" si="6"/>
        <v/>
      </c>
      <c r="M95" s="339" t="s">
        <v>1523</v>
      </c>
      <c r="N95" s="343" t="str">
        <f t="shared" si="7"/>
        <v>CINTA MAGNÉTICA | Produção (matéria-prima + HH) | DN 20|46241</v>
      </c>
    </row>
    <row r="96" spans="1:14" x14ac:dyDescent="0.3">
      <c r="A96" s="332"/>
      <c r="B96" s="335" t="s">
        <v>126</v>
      </c>
      <c r="C96" s="336" t="s">
        <v>1521</v>
      </c>
      <c r="D96" s="337">
        <f t="shared" si="4"/>
        <v>1260</v>
      </c>
      <c r="E96" s="332"/>
      <c r="F96" s="338">
        <v>46241</v>
      </c>
      <c r="G96" s="339" t="s">
        <v>1521</v>
      </c>
      <c r="H96" s="339" t="s">
        <v>126</v>
      </c>
      <c r="I96" s="339" t="s">
        <v>1522</v>
      </c>
      <c r="J96" s="340">
        <v>1260</v>
      </c>
      <c r="K96" s="341" t="str">
        <f t="shared" si="5"/>
        <v>1º registro</v>
      </c>
      <c r="L96" s="342" t="str">
        <f t="shared" si="6"/>
        <v/>
      </c>
      <c r="M96" s="339" t="s">
        <v>1523</v>
      </c>
      <c r="N96" s="343" t="str">
        <f t="shared" si="7"/>
        <v>CINTA MAGNÉTICA | Produção (matéria-prima + HH) | DN 22|46241</v>
      </c>
    </row>
    <row r="97" spans="1:14" x14ac:dyDescent="0.3">
      <c r="A97" s="332"/>
      <c r="B97" s="335" t="s">
        <v>127</v>
      </c>
      <c r="C97" s="336" t="s">
        <v>1521</v>
      </c>
      <c r="D97" s="337">
        <f t="shared" si="4"/>
        <v>1560</v>
      </c>
      <c r="E97" s="332"/>
      <c r="F97" s="338">
        <v>46241</v>
      </c>
      <c r="G97" s="339" t="s">
        <v>1521</v>
      </c>
      <c r="H97" s="339" t="s">
        <v>127</v>
      </c>
      <c r="I97" s="339" t="s">
        <v>1522</v>
      </c>
      <c r="J97" s="340">
        <v>1560</v>
      </c>
      <c r="K97" s="341" t="str">
        <f t="shared" si="5"/>
        <v>1º registro</v>
      </c>
      <c r="L97" s="342" t="str">
        <f t="shared" si="6"/>
        <v/>
      </c>
      <c r="M97" s="339" t="s">
        <v>1523</v>
      </c>
      <c r="N97" s="343" t="str">
        <f t="shared" si="7"/>
        <v>CINTA MAGNÉTICA | Produção (matéria-prima + HH) | DN 24|46241</v>
      </c>
    </row>
    <row r="98" spans="1:14" x14ac:dyDescent="0.3">
      <c r="A98" s="332"/>
      <c r="B98" s="335" t="s">
        <v>128</v>
      </c>
      <c r="C98" s="336" t="s">
        <v>1521</v>
      </c>
      <c r="D98" s="337">
        <f t="shared" si="4"/>
        <v>1813.5</v>
      </c>
      <c r="E98" s="332"/>
      <c r="F98" s="338">
        <v>46241</v>
      </c>
      <c r="G98" s="339" t="s">
        <v>1521</v>
      </c>
      <c r="H98" s="339" t="s">
        <v>128</v>
      </c>
      <c r="I98" s="339" t="s">
        <v>1522</v>
      </c>
      <c r="J98" s="340">
        <v>1813.5</v>
      </c>
      <c r="K98" s="341" t="str">
        <f t="shared" si="5"/>
        <v>1º registro</v>
      </c>
      <c r="L98" s="342" t="str">
        <f t="shared" si="6"/>
        <v/>
      </c>
      <c r="M98" s="339" t="s">
        <v>1523</v>
      </c>
      <c r="N98" s="343" t="str">
        <f t="shared" si="7"/>
        <v>CINTA MAGNÉTICA | Produção (matéria-prima + HH) | DN 26|46241</v>
      </c>
    </row>
    <row r="99" spans="1:14" x14ac:dyDescent="0.3">
      <c r="A99" s="332"/>
      <c r="B99" s="335" t="s">
        <v>129</v>
      </c>
      <c r="C99" s="336" t="s">
        <v>1521</v>
      </c>
      <c r="D99" s="337">
        <f t="shared" si="4"/>
        <v>2060</v>
      </c>
      <c r="E99" s="332"/>
      <c r="F99" s="338">
        <v>46241</v>
      </c>
      <c r="G99" s="339" t="s">
        <v>1521</v>
      </c>
      <c r="H99" s="339" t="s">
        <v>129</v>
      </c>
      <c r="I99" s="339" t="s">
        <v>1522</v>
      </c>
      <c r="J99" s="340">
        <v>2060</v>
      </c>
      <c r="K99" s="341" t="str">
        <f t="shared" si="5"/>
        <v>1º registro</v>
      </c>
      <c r="L99" s="342" t="str">
        <f t="shared" si="6"/>
        <v/>
      </c>
      <c r="M99" s="339" t="s">
        <v>1523</v>
      </c>
      <c r="N99" s="343" t="str">
        <f t="shared" si="7"/>
        <v>CINTA MAGNÉTICA | Produção (matéria-prima + HH) | DN 28|46241</v>
      </c>
    </row>
    <row r="100" spans="1:14" x14ac:dyDescent="0.3">
      <c r="A100" s="332"/>
      <c r="B100" s="335" t="s">
        <v>130</v>
      </c>
      <c r="C100" s="336" t="s">
        <v>1521</v>
      </c>
      <c r="D100" s="337">
        <f t="shared" si="4"/>
        <v>2360</v>
      </c>
      <c r="E100" s="332"/>
      <c r="F100" s="338">
        <v>46241</v>
      </c>
      <c r="G100" s="339" t="s">
        <v>1521</v>
      </c>
      <c r="H100" s="339" t="s">
        <v>130</v>
      </c>
      <c r="I100" s="339" t="s">
        <v>1522</v>
      </c>
      <c r="J100" s="340">
        <v>2360</v>
      </c>
      <c r="K100" s="341" t="str">
        <f t="shared" si="5"/>
        <v>1º registro</v>
      </c>
      <c r="L100" s="342" t="str">
        <f t="shared" si="6"/>
        <v/>
      </c>
      <c r="M100" s="339" t="s">
        <v>1523</v>
      </c>
      <c r="N100" s="343" t="str">
        <f t="shared" si="7"/>
        <v>CINTA MAGNÉTICA | Produção (matéria-prima + HH) | DN 30|46241</v>
      </c>
    </row>
    <row r="101" spans="1:14" x14ac:dyDescent="0.3">
      <c r="A101" s="332"/>
      <c r="B101" s="335" t="s">
        <v>131</v>
      </c>
      <c r="C101" s="336" t="s">
        <v>1521</v>
      </c>
      <c r="D101" s="337">
        <f t="shared" si="4"/>
        <v>2521.25</v>
      </c>
      <c r="E101" s="332"/>
      <c r="F101" s="338">
        <v>46241</v>
      </c>
      <c r="G101" s="339" t="s">
        <v>1521</v>
      </c>
      <c r="H101" s="339" t="s">
        <v>131</v>
      </c>
      <c r="I101" s="339" t="s">
        <v>1522</v>
      </c>
      <c r="J101" s="340">
        <v>2521.25</v>
      </c>
      <c r="K101" s="341" t="str">
        <f t="shared" si="5"/>
        <v>1º registro</v>
      </c>
      <c r="L101" s="342" t="str">
        <f t="shared" si="6"/>
        <v/>
      </c>
      <c r="M101" s="339" t="s">
        <v>1523</v>
      </c>
      <c r="N101" s="343" t="str">
        <f t="shared" si="7"/>
        <v>CINTA MAGNÉTICA | Produção (matéria-prima + HH) | DN 32|46241</v>
      </c>
    </row>
    <row r="102" spans="1:14" x14ac:dyDescent="0.3">
      <c r="A102" s="332"/>
      <c r="B102" s="335" t="s">
        <v>132</v>
      </c>
      <c r="C102" s="336" t="s">
        <v>1521</v>
      </c>
      <c r="D102" s="337">
        <f t="shared" si="4"/>
        <v>2618.96</v>
      </c>
      <c r="E102" s="332"/>
      <c r="F102" s="338">
        <v>46241</v>
      </c>
      <c r="G102" s="339" t="s">
        <v>1521</v>
      </c>
      <c r="H102" s="339" t="s">
        <v>132</v>
      </c>
      <c r="I102" s="339" t="s">
        <v>1522</v>
      </c>
      <c r="J102" s="340">
        <v>2618.96</v>
      </c>
      <c r="K102" s="341" t="str">
        <f t="shared" si="5"/>
        <v>1º registro</v>
      </c>
      <c r="L102" s="342" t="str">
        <f t="shared" si="6"/>
        <v/>
      </c>
      <c r="M102" s="339" t="s">
        <v>1523</v>
      </c>
      <c r="N102" s="343" t="str">
        <f t="shared" si="7"/>
        <v>CINTA MAGNÉTICA | Produção (matéria-prima + HH) | DN 34|46241</v>
      </c>
    </row>
    <row r="103" spans="1:14" x14ac:dyDescent="0.3">
      <c r="A103" s="332"/>
      <c r="B103" s="335" t="s">
        <v>133</v>
      </c>
      <c r="C103" s="336" t="s">
        <v>1521</v>
      </c>
      <c r="D103" s="337">
        <f t="shared" si="4"/>
        <v>2670.25</v>
      </c>
      <c r="E103" s="332"/>
      <c r="F103" s="338">
        <v>46241</v>
      </c>
      <c r="G103" s="339" t="s">
        <v>1521</v>
      </c>
      <c r="H103" s="339" t="s">
        <v>133</v>
      </c>
      <c r="I103" s="339" t="s">
        <v>1522</v>
      </c>
      <c r="J103" s="340">
        <v>2670.25</v>
      </c>
      <c r="K103" s="341" t="str">
        <f t="shared" si="5"/>
        <v>1º registro</v>
      </c>
      <c r="L103" s="342" t="str">
        <f t="shared" si="6"/>
        <v/>
      </c>
      <c r="M103" s="339" t="s">
        <v>1523</v>
      </c>
      <c r="N103" s="343" t="str">
        <f t="shared" si="7"/>
        <v>CINTA MAGNÉTICA | Produção (matéria-prima + HH) | DN 36|46241</v>
      </c>
    </row>
    <row r="104" spans="1:14" x14ac:dyDescent="0.3">
      <c r="A104" s="332"/>
      <c r="B104" s="335" t="s">
        <v>134</v>
      </c>
      <c r="C104" s="336" t="s">
        <v>1521</v>
      </c>
      <c r="D104" s="337">
        <f t="shared" si="4"/>
        <v>2740</v>
      </c>
      <c r="E104" s="332"/>
      <c r="F104" s="338">
        <v>46241</v>
      </c>
      <c r="G104" s="339" t="s">
        <v>1521</v>
      </c>
      <c r="H104" s="339" t="s">
        <v>134</v>
      </c>
      <c r="I104" s="339" t="s">
        <v>1522</v>
      </c>
      <c r="J104" s="340">
        <v>2740</v>
      </c>
      <c r="K104" s="341" t="str">
        <f t="shared" si="5"/>
        <v>1º registro</v>
      </c>
      <c r="L104" s="342" t="str">
        <f t="shared" si="6"/>
        <v/>
      </c>
      <c r="M104" s="339" t="s">
        <v>1523</v>
      </c>
      <c r="N104" s="343" t="str">
        <f t="shared" si="7"/>
        <v>CINTA MAGNÉTICA | Produção (matéria-prima + HH) | DN 38|46241</v>
      </c>
    </row>
    <row r="105" spans="1:14" x14ac:dyDescent="0.3">
      <c r="A105" s="332"/>
      <c r="B105" s="335" t="s">
        <v>135</v>
      </c>
      <c r="C105" s="336" t="s">
        <v>1521</v>
      </c>
      <c r="D105" s="337">
        <f t="shared" si="4"/>
        <v>3038.67</v>
      </c>
      <c r="E105" s="332"/>
      <c r="F105" s="338">
        <v>46241</v>
      </c>
      <c r="G105" s="339" t="s">
        <v>1521</v>
      </c>
      <c r="H105" s="339" t="s">
        <v>135</v>
      </c>
      <c r="I105" s="339" t="s">
        <v>1522</v>
      </c>
      <c r="J105" s="340">
        <v>3038.67</v>
      </c>
      <c r="K105" s="341" t="str">
        <f t="shared" si="5"/>
        <v>1º registro</v>
      </c>
      <c r="L105" s="342" t="str">
        <f t="shared" si="6"/>
        <v/>
      </c>
      <c r="M105" s="339" t="s">
        <v>1523</v>
      </c>
      <c r="N105" s="343" t="str">
        <f t="shared" si="7"/>
        <v>CINTA MAGNÉTICA | Produção (matéria-prima + HH) | DN 40|46241</v>
      </c>
    </row>
    <row r="106" spans="1:14" x14ac:dyDescent="0.3">
      <c r="A106" s="332"/>
      <c r="B106" s="335" t="s">
        <v>136</v>
      </c>
      <c r="C106" s="336" t="s">
        <v>1521</v>
      </c>
      <c r="D106" s="337">
        <f t="shared" si="4"/>
        <v>3165</v>
      </c>
      <c r="E106" s="332"/>
      <c r="F106" s="338">
        <v>46241</v>
      </c>
      <c r="G106" s="339" t="s">
        <v>1521</v>
      </c>
      <c r="H106" s="339" t="s">
        <v>136</v>
      </c>
      <c r="I106" s="339" t="s">
        <v>1522</v>
      </c>
      <c r="J106" s="340">
        <v>3165</v>
      </c>
      <c r="K106" s="341" t="str">
        <f t="shared" si="5"/>
        <v>1º registro</v>
      </c>
      <c r="L106" s="342" t="str">
        <f t="shared" si="6"/>
        <v/>
      </c>
      <c r="M106" s="339" t="s">
        <v>1523</v>
      </c>
      <c r="N106" s="343" t="str">
        <f t="shared" si="7"/>
        <v>CINTA MAGNÉTICA | Produção (matéria-prima + HH) | DN 42|46241</v>
      </c>
    </row>
    <row r="107" spans="1:14" x14ac:dyDescent="0.3">
      <c r="A107" s="332"/>
      <c r="B107" s="335" t="s">
        <v>137</v>
      </c>
      <c r="C107" s="336" t="s">
        <v>1521</v>
      </c>
      <c r="D107" s="337">
        <f t="shared" si="4"/>
        <v>104.5</v>
      </c>
      <c r="E107" s="332"/>
      <c r="F107" s="338">
        <v>46241</v>
      </c>
      <c r="G107" s="339" t="s">
        <v>1521</v>
      </c>
      <c r="H107" s="339" t="s">
        <v>137</v>
      </c>
      <c r="I107" s="339" t="s">
        <v>1522</v>
      </c>
      <c r="J107" s="340">
        <v>104.5</v>
      </c>
      <c r="K107" s="341" t="str">
        <f t="shared" si="5"/>
        <v>1º registro</v>
      </c>
      <c r="L107" s="342" t="str">
        <f t="shared" si="6"/>
        <v/>
      </c>
      <c r="M107" s="339" t="s">
        <v>1523</v>
      </c>
      <c r="N107" s="343" t="str">
        <f t="shared" si="7"/>
        <v>PLACA CALIBRADORA | Produção (matéria-prima + HH) | DN 2|46241</v>
      </c>
    </row>
    <row r="108" spans="1:14" x14ac:dyDescent="0.3">
      <c r="A108" s="332"/>
      <c r="B108" s="335" t="s">
        <v>139</v>
      </c>
      <c r="C108" s="336" t="s">
        <v>1521</v>
      </c>
      <c r="D108" s="337">
        <f t="shared" si="4"/>
        <v>116.78</v>
      </c>
      <c r="E108" s="332"/>
      <c r="F108" s="338">
        <v>46241</v>
      </c>
      <c r="G108" s="339" t="s">
        <v>1521</v>
      </c>
      <c r="H108" s="339" t="s">
        <v>139</v>
      </c>
      <c r="I108" s="339" t="s">
        <v>1522</v>
      </c>
      <c r="J108" s="340">
        <v>116.78</v>
      </c>
      <c r="K108" s="341" t="str">
        <f t="shared" si="5"/>
        <v>1º registro</v>
      </c>
      <c r="L108" s="342" t="str">
        <f t="shared" si="6"/>
        <v/>
      </c>
      <c r="M108" s="339" t="s">
        <v>1523</v>
      </c>
      <c r="N108" s="343" t="str">
        <f t="shared" si="7"/>
        <v>PLACA CALIBRADORA | Produção (matéria-prima + HH) | DN 3|46241</v>
      </c>
    </row>
    <row r="109" spans="1:14" x14ac:dyDescent="0.3">
      <c r="A109" s="332"/>
      <c r="B109" s="335" t="s">
        <v>140</v>
      </c>
      <c r="C109" s="336" t="s">
        <v>1521</v>
      </c>
      <c r="D109" s="337">
        <f t="shared" si="4"/>
        <v>130</v>
      </c>
      <c r="E109" s="332"/>
      <c r="F109" s="338">
        <v>46241</v>
      </c>
      <c r="G109" s="339" t="s">
        <v>1521</v>
      </c>
      <c r="H109" s="339" t="s">
        <v>140</v>
      </c>
      <c r="I109" s="339" t="s">
        <v>1522</v>
      </c>
      <c r="J109" s="340">
        <v>130</v>
      </c>
      <c r="K109" s="341" t="str">
        <f t="shared" si="5"/>
        <v>1º registro</v>
      </c>
      <c r="L109" s="342" t="str">
        <f t="shared" si="6"/>
        <v/>
      </c>
      <c r="M109" s="339" t="s">
        <v>1523</v>
      </c>
      <c r="N109" s="343" t="str">
        <f t="shared" si="7"/>
        <v>PLACA CALIBRADORA | Produção (matéria-prima + HH) | DN 4|46241</v>
      </c>
    </row>
    <row r="110" spans="1:14" x14ac:dyDescent="0.3">
      <c r="A110" s="332"/>
      <c r="B110" s="335" t="s">
        <v>141</v>
      </c>
      <c r="C110" s="336" t="s">
        <v>1521</v>
      </c>
      <c r="D110" s="337">
        <f t="shared" si="4"/>
        <v>191.06</v>
      </c>
      <c r="E110" s="332"/>
      <c r="F110" s="338">
        <v>46241</v>
      </c>
      <c r="G110" s="339" t="s">
        <v>1521</v>
      </c>
      <c r="H110" s="339" t="s">
        <v>141</v>
      </c>
      <c r="I110" s="339" t="s">
        <v>1522</v>
      </c>
      <c r="J110" s="340">
        <v>191.06</v>
      </c>
      <c r="K110" s="341" t="str">
        <f t="shared" si="5"/>
        <v>1º registro</v>
      </c>
      <c r="L110" s="342" t="str">
        <f t="shared" si="6"/>
        <v/>
      </c>
      <c r="M110" s="339" t="s">
        <v>1523</v>
      </c>
      <c r="N110" s="343" t="str">
        <f t="shared" si="7"/>
        <v>PLACA CALIBRADORA | Produção (matéria-prima + HH) | DN 6|46241</v>
      </c>
    </row>
    <row r="111" spans="1:14" x14ac:dyDescent="0.3">
      <c r="A111" s="332"/>
      <c r="B111" s="335" t="s">
        <v>142</v>
      </c>
      <c r="C111" s="336" t="s">
        <v>1521</v>
      </c>
      <c r="D111" s="337">
        <f t="shared" si="4"/>
        <v>248.46</v>
      </c>
      <c r="E111" s="332"/>
      <c r="F111" s="338">
        <v>46241</v>
      </c>
      <c r="G111" s="339" t="s">
        <v>1521</v>
      </c>
      <c r="H111" s="339" t="s">
        <v>142</v>
      </c>
      <c r="I111" s="339" t="s">
        <v>1522</v>
      </c>
      <c r="J111" s="340">
        <v>248.46</v>
      </c>
      <c r="K111" s="341" t="str">
        <f t="shared" si="5"/>
        <v>1º registro</v>
      </c>
      <c r="L111" s="342" t="str">
        <f t="shared" si="6"/>
        <v/>
      </c>
      <c r="M111" s="339" t="s">
        <v>1523</v>
      </c>
      <c r="N111" s="343" t="str">
        <f t="shared" si="7"/>
        <v>PLACA CALIBRADORA | Produção (matéria-prima + HH) | DN 8|46241</v>
      </c>
    </row>
    <row r="112" spans="1:14" x14ac:dyDescent="0.3">
      <c r="A112" s="332"/>
      <c r="B112" s="335" t="s">
        <v>143</v>
      </c>
      <c r="C112" s="336" t="s">
        <v>1521</v>
      </c>
      <c r="D112" s="337">
        <f t="shared" si="4"/>
        <v>280.93</v>
      </c>
      <c r="E112" s="332"/>
      <c r="F112" s="338">
        <v>46241</v>
      </c>
      <c r="G112" s="339" t="s">
        <v>1521</v>
      </c>
      <c r="H112" s="339" t="s">
        <v>143</v>
      </c>
      <c r="I112" s="339" t="s">
        <v>1522</v>
      </c>
      <c r="J112" s="340">
        <v>280.93</v>
      </c>
      <c r="K112" s="341" t="str">
        <f t="shared" si="5"/>
        <v>1º registro</v>
      </c>
      <c r="L112" s="342" t="str">
        <f t="shared" si="6"/>
        <v/>
      </c>
      <c r="M112" s="339" t="s">
        <v>1523</v>
      </c>
      <c r="N112" s="343" t="str">
        <f t="shared" si="7"/>
        <v>PLACA CALIBRADORA | Produção (matéria-prima + HH) | DN 10|46241</v>
      </c>
    </row>
    <row r="113" spans="1:14" x14ac:dyDescent="0.3">
      <c r="A113" s="332"/>
      <c r="B113" s="335" t="s">
        <v>144</v>
      </c>
      <c r="C113" s="336" t="s">
        <v>1521</v>
      </c>
      <c r="D113" s="337">
        <f t="shared" si="4"/>
        <v>320</v>
      </c>
      <c r="E113" s="332"/>
      <c r="F113" s="338">
        <v>46241</v>
      </c>
      <c r="G113" s="339" t="s">
        <v>1521</v>
      </c>
      <c r="H113" s="339" t="s">
        <v>144</v>
      </c>
      <c r="I113" s="339" t="s">
        <v>1522</v>
      </c>
      <c r="J113" s="340">
        <v>320</v>
      </c>
      <c r="K113" s="341" t="str">
        <f t="shared" si="5"/>
        <v>1º registro</v>
      </c>
      <c r="L113" s="342" t="str">
        <f t="shared" si="6"/>
        <v/>
      </c>
      <c r="M113" s="339" t="s">
        <v>1523</v>
      </c>
      <c r="N113" s="343" t="str">
        <f t="shared" si="7"/>
        <v>PLACA CALIBRADORA | Produção (matéria-prima + HH) | DN 12|46241</v>
      </c>
    </row>
    <row r="114" spans="1:14" x14ac:dyDescent="0.3">
      <c r="A114" s="332"/>
      <c r="B114" s="335" t="s">
        <v>145</v>
      </c>
      <c r="C114" s="336" t="s">
        <v>1521</v>
      </c>
      <c r="D114" s="337">
        <f t="shared" si="4"/>
        <v>380</v>
      </c>
      <c r="E114" s="332"/>
      <c r="F114" s="338">
        <v>46241</v>
      </c>
      <c r="G114" s="339" t="s">
        <v>1521</v>
      </c>
      <c r="H114" s="339" t="s">
        <v>145</v>
      </c>
      <c r="I114" s="339" t="s">
        <v>1522</v>
      </c>
      <c r="J114" s="340">
        <v>380</v>
      </c>
      <c r="K114" s="341" t="str">
        <f t="shared" si="5"/>
        <v>1º registro</v>
      </c>
      <c r="L114" s="342" t="str">
        <f t="shared" si="6"/>
        <v/>
      </c>
      <c r="M114" s="339" t="s">
        <v>1523</v>
      </c>
      <c r="N114" s="343" t="str">
        <f t="shared" si="7"/>
        <v>PLACA CALIBRADORA | Produção (matéria-prima + HH) | DN 14|46241</v>
      </c>
    </row>
    <row r="115" spans="1:14" x14ac:dyDescent="0.3">
      <c r="A115" s="332"/>
      <c r="B115" s="335" t="s">
        <v>146</v>
      </c>
      <c r="C115" s="336" t="s">
        <v>1521</v>
      </c>
      <c r="D115" s="337">
        <f t="shared" si="4"/>
        <v>450</v>
      </c>
      <c r="E115" s="332"/>
      <c r="F115" s="338">
        <v>46241</v>
      </c>
      <c r="G115" s="339" t="s">
        <v>1521</v>
      </c>
      <c r="H115" s="339" t="s">
        <v>146</v>
      </c>
      <c r="I115" s="339" t="s">
        <v>1522</v>
      </c>
      <c r="J115" s="340">
        <v>450</v>
      </c>
      <c r="K115" s="341" t="str">
        <f t="shared" si="5"/>
        <v>1º registro</v>
      </c>
      <c r="L115" s="342" t="str">
        <f t="shared" si="6"/>
        <v/>
      </c>
      <c r="M115" s="339" t="s">
        <v>1523</v>
      </c>
      <c r="N115" s="343" t="str">
        <f t="shared" si="7"/>
        <v>PLACA CALIBRADORA | Produção (matéria-prima + HH) | DN 16|46241</v>
      </c>
    </row>
    <row r="116" spans="1:14" x14ac:dyDescent="0.3">
      <c r="A116" s="332"/>
      <c r="B116" s="335" t="s">
        <v>147</v>
      </c>
      <c r="C116" s="336" t="s">
        <v>1521</v>
      </c>
      <c r="D116" s="337">
        <f t="shared" si="4"/>
        <v>520</v>
      </c>
      <c r="E116" s="332"/>
      <c r="F116" s="338">
        <v>46241</v>
      </c>
      <c r="G116" s="339" t="s">
        <v>1521</v>
      </c>
      <c r="H116" s="339" t="s">
        <v>147</v>
      </c>
      <c r="I116" s="339" t="s">
        <v>1522</v>
      </c>
      <c r="J116" s="340">
        <v>520</v>
      </c>
      <c r="K116" s="341" t="str">
        <f t="shared" si="5"/>
        <v>1º registro</v>
      </c>
      <c r="L116" s="342" t="str">
        <f t="shared" si="6"/>
        <v/>
      </c>
      <c r="M116" s="339" t="s">
        <v>1523</v>
      </c>
      <c r="N116" s="343" t="str">
        <f t="shared" si="7"/>
        <v>PLACA CALIBRADORA | Produção (matéria-prima + HH) | DN 18|46241</v>
      </c>
    </row>
    <row r="117" spans="1:14" x14ac:dyDescent="0.3">
      <c r="A117" s="332"/>
      <c r="B117" s="335" t="s">
        <v>148</v>
      </c>
      <c r="C117" s="336" t="s">
        <v>1521</v>
      </c>
      <c r="D117" s="337">
        <f t="shared" si="4"/>
        <v>750</v>
      </c>
      <c r="E117" s="332"/>
      <c r="F117" s="338">
        <v>46241</v>
      </c>
      <c r="G117" s="339" t="s">
        <v>1521</v>
      </c>
      <c r="H117" s="339" t="s">
        <v>148</v>
      </c>
      <c r="I117" s="339" t="s">
        <v>1522</v>
      </c>
      <c r="J117" s="340">
        <v>750</v>
      </c>
      <c r="K117" s="341" t="str">
        <f t="shared" si="5"/>
        <v>1º registro</v>
      </c>
      <c r="L117" s="342" t="str">
        <f t="shared" si="6"/>
        <v/>
      </c>
      <c r="M117" s="339" t="s">
        <v>1523</v>
      </c>
      <c r="N117" s="343" t="str">
        <f t="shared" si="7"/>
        <v>PLACA CALIBRADORA | Produção (matéria-prima + HH) | DN 20|46241</v>
      </c>
    </row>
    <row r="118" spans="1:14" x14ac:dyDescent="0.3">
      <c r="A118" s="332"/>
      <c r="B118" s="335" t="s">
        <v>149</v>
      </c>
      <c r="C118" s="336" t="s">
        <v>1521</v>
      </c>
      <c r="D118" s="337">
        <f t="shared" si="4"/>
        <v>1300</v>
      </c>
      <c r="E118" s="332"/>
      <c r="F118" s="338">
        <v>46241</v>
      </c>
      <c r="G118" s="339" t="s">
        <v>1521</v>
      </c>
      <c r="H118" s="339" t="s">
        <v>149</v>
      </c>
      <c r="I118" s="339" t="s">
        <v>1522</v>
      </c>
      <c r="J118" s="340">
        <v>1300</v>
      </c>
      <c r="K118" s="341" t="str">
        <f t="shared" si="5"/>
        <v>1º registro</v>
      </c>
      <c r="L118" s="342" t="str">
        <f t="shared" si="6"/>
        <v/>
      </c>
      <c r="M118" s="339" t="s">
        <v>1523</v>
      </c>
      <c r="N118" s="343" t="str">
        <f t="shared" si="7"/>
        <v>PLACA CALIBRADORA | Produção (matéria-prima + HH) | DN 22|46241</v>
      </c>
    </row>
    <row r="119" spans="1:14" x14ac:dyDescent="0.3">
      <c r="A119" s="332"/>
      <c r="B119" s="335" t="s">
        <v>150</v>
      </c>
      <c r="C119" s="336" t="s">
        <v>1521</v>
      </c>
      <c r="D119" s="337">
        <f t="shared" si="4"/>
        <v>1620</v>
      </c>
      <c r="E119" s="332"/>
      <c r="F119" s="338">
        <v>46241</v>
      </c>
      <c r="G119" s="339" t="s">
        <v>1521</v>
      </c>
      <c r="H119" s="339" t="s">
        <v>150</v>
      </c>
      <c r="I119" s="339" t="s">
        <v>1522</v>
      </c>
      <c r="J119" s="340">
        <v>1620</v>
      </c>
      <c r="K119" s="341" t="str">
        <f t="shared" si="5"/>
        <v>1º registro</v>
      </c>
      <c r="L119" s="342" t="str">
        <f t="shared" si="6"/>
        <v/>
      </c>
      <c r="M119" s="339" t="s">
        <v>1523</v>
      </c>
      <c r="N119" s="343" t="str">
        <f t="shared" si="7"/>
        <v>PLACA CALIBRADORA | Produção (matéria-prima + HH) | DN 24|46241</v>
      </c>
    </row>
    <row r="120" spans="1:14" x14ac:dyDescent="0.3">
      <c r="A120" s="332"/>
      <c r="B120" s="335" t="s">
        <v>151</v>
      </c>
      <c r="C120" s="336" t="s">
        <v>1521</v>
      </c>
      <c r="D120" s="337">
        <f t="shared" si="4"/>
        <v>2015.63</v>
      </c>
      <c r="E120" s="332"/>
      <c r="F120" s="338">
        <v>46241</v>
      </c>
      <c r="G120" s="339" t="s">
        <v>1521</v>
      </c>
      <c r="H120" s="339" t="s">
        <v>151</v>
      </c>
      <c r="I120" s="339" t="s">
        <v>1522</v>
      </c>
      <c r="J120" s="340">
        <v>2015.63</v>
      </c>
      <c r="K120" s="341" t="str">
        <f t="shared" si="5"/>
        <v>1º registro</v>
      </c>
      <c r="L120" s="342" t="str">
        <f t="shared" si="6"/>
        <v/>
      </c>
      <c r="M120" s="339" t="s">
        <v>1523</v>
      </c>
      <c r="N120" s="343" t="str">
        <f t="shared" si="7"/>
        <v>PLACA CALIBRADORA | Produção (matéria-prima + HH) | DN 26|46241</v>
      </c>
    </row>
    <row r="121" spans="1:14" x14ac:dyDescent="0.3">
      <c r="A121" s="332"/>
      <c r="B121" s="335" t="s">
        <v>152</v>
      </c>
      <c r="C121" s="336" t="s">
        <v>1521</v>
      </c>
      <c r="D121" s="337">
        <f t="shared" si="4"/>
        <v>2300</v>
      </c>
      <c r="E121" s="332"/>
      <c r="F121" s="338">
        <v>46241</v>
      </c>
      <c r="G121" s="339" t="s">
        <v>1521</v>
      </c>
      <c r="H121" s="339" t="s">
        <v>152</v>
      </c>
      <c r="I121" s="339" t="s">
        <v>1522</v>
      </c>
      <c r="J121" s="340">
        <v>2300</v>
      </c>
      <c r="K121" s="341" t="str">
        <f t="shared" si="5"/>
        <v>1º registro</v>
      </c>
      <c r="L121" s="342" t="str">
        <f t="shared" si="6"/>
        <v/>
      </c>
      <c r="M121" s="339" t="s">
        <v>1523</v>
      </c>
      <c r="N121" s="343" t="str">
        <f t="shared" si="7"/>
        <v>PLACA CALIBRADORA | Produção (matéria-prima + HH) | DN 28|46241</v>
      </c>
    </row>
    <row r="122" spans="1:14" x14ac:dyDescent="0.3">
      <c r="A122" s="332"/>
      <c r="B122" s="335" t="s">
        <v>153</v>
      </c>
      <c r="C122" s="336" t="s">
        <v>1521</v>
      </c>
      <c r="D122" s="337">
        <f t="shared" si="4"/>
        <v>2750.71</v>
      </c>
      <c r="E122" s="332"/>
      <c r="F122" s="338">
        <v>46241</v>
      </c>
      <c r="G122" s="339" t="s">
        <v>1521</v>
      </c>
      <c r="H122" s="339" t="s">
        <v>153</v>
      </c>
      <c r="I122" s="339" t="s">
        <v>1522</v>
      </c>
      <c r="J122" s="340">
        <v>2750.71</v>
      </c>
      <c r="K122" s="341" t="str">
        <f t="shared" si="5"/>
        <v>1º registro</v>
      </c>
      <c r="L122" s="342" t="str">
        <f t="shared" si="6"/>
        <v/>
      </c>
      <c r="M122" s="339" t="s">
        <v>1523</v>
      </c>
      <c r="N122" s="343" t="str">
        <f t="shared" si="7"/>
        <v>PLACA CALIBRADORA | Produção (matéria-prima + HH) | DN 30|46241</v>
      </c>
    </row>
    <row r="123" spans="1:14" x14ac:dyDescent="0.3">
      <c r="A123" s="332"/>
      <c r="B123" s="335" t="s">
        <v>154</v>
      </c>
      <c r="C123" s="336" t="s">
        <v>1521</v>
      </c>
      <c r="D123" s="337">
        <f t="shared" si="4"/>
        <v>3101.93</v>
      </c>
      <c r="E123" s="332"/>
      <c r="F123" s="338">
        <v>46241</v>
      </c>
      <c r="G123" s="339" t="s">
        <v>1521</v>
      </c>
      <c r="H123" s="339" t="s">
        <v>154</v>
      </c>
      <c r="I123" s="339" t="s">
        <v>1522</v>
      </c>
      <c r="J123" s="340">
        <v>3101.93</v>
      </c>
      <c r="K123" s="341" t="str">
        <f t="shared" si="5"/>
        <v>1º registro</v>
      </c>
      <c r="L123" s="342" t="str">
        <f t="shared" si="6"/>
        <v/>
      </c>
      <c r="M123" s="339" t="s">
        <v>1523</v>
      </c>
      <c r="N123" s="343" t="str">
        <f t="shared" si="7"/>
        <v>PLACA CALIBRADORA | Produção (matéria-prima + HH) | DN 32|46241</v>
      </c>
    </row>
    <row r="124" spans="1:14" x14ac:dyDescent="0.3">
      <c r="A124" s="332"/>
      <c r="B124" s="335" t="s">
        <v>155</v>
      </c>
      <c r="C124" s="336" t="s">
        <v>1521</v>
      </c>
      <c r="D124" s="337">
        <f t="shared" si="4"/>
        <v>3546.52</v>
      </c>
      <c r="E124" s="332"/>
      <c r="F124" s="338">
        <v>46241</v>
      </c>
      <c r="G124" s="339" t="s">
        <v>1521</v>
      </c>
      <c r="H124" s="339" t="s">
        <v>155</v>
      </c>
      <c r="I124" s="339" t="s">
        <v>1522</v>
      </c>
      <c r="J124" s="340">
        <v>3546.52</v>
      </c>
      <c r="K124" s="341" t="str">
        <f t="shared" si="5"/>
        <v>1º registro</v>
      </c>
      <c r="L124" s="342" t="str">
        <f t="shared" si="6"/>
        <v/>
      </c>
      <c r="M124" s="339" t="s">
        <v>1523</v>
      </c>
      <c r="N124" s="343" t="str">
        <f t="shared" si="7"/>
        <v>PLACA CALIBRADORA | Produção (matéria-prima + HH) | DN 34|46241</v>
      </c>
    </row>
    <row r="125" spans="1:14" x14ac:dyDescent="0.3">
      <c r="A125" s="332"/>
      <c r="B125" s="335" t="s">
        <v>156</v>
      </c>
      <c r="C125" s="336" t="s">
        <v>1521</v>
      </c>
      <c r="D125" s="337">
        <f t="shared" si="4"/>
        <v>3822.15</v>
      </c>
      <c r="E125" s="332"/>
      <c r="F125" s="338">
        <v>46241</v>
      </c>
      <c r="G125" s="339" t="s">
        <v>1521</v>
      </c>
      <c r="H125" s="339" t="s">
        <v>156</v>
      </c>
      <c r="I125" s="339" t="s">
        <v>1522</v>
      </c>
      <c r="J125" s="340">
        <v>3822.15</v>
      </c>
      <c r="K125" s="341" t="str">
        <f t="shared" si="5"/>
        <v>1º registro</v>
      </c>
      <c r="L125" s="342" t="str">
        <f t="shared" si="6"/>
        <v/>
      </c>
      <c r="M125" s="339" t="s">
        <v>1523</v>
      </c>
      <c r="N125" s="343" t="str">
        <f t="shared" si="7"/>
        <v>PLACA CALIBRADORA | Produção (matéria-prima + HH) | DN 36|46241</v>
      </c>
    </row>
    <row r="126" spans="1:14" x14ac:dyDescent="0.3">
      <c r="A126" s="332"/>
      <c r="B126" s="335" t="s">
        <v>157</v>
      </c>
      <c r="C126" s="336" t="s">
        <v>1521</v>
      </c>
      <c r="D126" s="337">
        <f t="shared" si="4"/>
        <v>4005.36</v>
      </c>
      <c r="E126" s="332"/>
      <c r="F126" s="338">
        <v>46241</v>
      </c>
      <c r="G126" s="339" t="s">
        <v>1521</v>
      </c>
      <c r="H126" s="339" t="s">
        <v>157</v>
      </c>
      <c r="I126" s="339" t="s">
        <v>1522</v>
      </c>
      <c r="J126" s="340">
        <v>4005.36</v>
      </c>
      <c r="K126" s="341" t="str">
        <f t="shared" si="5"/>
        <v>1º registro</v>
      </c>
      <c r="L126" s="342" t="str">
        <f t="shared" si="6"/>
        <v/>
      </c>
      <c r="M126" s="339" t="s">
        <v>1523</v>
      </c>
      <c r="N126" s="343" t="str">
        <f t="shared" si="7"/>
        <v>PLACA CALIBRADORA | Produção (matéria-prima + HH) | DN 38|46241</v>
      </c>
    </row>
    <row r="127" spans="1:14" x14ac:dyDescent="0.3">
      <c r="A127" s="332"/>
      <c r="B127" s="335" t="s">
        <v>158</v>
      </c>
      <c r="C127" s="336" t="s">
        <v>1521</v>
      </c>
      <c r="D127" s="337">
        <f t="shared" si="4"/>
        <v>4852</v>
      </c>
      <c r="E127" s="332"/>
      <c r="F127" s="338">
        <v>46241</v>
      </c>
      <c r="G127" s="339" t="s">
        <v>1521</v>
      </c>
      <c r="H127" s="339" t="s">
        <v>158</v>
      </c>
      <c r="I127" s="339" t="s">
        <v>1522</v>
      </c>
      <c r="J127" s="340">
        <v>4852</v>
      </c>
      <c r="K127" s="341" t="str">
        <f t="shared" si="5"/>
        <v>1º registro</v>
      </c>
      <c r="L127" s="342" t="str">
        <f t="shared" si="6"/>
        <v/>
      </c>
      <c r="M127" s="339" t="s">
        <v>1523</v>
      </c>
      <c r="N127" s="343" t="str">
        <f t="shared" si="7"/>
        <v>PLACA CALIBRADORA | Produção (matéria-prima + HH) | DN 40|46241</v>
      </c>
    </row>
    <row r="128" spans="1:14" x14ac:dyDescent="0.3">
      <c r="A128" s="332"/>
      <c r="B128" s="335" t="s">
        <v>159</v>
      </c>
      <c r="C128" s="336" t="s">
        <v>1521</v>
      </c>
      <c r="D128" s="337">
        <f t="shared" si="4"/>
        <v>5623.45</v>
      </c>
      <c r="E128" s="332"/>
      <c r="F128" s="338">
        <v>46241</v>
      </c>
      <c r="G128" s="339" t="s">
        <v>1521</v>
      </c>
      <c r="H128" s="339" t="s">
        <v>159</v>
      </c>
      <c r="I128" s="339" t="s">
        <v>1522</v>
      </c>
      <c r="J128" s="340">
        <v>5623.45</v>
      </c>
      <c r="K128" s="341" t="str">
        <f t="shared" si="5"/>
        <v>1º registro</v>
      </c>
      <c r="L128" s="342" t="str">
        <f t="shared" si="6"/>
        <v/>
      </c>
      <c r="M128" s="339" t="s">
        <v>1523</v>
      </c>
      <c r="N128" s="343" t="str">
        <f t="shared" si="7"/>
        <v>PLACA CALIBRADORA | Produção (matéria-prima + HH) | DN 42|46241</v>
      </c>
    </row>
    <row r="129" spans="1:14" x14ac:dyDescent="0.3">
      <c r="A129" s="332"/>
      <c r="B129" s="335" t="s">
        <v>1651</v>
      </c>
      <c r="C129" s="336" t="s">
        <v>1521</v>
      </c>
      <c r="D129" s="337">
        <f t="shared" si="4"/>
        <v>20.733333333333299</v>
      </c>
      <c r="E129" s="332"/>
      <c r="F129" s="338">
        <v>46241</v>
      </c>
      <c r="G129" s="339" t="s">
        <v>1521</v>
      </c>
      <c r="H129" s="339" t="s">
        <v>1651</v>
      </c>
      <c r="I129" s="339" t="s">
        <v>1522</v>
      </c>
      <c r="J129" s="340">
        <v>20.733333333333299</v>
      </c>
      <c r="K129" s="341" t="str">
        <f t="shared" si="5"/>
        <v>1º registro</v>
      </c>
      <c r="L129" s="342" t="str">
        <f t="shared" si="6"/>
        <v/>
      </c>
      <c r="M129" s="339" t="s">
        <v>1523</v>
      </c>
      <c r="N129" s="343" t="str">
        <f t="shared" si="7"/>
        <v>PU CAST DS | Disco de poliuretano fundido (MP + HH) | DN 2|46241</v>
      </c>
    </row>
    <row r="130" spans="1:14" x14ac:dyDescent="0.3">
      <c r="A130" s="332"/>
      <c r="B130" s="335" t="s">
        <v>1652</v>
      </c>
      <c r="C130" s="336" t="s">
        <v>1521</v>
      </c>
      <c r="D130" s="337">
        <f t="shared" si="4"/>
        <v>21.133333333333301</v>
      </c>
      <c r="E130" s="332"/>
      <c r="F130" s="338">
        <v>46241</v>
      </c>
      <c r="G130" s="339" t="s">
        <v>1521</v>
      </c>
      <c r="H130" s="339" t="s">
        <v>1652</v>
      </c>
      <c r="I130" s="339" t="s">
        <v>1522</v>
      </c>
      <c r="J130" s="340">
        <v>21.133333333333301</v>
      </c>
      <c r="K130" s="341" t="str">
        <f t="shared" si="5"/>
        <v>1º registro</v>
      </c>
      <c r="L130" s="342" t="str">
        <f t="shared" si="6"/>
        <v/>
      </c>
      <c r="M130" s="339" t="s">
        <v>1523</v>
      </c>
      <c r="N130" s="343" t="str">
        <f t="shared" si="7"/>
        <v>PU CAST DS | Disco de poliuretano fundido (MP + HH) | DN 3|46241</v>
      </c>
    </row>
    <row r="131" spans="1:14" x14ac:dyDescent="0.3">
      <c r="A131" s="332"/>
      <c r="B131" s="335" t="s">
        <v>1653</v>
      </c>
      <c r="C131" s="336" t="s">
        <v>1521</v>
      </c>
      <c r="D131" s="337">
        <f t="shared" si="4"/>
        <v>23.3333333333333</v>
      </c>
      <c r="E131" s="332"/>
      <c r="F131" s="338">
        <v>46241</v>
      </c>
      <c r="G131" s="339" t="s">
        <v>1521</v>
      </c>
      <c r="H131" s="339" t="s">
        <v>1653</v>
      </c>
      <c r="I131" s="339" t="s">
        <v>1522</v>
      </c>
      <c r="J131" s="340">
        <v>23.3333333333333</v>
      </c>
      <c r="K131" s="341" t="str">
        <f t="shared" si="5"/>
        <v>1º registro</v>
      </c>
      <c r="L131" s="342" t="str">
        <f t="shared" si="6"/>
        <v/>
      </c>
      <c r="M131" s="339" t="s">
        <v>1523</v>
      </c>
      <c r="N131" s="343" t="str">
        <f t="shared" si="7"/>
        <v>PU CAST DS | Disco de poliuretano fundido (MP + HH) | DN 4|46241</v>
      </c>
    </row>
    <row r="132" spans="1:14" x14ac:dyDescent="0.3">
      <c r="A132" s="332"/>
      <c r="B132" s="335" t="s">
        <v>1654</v>
      </c>
      <c r="C132" s="336" t="s">
        <v>1521</v>
      </c>
      <c r="D132" s="337">
        <f t="shared" si="4"/>
        <v>28.5388204111111</v>
      </c>
      <c r="E132" s="332"/>
      <c r="F132" s="338">
        <v>46241</v>
      </c>
      <c r="G132" s="339" t="s">
        <v>1521</v>
      </c>
      <c r="H132" s="339" t="s">
        <v>1654</v>
      </c>
      <c r="I132" s="339" t="s">
        <v>1522</v>
      </c>
      <c r="J132" s="340">
        <v>28.5388204111111</v>
      </c>
      <c r="K132" s="341" t="str">
        <f t="shared" si="5"/>
        <v>1º registro</v>
      </c>
      <c r="L132" s="342" t="str">
        <f t="shared" si="6"/>
        <v/>
      </c>
      <c r="M132" s="339" t="s">
        <v>1523</v>
      </c>
      <c r="N132" s="343" t="str">
        <f t="shared" si="7"/>
        <v>PU CAST DS | Disco de poliuretano fundido (MP + HH) | DN 6|46241</v>
      </c>
    </row>
    <row r="133" spans="1:14" x14ac:dyDescent="0.3">
      <c r="A133" s="332"/>
      <c r="B133" s="335" t="s">
        <v>1655</v>
      </c>
      <c r="C133" s="336" t="s">
        <v>1521</v>
      </c>
      <c r="D133" s="337">
        <f t="shared" si="4"/>
        <v>37.813419591111099</v>
      </c>
      <c r="E133" s="332"/>
      <c r="F133" s="338">
        <v>46241</v>
      </c>
      <c r="G133" s="339" t="s">
        <v>1521</v>
      </c>
      <c r="H133" s="339" t="s">
        <v>1655</v>
      </c>
      <c r="I133" s="339" t="s">
        <v>1522</v>
      </c>
      <c r="J133" s="340">
        <v>37.813419591111099</v>
      </c>
      <c r="K133" s="341" t="str">
        <f t="shared" si="5"/>
        <v>1º registro</v>
      </c>
      <c r="L133" s="342" t="str">
        <f t="shared" si="6"/>
        <v/>
      </c>
      <c r="M133" s="339" t="s">
        <v>1523</v>
      </c>
      <c r="N133" s="343" t="str">
        <f t="shared" si="7"/>
        <v>PU CAST DS | Disco de poliuretano fundido (MP + HH) | DN 8|46241</v>
      </c>
    </row>
    <row r="134" spans="1:14" x14ac:dyDescent="0.3">
      <c r="A134" s="332"/>
      <c r="B134" s="335" t="s">
        <v>1656</v>
      </c>
      <c r="C134" s="336" t="s">
        <v>1521</v>
      </c>
      <c r="D134" s="337">
        <f t="shared" si="4"/>
        <v>52.588538631111099</v>
      </c>
      <c r="E134" s="332"/>
      <c r="F134" s="338">
        <v>46241</v>
      </c>
      <c r="G134" s="339" t="s">
        <v>1521</v>
      </c>
      <c r="H134" s="339" t="s">
        <v>1656</v>
      </c>
      <c r="I134" s="339" t="s">
        <v>1522</v>
      </c>
      <c r="J134" s="340">
        <v>52.588538631111099</v>
      </c>
      <c r="K134" s="341" t="str">
        <f t="shared" si="5"/>
        <v>1º registro</v>
      </c>
      <c r="L134" s="342" t="str">
        <f t="shared" si="6"/>
        <v/>
      </c>
      <c r="M134" s="339" t="s">
        <v>1523</v>
      </c>
      <c r="N134" s="343" t="str">
        <f t="shared" si="7"/>
        <v>PU CAST DS | Disco de poliuretano fundido (MP + HH) | DN 10|46241</v>
      </c>
    </row>
    <row r="135" spans="1:14" x14ac:dyDescent="0.3">
      <c r="A135" s="332"/>
      <c r="B135" s="335" t="s">
        <v>1657</v>
      </c>
      <c r="C135" s="336" t="s">
        <v>1521</v>
      </c>
      <c r="D135" s="337">
        <f t="shared" si="4"/>
        <v>81.653142766666704</v>
      </c>
      <c r="E135" s="332"/>
      <c r="F135" s="338">
        <v>46241</v>
      </c>
      <c r="G135" s="339" t="s">
        <v>1521</v>
      </c>
      <c r="H135" s="339" t="s">
        <v>1657</v>
      </c>
      <c r="I135" s="339" t="s">
        <v>1522</v>
      </c>
      <c r="J135" s="340">
        <v>81.653142766666704</v>
      </c>
      <c r="K135" s="341" t="str">
        <f t="shared" si="5"/>
        <v>1º registro</v>
      </c>
      <c r="L135" s="342" t="str">
        <f t="shared" si="6"/>
        <v/>
      </c>
      <c r="M135" s="339" t="s">
        <v>1523</v>
      </c>
      <c r="N135" s="343" t="str">
        <f t="shared" si="7"/>
        <v>PU CAST DS | Disco de poliuretano fundido (MP + HH) | DN 12|46241</v>
      </c>
    </row>
    <row r="136" spans="1:14" x14ac:dyDescent="0.3">
      <c r="A136" s="332"/>
      <c r="B136" s="335" t="s">
        <v>1658</v>
      </c>
      <c r="C136" s="336" t="s">
        <v>1521</v>
      </c>
      <c r="D136" s="337">
        <f t="shared" si="4"/>
        <v>97.191107626666593</v>
      </c>
      <c r="E136" s="332"/>
      <c r="F136" s="338">
        <v>46241</v>
      </c>
      <c r="G136" s="339" t="s">
        <v>1521</v>
      </c>
      <c r="H136" s="339" t="s">
        <v>1658</v>
      </c>
      <c r="I136" s="339" t="s">
        <v>1522</v>
      </c>
      <c r="J136" s="340">
        <v>97.191107626666593</v>
      </c>
      <c r="K136" s="341" t="str">
        <f t="shared" si="5"/>
        <v>1º registro</v>
      </c>
      <c r="L136" s="342" t="str">
        <f t="shared" si="6"/>
        <v/>
      </c>
      <c r="M136" s="339" t="s">
        <v>1523</v>
      </c>
      <c r="N136" s="343" t="str">
        <f t="shared" si="7"/>
        <v>PU CAST DS | Disco de poliuretano fundido (MP + HH) | DN 14|46241</v>
      </c>
    </row>
    <row r="137" spans="1:14" x14ac:dyDescent="0.3">
      <c r="A137" s="332"/>
      <c r="B137" s="335" t="s">
        <v>1659</v>
      </c>
      <c r="C137" s="336" t="s">
        <v>1521</v>
      </c>
      <c r="D137" s="337">
        <f t="shared" si="4"/>
        <v>133.88800654666699</v>
      </c>
      <c r="E137" s="332"/>
      <c r="F137" s="338">
        <v>46241</v>
      </c>
      <c r="G137" s="339" t="s">
        <v>1521</v>
      </c>
      <c r="H137" s="339" t="s">
        <v>1659</v>
      </c>
      <c r="I137" s="339" t="s">
        <v>1522</v>
      </c>
      <c r="J137" s="340">
        <v>133.88800654666699</v>
      </c>
      <c r="K137" s="341" t="str">
        <f t="shared" si="5"/>
        <v>1º registro</v>
      </c>
      <c r="L137" s="342" t="str">
        <f t="shared" si="6"/>
        <v/>
      </c>
      <c r="M137" s="339" t="s">
        <v>1523</v>
      </c>
      <c r="N137" s="343" t="str">
        <f t="shared" si="7"/>
        <v>PU CAST DS | Disco de poliuretano fundido (MP + HH) | DN 16|46241</v>
      </c>
    </row>
    <row r="138" spans="1:14" x14ac:dyDescent="0.3">
      <c r="A138" s="332"/>
      <c r="B138" s="335" t="s">
        <v>1660</v>
      </c>
      <c r="C138" s="336" t="s">
        <v>1521</v>
      </c>
      <c r="D138" s="337">
        <f t="shared" si="4"/>
        <v>170.46445612666699</v>
      </c>
      <c r="E138" s="332"/>
      <c r="F138" s="338">
        <v>46241</v>
      </c>
      <c r="G138" s="339" t="s">
        <v>1521</v>
      </c>
      <c r="H138" s="339" t="s">
        <v>1660</v>
      </c>
      <c r="I138" s="339" t="s">
        <v>1522</v>
      </c>
      <c r="J138" s="340">
        <v>170.46445612666699</v>
      </c>
      <c r="K138" s="341" t="str">
        <f t="shared" si="5"/>
        <v>1º registro</v>
      </c>
      <c r="L138" s="342" t="str">
        <f t="shared" si="6"/>
        <v/>
      </c>
      <c r="M138" s="339" t="s">
        <v>1523</v>
      </c>
      <c r="N138" s="343" t="str">
        <f t="shared" si="7"/>
        <v>PU CAST DS | Disco de poliuretano fundido (MP + HH) | DN 18|46241</v>
      </c>
    </row>
    <row r="139" spans="1:14" x14ac:dyDescent="0.3">
      <c r="A139" s="332"/>
      <c r="B139" s="335" t="s">
        <v>1661</v>
      </c>
      <c r="C139" s="336" t="s">
        <v>1521</v>
      </c>
      <c r="D139" s="337">
        <f t="shared" si="4"/>
        <v>193.34983072666699</v>
      </c>
      <c r="E139" s="332"/>
      <c r="F139" s="338">
        <v>46241</v>
      </c>
      <c r="G139" s="339" t="s">
        <v>1521</v>
      </c>
      <c r="H139" s="339" t="s">
        <v>1661</v>
      </c>
      <c r="I139" s="339" t="s">
        <v>1522</v>
      </c>
      <c r="J139" s="340">
        <v>193.34983072666699</v>
      </c>
      <c r="K139" s="341" t="str">
        <f t="shared" si="5"/>
        <v>1º registro</v>
      </c>
      <c r="L139" s="342" t="str">
        <f t="shared" si="6"/>
        <v/>
      </c>
      <c r="M139" s="339" t="s">
        <v>1523</v>
      </c>
      <c r="N139" s="343" t="str">
        <f t="shared" si="7"/>
        <v>PU CAST DS | Disco de poliuretano fundido (MP + HH) | DN 20|46241</v>
      </c>
    </row>
    <row r="140" spans="1:14" x14ac:dyDescent="0.3">
      <c r="A140" s="332"/>
      <c r="B140" s="335" t="s">
        <v>1662</v>
      </c>
      <c r="C140" s="336" t="s">
        <v>1521</v>
      </c>
      <c r="D140" s="337">
        <f t="shared" si="4"/>
        <v>234.46320544666699</v>
      </c>
      <c r="E140" s="332"/>
      <c r="F140" s="338">
        <v>46241</v>
      </c>
      <c r="G140" s="339" t="s">
        <v>1521</v>
      </c>
      <c r="H140" s="339" t="s">
        <v>1662</v>
      </c>
      <c r="I140" s="339" t="s">
        <v>1522</v>
      </c>
      <c r="J140" s="340">
        <v>234.46320544666699</v>
      </c>
      <c r="K140" s="341" t="str">
        <f t="shared" si="5"/>
        <v>1º registro</v>
      </c>
      <c r="L140" s="342" t="str">
        <f t="shared" si="6"/>
        <v/>
      </c>
      <c r="M140" s="339" t="s">
        <v>1523</v>
      </c>
      <c r="N140" s="343" t="str">
        <f t="shared" si="7"/>
        <v>PU CAST DS | Disco de poliuretano fundido (MP + HH) | DN 22|46241</v>
      </c>
    </row>
    <row r="141" spans="1:14" x14ac:dyDescent="0.3">
      <c r="A141" s="332"/>
      <c r="B141" s="335" t="s">
        <v>1663</v>
      </c>
      <c r="C141" s="336" t="s">
        <v>1521</v>
      </c>
      <c r="D141" s="337">
        <f t="shared" si="4"/>
        <v>317.49295048666698</v>
      </c>
      <c r="E141" s="332"/>
      <c r="F141" s="338">
        <v>46241</v>
      </c>
      <c r="G141" s="339" t="s">
        <v>1521</v>
      </c>
      <c r="H141" s="339" t="s">
        <v>1663</v>
      </c>
      <c r="I141" s="339" t="s">
        <v>1522</v>
      </c>
      <c r="J141" s="340">
        <v>317.49295048666698</v>
      </c>
      <c r="K141" s="341" t="str">
        <f t="shared" si="5"/>
        <v>1º registro</v>
      </c>
      <c r="L141" s="342" t="str">
        <f t="shared" si="6"/>
        <v/>
      </c>
      <c r="M141" s="339" t="s">
        <v>1523</v>
      </c>
      <c r="N141" s="343" t="str">
        <f t="shared" si="7"/>
        <v>PU CAST DS | Disco de poliuretano fundido (MP + HH) | DN 24|46241</v>
      </c>
    </row>
    <row r="142" spans="1:14" x14ac:dyDescent="0.3">
      <c r="A142" s="332"/>
      <c r="B142" s="335" t="s">
        <v>1664</v>
      </c>
      <c r="C142" s="336" t="s">
        <v>1521</v>
      </c>
      <c r="D142" s="337">
        <f t="shared" si="4"/>
        <v>378.72136498666703</v>
      </c>
      <c r="E142" s="332"/>
      <c r="F142" s="338">
        <v>46241</v>
      </c>
      <c r="G142" s="339" t="s">
        <v>1521</v>
      </c>
      <c r="H142" s="339" t="s">
        <v>1664</v>
      </c>
      <c r="I142" s="339" t="s">
        <v>1522</v>
      </c>
      <c r="J142" s="340">
        <v>378.72136498666703</v>
      </c>
      <c r="K142" s="341" t="str">
        <f t="shared" si="5"/>
        <v>1º registro</v>
      </c>
      <c r="L142" s="342" t="str">
        <f t="shared" si="6"/>
        <v/>
      </c>
      <c r="M142" s="339" t="s">
        <v>1523</v>
      </c>
      <c r="N142" s="343" t="str">
        <f t="shared" si="7"/>
        <v>PU CAST DS | Disco de poliuretano fundido (MP + HH) | DN 26|46241</v>
      </c>
    </row>
    <row r="143" spans="1:14" x14ac:dyDescent="0.3">
      <c r="A143" s="332"/>
      <c r="B143" s="335" t="s">
        <v>1665</v>
      </c>
      <c r="C143" s="336" t="s">
        <v>1521</v>
      </c>
      <c r="D143" s="337">
        <f t="shared" si="4"/>
        <v>429.35023756666698</v>
      </c>
      <c r="E143" s="332"/>
      <c r="F143" s="338">
        <v>46241</v>
      </c>
      <c r="G143" s="339" t="s">
        <v>1521</v>
      </c>
      <c r="H143" s="339" t="s">
        <v>1665</v>
      </c>
      <c r="I143" s="339" t="s">
        <v>1522</v>
      </c>
      <c r="J143" s="340">
        <v>429.35023756666698</v>
      </c>
      <c r="K143" s="341" t="str">
        <f t="shared" si="5"/>
        <v>1º registro</v>
      </c>
      <c r="L143" s="342" t="str">
        <f t="shared" si="6"/>
        <v/>
      </c>
      <c r="M143" s="339" t="s">
        <v>1523</v>
      </c>
      <c r="N143" s="343" t="str">
        <f t="shared" si="7"/>
        <v>PU CAST DS | Disco de poliuretano fundido (MP + HH) | DN 28|46241</v>
      </c>
    </row>
    <row r="144" spans="1:14" x14ac:dyDescent="0.3">
      <c r="A144" s="332"/>
      <c r="B144" s="335" t="s">
        <v>1666</v>
      </c>
      <c r="C144" s="336" t="s">
        <v>1521</v>
      </c>
      <c r="D144" s="337">
        <f t="shared" si="4"/>
        <v>533.40695757333299</v>
      </c>
      <c r="E144" s="332"/>
      <c r="F144" s="338">
        <v>46241</v>
      </c>
      <c r="G144" s="339" t="s">
        <v>1521</v>
      </c>
      <c r="H144" s="339" t="s">
        <v>1666</v>
      </c>
      <c r="I144" s="339" t="s">
        <v>1522</v>
      </c>
      <c r="J144" s="340">
        <v>533.40695757333299</v>
      </c>
      <c r="K144" s="341" t="str">
        <f t="shared" si="5"/>
        <v>1º registro</v>
      </c>
      <c r="L144" s="342" t="str">
        <f t="shared" si="6"/>
        <v/>
      </c>
      <c r="M144" s="339" t="s">
        <v>1523</v>
      </c>
      <c r="N144" s="343" t="str">
        <f t="shared" si="7"/>
        <v>PU CAST DS | Disco de poliuretano fundido (MP + HH) | DN 30|46241</v>
      </c>
    </row>
    <row r="145" spans="1:14" x14ac:dyDescent="0.3">
      <c r="A145" s="332"/>
      <c r="B145" s="335" t="s">
        <v>1667</v>
      </c>
      <c r="C145" s="336" t="s">
        <v>1521</v>
      </c>
      <c r="D145" s="337">
        <f t="shared" si="4"/>
        <v>600.23332176666599</v>
      </c>
      <c r="E145" s="332"/>
      <c r="F145" s="338">
        <v>46241</v>
      </c>
      <c r="G145" s="339" t="s">
        <v>1521</v>
      </c>
      <c r="H145" s="339" t="s">
        <v>1667</v>
      </c>
      <c r="I145" s="339" t="s">
        <v>1522</v>
      </c>
      <c r="J145" s="340">
        <v>600.23332176666599</v>
      </c>
      <c r="K145" s="341" t="str">
        <f t="shared" si="5"/>
        <v>1º registro</v>
      </c>
      <c r="L145" s="342" t="str">
        <f t="shared" si="6"/>
        <v/>
      </c>
      <c r="M145" s="339" t="s">
        <v>1523</v>
      </c>
      <c r="N145" s="343" t="str">
        <f t="shared" si="7"/>
        <v>PU CAST DS | Disco de poliuretano fundido (MP + HH) | DN 32|46241</v>
      </c>
    </row>
    <row r="146" spans="1:14" x14ac:dyDescent="0.3">
      <c r="A146" s="332"/>
      <c r="B146" s="335" t="s">
        <v>1668</v>
      </c>
      <c r="C146" s="336" t="s">
        <v>1521</v>
      </c>
      <c r="D146" s="337">
        <f t="shared" si="4"/>
        <v>682.62067032666596</v>
      </c>
      <c r="E146" s="332"/>
      <c r="F146" s="338">
        <v>46241</v>
      </c>
      <c r="G146" s="339" t="s">
        <v>1521</v>
      </c>
      <c r="H146" s="339" t="s">
        <v>1668</v>
      </c>
      <c r="I146" s="339" t="s">
        <v>1522</v>
      </c>
      <c r="J146" s="340">
        <v>682.62067032666596</v>
      </c>
      <c r="K146" s="341" t="str">
        <f t="shared" si="5"/>
        <v>1º registro</v>
      </c>
      <c r="L146" s="342" t="str">
        <f t="shared" si="6"/>
        <v/>
      </c>
      <c r="M146" s="339" t="s">
        <v>1523</v>
      </c>
      <c r="N146" s="343" t="str">
        <f t="shared" si="7"/>
        <v>PU CAST DS | Disco de poliuretano fundido (MP + HH) | DN 34|46241</v>
      </c>
    </row>
    <row r="147" spans="1:14" x14ac:dyDescent="0.3">
      <c r="A147" s="332"/>
      <c r="B147" s="335" t="s">
        <v>1669</v>
      </c>
      <c r="C147" s="336" t="s">
        <v>1521</v>
      </c>
      <c r="D147" s="337">
        <f t="shared" si="4"/>
        <v>903.12326208666605</v>
      </c>
      <c r="E147" s="332"/>
      <c r="F147" s="338">
        <v>46241</v>
      </c>
      <c r="G147" s="339" t="s">
        <v>1521</v>
      </c>
      <c r="H147" s="339" t="s">
        <v>1669</v>
      </c>
      <c r="I147" s="339" t="s">
        <v>1522</v>
      </c>
      <c r="J147" s="340">
        <v>903.12326208666605</v>
      </c>
      <c r="K147" s="341" t="str">
        <f t="shared" si="5"/>
        <v>1º registro</v>
      </c>
      <c r="L147" s="342" t="str">
        <f t="shared" si="6"/>
        <v/>
      </c>
      <c r="M147" s="339" t="s">
        <v>1523</v>
      </c>
      <c r="N147" s="343" t="str">
        <f t="shared" si="7"/>
        <v>PU CAST DS | Disco de poliuretano fundido (MP + HH) | DN 36|46241</v>
      </c>
    </row>
    <row r="148" spans="1:14" x14ac:dyDescent="0.3">
      <c r="A148" s="332"/>
      <c r="B148" s="335" t="s">
        <v>1670</v>
      </c>
      <c r="C148" s="336" t="s">
        <v>1521</v>
      </c>
      <c r="D148" s="337">
        <f t="shared" si="4"/>
        <v>1032.4858532466701</v>
      </c>
      <c r="E148" s="332"/>
      <c r="F148" s="338">
        <v>46241</v>
      </c>
      <c r="G148" s="339" t="s">
        <v>1521</v>
      </c>
      <c r="H148" s="339" t="s">
        <v>1670</v>
      </c>
      <c r="I148" s="339" t="s">
        <v>1522</v>
      </c>
      <c r="J148" s="340">
        <v>1032.4858532466701</v>
      </c>
      <c r="K148" s="341" t="str">
        <f t="shared" si="5"/>
        <v>1º registro</v>
      </c>
      <c r="L148" s="342" t="str">
        <f t="shared" si="6"/>
        <v/>
      </c>
      <c r="M148" s="339" t="s">
        <v>1523</v>
      </c>
      <c r="N148" s="343" t="str">
        <f t="shared" si="7"/>
        <v>PU CAST DS | Disco de poliuretano fundido (MP + HH) | DN 38|46241</v>
      </c>
    </row>
    <row r="149" spans="1:14" x14ac:dyDescent="0.3">
      <c r="A149" s="332"/>
      <c r="B149" s="335" t="s">
        <v>1671</v>
      </c>
      <c r="C149" s="336" t="s">
        <v>1521</v>
      </c>
      <c r="D149" s="337">
        <f t="shared" si="4"/>
        <v>1096.60505190667</v>
      </c>
      <c r="E149" s="332"/>
      <c r="F149" s="338">
        <v>46241</v>
      </c>
      <c r="G149" s="339" t="s">
        <v>1521</v>
      </c>
      <c r="H149" s="339" t="s">
        <v>1671</v>
      </c>
      <c r="I149" s="339" t="s">
        <v>1522</v>
      </c>
      <c r="J149" s="340">
        <v>1096.60505190667</v>
      </c>
      <c r="K149" s="341" t="str">
        <f t="shared" si="5"/>
        <v>1º registro</v>
      </c>
      <c r="L149" s="342" t="str">
        <f t="shared" si="6"/>
        <v/>
      </c>
      <c r="M149" s="339" t="s">
        <v>1523</v>
      </c>
      <c r="N149" s="343" t="str">
        <f t="shared" si="7"/>
        <v>PU CAST DS | Disco de poliuretano fundido (MP + HH) | DN 40|46241</v>
      </c>
    </row>
    <row r="150" spans="1:14" x14ac:dyDescent="0.3">
      <c r="A150" s="332"/>
      <c r="B150" s="335" t="s">
        <v>1672</v>
      </c>
      <c r="C150" s="336" t="s">
        <v>1521</v>
      </c>
      <c r="D150" s="337">
        <f t="shared" ref="D150:D213" si="8">IF($B150="","",IFERROR(INDEX($J$21:$J$1200,MATCH($B150&amp;"|"&amp;TEXT(_xlfn.MAXIFS($F$21:$F$1200,$H$21:$H$1200,$B150,$F$21:$F$1200,"&lt;="&amp;EOMONTH(D$20,0)),"0"),$N$21:$N$1200,0)),"-"))</f>
        <v>1219.9050262866699</v>
      </c>
      <c r="E150" s="332"/>
      <c r="F150" s="338">
        <v>46241</v>
      </c>
      <c r="G150" s="339" t="s">
        <v>1521</v>
      </c>
      <c r="H150" s="339" t="s">
        <v>1672</v>
      </c>
      <c r="I150" s="339" t="s">
        <v>1522</v>
      </c>
      <c r="J150" s="340">
        <v>1219.9050262866699</v>
      </c>
      <c r="K150" s="341" t="str">
        <f t="shared" ref="K150:K213" si="9">IF($H150="","",IFERROR(INDEX($J$21:$J$1200,MATCH($H150&amp;"|"&amp;TEXT(_xlfn.MAXIFS($F$21:$F$1200,$H$21:$H$1200,$H150,$F$21:$F$1200,"&lt;"&amp;$F150),"0"),$N$21:$N$1200,0)),"1º registro"))</f>
        <v>1º registro</v>
      </c>
      <c r="L150" s="342" t="str">
        <f t="shared" ref="L150:L213" si="10">IF(OR($H150="",$K150="1º registro"),"",IFERROR(($J150-$K150)/$K150,""))</f>
        <v/>
      </c>
      <c r="M150" s="339" t="s">
        <v>1523</v>
      </c>
      <c r="N150" s="343" t="str">
        <f t="shared" ref="N150:N213" si="11">IF($H150="","",$H150&amp;"|"&amp;TEXT($F150,"0"))</f>
        <v>PU CAST DS | Disco de poliuretano fundido (MP + HH) | DN 42|46241</v>
      </c>
    </row>
    <row r="151" spans="1:14" x14ac:dyDescent="0.3">
      <c r="A151" s="332"/>
      <c r="B151" s="335" t="s">
        <v>1673</v>
      </c>
      <c r="C151" s="336" t="s">
        <v>1521</v>
      </c>
      <c r="D151" s="337">
        <f t="shared" si="8"/>
        <v>37.006666666666703</v>
      </c>
      <c r="E151" s="332"/>
      <c r="F151" s="338">
        <v>46241</v>
      </c>
      <c r="G151" s="339" t="s">
        <v>1521</v>
      </c>
      <c r="H151" s="339" t="s">
        <v>1673</v>
      </c>
      <c r="I151" s="339" t="s">
        <v>1522</v>
      </c>
      <c r="J151" s="340">
        <v>37.006666666666703</v>
      </c>
      <c r="K151" s="341" t="str">
        <f t="shared" si="9"/>
        <v>1º registro</v>
      </c>
      <c r="L151" s="342" t="str">
        <f t="shared" si="10"/>
        <v/>
      </c>
      <c r="M151" s="339" t="s">
        <v>1523</v>
      </c>
      <c r="N151" s="343" t="str">
        <f t="shared" si="11"/>
        <v>PU CAST DG | Disco de poliuretano fundido (MP + HH) | DN 2|46241</v>
      </c>
    </row>
    <row r="152" spans="1:14" x14ac:dyDescent="0.3">
      <c r="A152" s="332"/>
      <c r="B152" s="335" t="s">
        <v>1674</v>
      </c>
      <c r="C152" s="336" t="s">
        <v>1521</v>
      </c>
      <c r="D152" s="337">
        <f t="shared" si="8"/>
        <v>22.633333333333301</v>
      </c>
      <c r="E152" s="332"/>
      <c r="F152" s="338">
        <v>46241</v>
      </c>
      <c r="G152" s="339" t="s">
        <v>1521</v>
      </c>
      <c r="H152" s="339" t="s">
        <v>1674</v>
      </c>
      <c r="I152" s="339" t="s">
        <v>1522</v>
      </c>
      <c r="J152" s="340">
        <v>22.633333333333301</v>
      </c>
      <c r="K152" s="341" t="str">
        <f t="shared" si="9"/>
        <v>1º registro</v>
      </c>
      <c r="L152" s="342" t="str">
        <f t="shared" si="10"/>
        <v/>
      </c>
      <c r="M152" s="339" t="s">
        <v>1523</v>
      </c>
      <c r="N152" s="343" t="str">
        <f t="shared" si="11"/>
        <v>PU CAST DG | Disco de poliuretano fundido (MP + HH) | DN 3|46241</v>
      </c>
    </row>
    <row r="153" spans="1:14" x14ac:dyDescent="0.3">
      <c r="A153" s="332"/>
      <c r="B153" s="335" t="s">
        <v>1675</v>
      </c>
      <c r="C153" s="336" t="s">
        <v>1521</v>
      </c>
      <c r="D153" s="337">
        <f t="shared" si="8"/>
        <v>39.886666666666699</v>
      </c>
      <c r="E153" s="332"/>
      <c r="F153" s="338">
        <v>46241</v>
      </c>
      <c r="G153" s="339" t="s">
        <v>1521</v>
      </c>
      <c r="H153" s="339" t="s">
        <v>1675</v>
      </c>
      <c r="I153" s="339" t="s">
        <v>1522</v>
      </c>
      <c r="J153" s="340">
        <v>39.886666666666699</v>
      </c>
      <c r="K153" s="341" t="str">
        <f t="shared" si="9"/>
        <v>1º registro</v>
      </c>
      <c r="L153" s="342" t="str">
        <f t="shared" si="10"/>
        <v/>
      </c>
      <c r="M153" s="339" t="s">
        <v>1523</v>
      </c>
      <c r="N153" s="343" t="str">
        <f t="shared" si="11"/>
        <v>PU CAST DG | Disco de poliuretano fundido (MP + HH) | DN 4|46241</v>
      </c>
    </row>
    <row r="154" spans="1:14" x14ac:dyDescent="0.3">
      <c r="A154" s="332"/>
      <c r="B154" s="335" t="s">
        <v>1676</v>
      </c>
      <c r="C154" s="336" t="s">
        <v>1521</v>
      </c>
      <c r="D154" s="337">
        <f t="shared" si="8"/>
        <v>27.274355111111099</v>
      </c>
      <c r="E154" s="332"/>
      <c r="F154" s="338">
        <v>46241</v>
      </c>
      <c r="G154" s="339" t="s">
        <v>1521</v>
      </c>
      <c r="H154" s="339" t="s">
        <v>1676</v>
      </c>
      <c r="I154" s="339" t="s">
        <v>1522</v>
      </c>
      <c r="J154" s="340">
        <v>27.274355111111099</v>
      </c>
      <c r="K154" s="341" t="str">
        <f t="shared" si="9"/>
        <v>1º registro</v>
      </c>
      <c r="L154" s="342" t="str">
        <f t="shared" si="10"/>
        <v/>
      </c>
      <c r="M154" s="339" t="s">
        <v>1523</v>
      </c>
      <c r="N154" s="343" t="str">
        <f t="shared" si="11"/>
        <v>PU CAST DG | Disco de poliuretano fundido (MP + HH) | DN 6|46241</v>
      </c>
    </row>
    <row r="155" spans="1:14" x14ac:dyDescent="0.3">
      <c r="A155" s="332"/>
      <c r="B155" s="335" t="s">
        <v>1677</v>
      </c>
      <c r="C155" s="336" t="s">
        <v>1521</v>
      </c>
      <c r="D155" s="337">
        <f t="shared" si="8"/>
        <v>32.297821111111098</v>
      </c>
      <c r="E155" s="332"/>
      <c r="F155" s="338">
        <v>46241</v>
      </c>
      <c r="G155" s="339" t="s">
        <v>1521</v>
      </c>
      <c r="H155" s="339" t="s">
        <v>1677</v>
      </c>
      <c r="I155" s="339" t="s">
        <v>1522</v>
      </c>
      <c r="J155" s="340">
        <v>32.297821111111098</v>
      </c>
      <c r="K155" s="341" t="str">
        <f t="shared" si="9"/>
        <v>1º registro</v>
      </c>
      <c r="L155" s="342" t="str">
        <f t="shared" si="10"/>
        <v/>
      </c>
      <c r="M155" s="339" t="s">
        <v>1523</v>
      </c>
      <c r="N155" s="343" t="str">
        <f t="shared" si="11"/>
        <v>PU CAST DG | Disco de poliuretano fundido (MP + HH) | DN 8|46241</v>
      </c>
    </row>
    <row r="156" spans="1:14" x14ac:dyDescent="0.3">
      <c r="A156" s="332"/>
      <c r="B156" s="335" t="s">
        <v>1678</v>
      </c>
      <c r="C156" s="336" t="s">
        <v>1521</v>
      </c>
      <c r="D156" s="337">
        <f t="shared" si="8"/>
        <v>40.592872111111099</v>
      </c>
      <c r="E156" s="332"/>
      <c r="F156" s="338">
        <v>46241</v>
      </c>
      <c r="G156" s="339" t="s">
        <v>1521</v>
      </c>
      <c r="H156" s="339" t="s">
        <v>1678</v>
      </c>
      <c r="I156" s="339" t="s">
        <v>1522</v>
      </c>
      <c r="J156" s="340">
        <v>40.592872111111099</v>
      </c>
      <c r="K156" s="341" t="str">
        <f t="shared" si="9"/>
        <v>1º registro</v>
      </c>
      <c r="L156" s="342" t="str">
        <f t="shared" si="10"/>
        <v/>
      </c>
      <c r="M156" s="339" t="s">
        <v>1523</v>
      </c>
      <c r="N156" s="343" t="str">
        <f t="shared" si="11"/>
        <v>PU CAST DG | Disco de poliuretano fundido (MP + HH) | DN 10|46241</v>
      </c>
    </row>
    <row r="157" spans="1:14" x14ac:dyDescent="0.3">
      <c r="A157" s="332"/>
      <c r="B157" s="335" t="s">
        <v>1679</v>
      </c>
      <c r="C157" s="336" t="s">
        <v>1521</v>
      </c>
      <c r="D157" s="337">
        <f t="shared" si="8"/>
        <v>61.7652486666667</v>
      </c>
      <c r="E157" s="332"/>
      <c r="F157" s="338">
        <v>46241</v>
      </c>
      <c r="G157" s="339" t="s">
        <v>1521</v>
      </c>
      <c r="H157" s="339" t="s">
        <v>1679</v>
      </c>
      <c r="I157" s="339" t="s">
        <v>1522</v>
      </c>
      <c r="J157" s="340">
        <v>61.7652486666667</v>
      </c>
      <c r="K157" s="341" t="str">
        <f t="shared" si="9"/>
        <v>1º registro</v>
      </c>
      <c r="L157" s="342" t="str">
        <f t="shared" si="10"/>
        <v/>
      </c>
      <c r="M157" s="339" t="s">
        <v>1523</v>
      </c>
      <c r="N157" s="343" t="str">
        <f t="shared" si="11"/>
        <v>PU CAST DG | Disco de poliuretano fundido (MP + HH) | DN 12|46241</v>
      </c>
    </row>
    <row r="158" spans="1:14" x14ac:dyDescent="0.3">
      <c r="A158" s="332"/>
      <c r="B158" s="335" t="s">
        <v>1680</v>
      </c>
      <c r="C158" s="336" t="s">
        <v>1521</v>
      </c>
      <c r="D158" s="337">
        <f t="shared" si="8"/>
        <v>69.216019666666696</v>
      </c>
      <c r="E158" s="332"/>
      <c r="F158" s="338">
        <v>46241</v>
      </c>
      <c r="G158" s="339" t="s">
        <v>1521</v>
      </c>
      <c r="H158" s="339" t="s">
        <v>1680</v>
      </c>
      <c r="I158" s="339" t="s">
        <v>1522</v>
      </c>
      <c r="J158" s="340">
        <v>69.216019666666696</v>
      </c>
      <c r="K158" s="341" t="str">
        <f t="shared" si="9"/>
        <v>1º registro</v>
      </c>
      <c r="L158" s="342" t="str">
        <f t="shared" si="10"/>
        <v/>
      </c>
      <c r="M158" s="339" t="s">
        <v>1523</v>
      </c>
      <c r="N158" s="343" t="str">
        <f t="shared" si="11"/>
        <v>PU CAST DG | Disco de poliuretano fundido (MP + HH) | DN 14|46241</v>
      </c>
    </row>
    <row r="159" spans="1:14" x14ac:dyDescent="0.3">
      <c r="A159" s="332"/>
      <c r="B159" s="335" t="s">
        <v>1681</v>
      </c>
      <c r="C159" s="336" t="s">
        <v>1521</v>
      </c>
      <c r="D159" s="337">
        <f t="shared" si="8"/>
        <v>94.924345666666696</v>
      </c>
      <c r="E159" s="332"/>
      <c r="F159" s="338">
        <v>46241</v>
      </c>
      <c r="G159" s="339" t="s">
        <v>1521</v>
      </c>
      <c r="H159" s="339" t="s">
        <v>1681</v>
      </c>
      <c r="I159" s="339" t="s">
        <v>1522</v>
      </c>
      <c r="J159" s="340">
        <v>94.924345666666696</v>
      </c>
      <c r="K159" s="341" t="str">
        <f t="shared" si="9"/>
        <v>1º registro</v>
      </c>
      <c r="L159" s="342" t="str">
        <f t="shared" si="10"/>
        <v/>
      </c>
      <c r="M159" s="339" t="s">
        <v>1523</v>
      </c>
      <c r="N159" s="343" t="str">
        <f t="shared" si="11"/>
        <v>PU CAST DG | Disco de poliuretano fundido (MP + HH) | DN 16|46241</v>
      </c>
    </row>
    <row r="160" spans="1:14" x14ac:dyDescent="0.3">
      <c r="A160" s="332"/>
      <c r="B160" s="335" t="s">
        <v>1682</v>
      </c>
      <c r="C160" s="336" t="s">
        <v>1521</v>
      </c>
      <c r="D160" s="337">
        <f t="shared" si="8"/>
        <v>107.31415466666699</v>
      </c>
      <c r="E160" s="332"/>
      <c r="F160" s="338">
        <v>46241</v>
      </c>
      <c r="G160" s="339" t="s">
        <v>1521</v>
      </c>
      <c r="H160" s="339" t="s">
        <v>1682</v>
      </c>
      <c r="I160" s="339" t="s">
        <v>1522</v>
      </c>
      <c r="J160" s="340">
        <v>107.31415466666699</v>
      </c>
      <c r="K160" s="341" t="str">
        <f t="shared" si="9"/>
        <v>1º registro</v>
      </c>
      <c r="L160" s="342" t="str">
        <f t="shared" si="10"/>
        <v/>
      </c>
      <c r="M160" s="339" t="s">
        <v>1523</v>
      </c>
      <c r="N160" s="343" t="str">
        <f t="shared" si="11"/>
        <v>PU CAST DG | Disco de poliuretano fundido (MP + HH) | DN 18|46241</v>
      </c>
    </row>
    <row r="161" spans="1:14" x14ac:dyDescent="0.3">
      <c r="A161" s="332"/>
      <c r="B161" s="335" t="s">
        <v>1683</v>
      </c>
      <c r="C161" s="336" t="s">
        <v>1521</v>
      </c>
      <c r="D161" s="337">
        <f t="shared" si="8"/>
        <v>117.86765466666699</v>
      </c>
      <c r="E161" s="332"/>
      <c r="F161" s="338">
        <v>46241</v>
      </c>
      <c r="G161" s="339" t="s">
        <v>1521</v>
      </c>
      <c r="H161" s="339" t="s">
        <v>1683</v>
      </c>
      <c r="I161" s="339" t="s">
        <v>1522</v>
      </c>
      <c r="J161" s="340">
        <v>117.86765466666699</v>
      </c>
      <c r="K161" s="341" t="str">
        <f t="shared" si="9"/>
        <v>1º registro</v>
      </c>
      <c r="L161" s="342" t="str">
        <f t="shared" si="10"/>
        <v/>
      </c>
      <c r="M161" s="339" t="s">
        <v>1523</v>
      </c>
      <c r="N161" s="343" t="str">
        <f t="shared" si="11"/>
        <v>PU CAST DG | Disco de poliuretano fundido (MP + HH) | DN 20|46241</v>
      </c>
    </row>
    <row r="162" spans="1:14" x14ac:dyDescent="0.3">
      <c r="A162" s="332"/>
      <c r="B162" s="335" t="s">
        <v>1684</v>
      </c>
      <c r="C162" s="336" t="s">
        <v>1521</v>
      </c>
      <c r="D162" s="337">
        <f t="shared" si="8"/>
        <v>148.07177166666699</v>
      </c>
      <c r="E162" s="332"/>
      <c r="F162" s="338">
        <v>46241</v>
      </c>
      <c r="G162" s="339" t="s">
        <v>1521</v>
      </c>
      <c r="H162" s="339" t="s">
        <v>1684</v>
      </c>
      <c r="I162" s="339" t="s">
        <v>1522</v>
      </c>
      <c r="J162" s="340">
        <v>148.07177166666699</v>
      </c>
      <c r="K162" s="341" t="str">
        <f t="shared" si="9"/>
        <v>1º registro</v>
      </c>
      <c r="L162" s="342" t="str">
        <f t="shared" si="10"/>
        <v/>
      </c>
      <c r="M162" s="339" t="s">
        <v>1523</v>
      </c>
      <c r="N162" s="343" t="str">
        <f t="shared" si="11"/>
        <v>PU CAST DG | Disco de poliuretano fundido (MP + HH) | DN 22|46241</v>
      </c>
    </row>
    <row r="163" spans="1:14" x14ac:dyDescent="0.3">
      <c r="A163" s="332"/>
      <c r="B163" s="335" t="s">
        <v>1685</v>
      </c>
      <c r="C163" s="336" t="s">
        <v>1521</v>
      </c>
      <c r="D163" s="337">
        <f t="shared" si="8"/>
        <v>287.269051666667</v>
      </c>
      <c r="E163" s="332"/>
      <c r="F163" s="338">
        <v>46241</v>
      </c>
      <c r="G163" s="339" t="s">
        <v>1521</v>
      </c>
      <c r="H163" s="339" t="s">
        <v>1685</v>
      </c>
      <c r="I163" s="339" t="s">
        <v>1522</v>
      </c>
      <c r="J163" s="340">
        <v>287.269051666667</v>
      </c>
      <c r="K163" s="341" t="str">
        <f t="shared" si="9"/>
        <v>1º registro</v>
      </c>
      <c r="L163" s="342" t="str">
        <f t="shared" si="10"/>
        <v/>
      </c>
      <c r="M163" s="339" t="s">
        <v>1523</v>
      </c>
      <c r="N163" s="343" t="str">
        <f t="shared" si="11"/>
        <v>PU CAST DG | Disco de poliuretano fundido (MP + HH) | DN 24|46241</v>
      </c>
    </row>
    <row r="164" spans="1:14" x14ac:dyDescent="0.3">
      <c r="A164" s="332"/>
      <c r="B164" s="335" t="s">
        <v>1686</v>
      </c>
      <c r="C164" s="336" t="s">
        <v>1521</v>
      </c>
      <c r="D164" s="337">
        <f t="shared" si="8"/>
        <v>370.66835266666698</v>
      </c>
      <c r="E164" s="332"/>
      <c r="F164" s="338">
        <v>46241</v>
      </c>
      <c r="G164" s="339" t="s">
        <v>1521</v>
      </c>
      <c r="H164" s="339" t="s">
        <v>1686</v>
      </c>
      <c r="I164" s="339" t="s">
        <v>1522</v>
      </c>
      <c r="J164" s="340">
        <v>370.66835266666698</v>
      </c>
      <c r="K164" s="341" t="str">
        <f t="shared" si="9"/>
        <v>1º registro</v>
      </c>
      <c r="L164" s="342" t="str">
        <f t="shared" si="10"/>
        <v/>
      </c>
      <c r="M164" s="339" t="s">
        <v>1523</v>
      </c>
      <c r="N164" s="343" t="str">
        <f t="shared" si="11"/>
        <v>PU CAST DG | Disco de poliuretano fundido (MP + HH) | DN 26|46241</v>
      </c>
    </row>
    <row r="165" spans="1:14" x14ac:dyDescent="0.3">
      <c r="A165" s="332"/>
      <c r="B165" s="335" t="s">
        <v>1687</v>
      </c>
      <c r="C165" s="336" t="s">
        <v>1521</v>
      </c>
      <c r="D165" s="337">
        <f t="shared" si="8"/>
        <v>485.828239666667</v>
      </c>
      <c r="E165" s="332"/>
      <c r="F165" s="338">
        <v>46241</v>
      </c>
      <c r="G165" s="339" t="s">
        <v>1521</v>
      </c>
      <c r="H165" s="339" t="s">
        <v>1687</v>
      </c>
      <c r="I165" s="339" t="s">
        <v>1522</v>
      </c>
      <c r="J165" s="340">
        <v>485.828239666667</v>
      </c>
      <c r="K165" s="341" t="str">
        <f t="shared" si="9"/>
        <v>1º registro</v>
      </c>
      <c r="L165" s="342" t="str">
        <f t="shared" si="10"/>
        <v/>
      </c>
      <c r="M165" s="339" t="s">
        <v>1523</v>
      </c>
      <c r="N165" s="343" t="str">
        <f t="shared" si="11"/>
        <v>PU CAST DG | Disco de poliuretano fundido (MP + HH) | DN 28|46241</v>
      </c>
    </row>
    <row r="166" spans="1:14" x14ac:dyDescent="0.3">
      <c r="A166" s="332"/>
      <c r="B166" s="335" t="s">
        <v>1688</v>
      </c>
      <c r="C166" s="336" t="s">
        <v>1521</v>
      </c>
      <c r="D166" s="337">
        <f t="shared" si="8"/>
        <v>603.18926133333298</v>
      </c>
      <c r="E166" s="332"/>
      <c r="F166" s="338">
        <v>46241</v>
      </c>
      <c r="G166" s="339" t="s">
        <v>1521</v>
      </c>
      <c r="H166" s="339" t="s">
        <v>1688</v>
      </c>
      <c r="I166" s="339" t="s">
        <v>1522</v>
      </c>
      <c r="J166" s="340">
        <v>603.18926133333298</v>
      </c>
      <c r="K166" s="341" t="str">
        <f t="shared" si="9"/>
        <v>1º registro</v>
      </c>
      <c r="L166" s="342" t="str">
        <f t="shared" si="10"/>
        <v/>
      </c>
      <c r="M166" s="339" t="s">
        <v>1523</v>
      </c>
      <c r="N166" s="343" t="str">
        <f t="shared" si="11"/>
        <v>PU CAST DG | Disco de poliuretano fundido (MP + HH) | DN 30|46241</v>
      </c>
    </row>
    <row r="167" spans="1:14" x14ac:dyDescent="0.3">
      <c r="A167" s="332"/>
      <c r="B167" s="335" t="s">
        <v>1689</v>
      </c>
      <c r="C167" s="336" t="s">
        <v>1521</v>
      </c>
      <c r="D167" s="337">
        <f t="shared" si="8"/>
        <v>639.50018466666597</v>
      </c>
      <c r="E167" s="332"/>
      <c r="F167" s="338">
        <v>46241</v>
      </c>
      <c r="G167" s="339" t="s">
        <v>1521</v>
      </c>
      <c r="H167" s="339" t="s">
        <v>1689</v>
      </c>
      <c r="I167" s="339" t="s">
        <v>1522</v>
      </c>
      <c r="J167" s="340">
        <v>639.50018466666597</v>
      </c>
      <c r="K167" s="341" t="str">
        <f t="shared" si="9"/>
        <v>1º registro</v>
      </c>
      <c r="L167" s="342" t="str">
        <f t="shared" si="10"/>
        <v/>
      </c>
      <c r="M167" s="339" t="s">
        <v>1523</v>
      </c>
      <c r="N167" s="343" t="str">
        <f t="shared" si="11"/>
        <v>PU CAST DG | Disco de poliuretano fundido (MP + HH) | DN 32|46241</v>
      </c>
    </row>
    <row r="168" spans="1:14" x14ac:dyDescent="0.3">
      <c r="A168" s="332"/>
      <c r="B168" s="335" t="s">
        <v>1690</v>
      </c>
      <c r="C168" s="336" t="s">
        <v>1521</v>
      </c>
      <c r="D168" s="337">
        <f t="shared" si="8"/>
        <v>735.48526566666601</v>
      </c>
      <c r="E168" s="332"/>
      <c r="F168" s="338">
        <v>46241</v>
      </c>
      <c r="G168" s="339" t="s">
        <v>1521</v>
      </c>
      <c r="H168" s="339" t="s">
        <v>1690</v>
      </c>
      <c r="I168" s="339" t="s">
        <v>1522</v>
      </c>
      <c r="J168" s="340">
        <v>735.48526566666601</v>
      </c>
      <c r="K168" s="341" t="str">
        <f t="shared" si="9"/>
        <v>1º registro</v>
      </c>
      <c r="L168" s="342" t="str">
        <f t="shared" si="10"/>
        <v/>
      </c>
      <c r="M168" s="339" t="s">
        <v>1523</v>
      </c>
      <c r="N168" s="343" t="str">
        <f t="shared" si="11"/>
        <v>PU CAST DG | Disco de poliuretano fundido (MP + HH) | DN 34|46241</v>
      </c>
    </row>
    <row r="169" spans="1:14" x14ac:dyDescent="0.3">
      <c r="A169" s="332"/>
      <c r="B169" s="335" t="s">
        <v>1691</v>
      </c>
      <c r="C169" s="336" t="s">
        <v>1521</v>
      </c>
      <c r="D169" s="337">
        <f t="shared" si="8"/>
        <v>804.89214066666602</v>
      </c>
      <c r="E169" s="332"/>
      <c r="F169" s="338">
        <v>46241</v>
      </c>
      <c r="G169" s="339" t="s">
        <v>1521</v>
      </c>
      <c r="H169" s="339" t="s">
        <v>1691</v>
      </c>
      <c r="I169" s="339" t="s">
        <v>1522</v>
      </c>
      <c r="J169" s="340">
        <v>804.89214066666602</v>
      </c>
      <c r="K169" s="341" t="str">
        <f t="shared" si="9"/>
        <v>1º registro</v>
      </c>
      <c r="L169" s="342" t="str">
        <f t="shared" si="10"/>
        <v/>
      </c>
      <c r="M169" s="339" t="s">
        <v>1523</v>
      </c>
      <c r="N169" s="343" t="str">
        <f t="shared" si="11"/>
        <v>PU CAST DG | Disco de poliuretano fundido (MP + HH) | DN 36|46241</v>
      </c>
    </row>
    <row r="170" spans="1:14" x14ac:dyDescent="0.3">
      <c r="A170" s="332"/>
      <c r="B170" s="335" t="s">
        <v>1692</v>
      </c>
      <c r="C170" s="336" t="s">
        <v>1521</v>
      </c>
      <c r="D170" s="337">
        <f t="shared" si="8"/>
        <v>981.72234966666599</v>
      </c>
      <c r="E170" s="332"/>
      <c r="F170" s="338">
        <v>46241</v>
      </c>
      <c r="G170" s="339" t="s">
        <v>1521</v>
      </c>
      <c r="H170" s="339" t="s">
        <v>1692</v>
      </c>
      <c r="I170" s="339" t="s">
        <v>1522</v>
      </c>
      <c r="J170" s="340">
        <v>981.72234966666599</v>
      </c>
      <c r="K170" s="341" t="str">
        <f t="shared" si="9"/>
        <v>1º registro</v>
      </c>
      <c r="L170" s="342" t="str">
        <f t="shared" si="10"/>
        <v/>
      </c>
      <c r="M170" s="339" t="s">
        <v>1523</v>
      </c>
      <c r="N170" s="343" t="str">
        <f t="shared" si="11"/>
        <v>PU CAST DG | Disco de poliuretano fundido (MP + HH) | DN 38|46241</v>
      </c>
    </row>
    <row r="171" spans="1:14" x14ac:dyDescent="0.3">
      <c r="A171" s="332"/>
      <c r="B171" s="335" t="s">
        <v>1693</v>
      </c>
      <c r="C171" s="336" t="s">
        <v>1521</v>
      </c>
      <c r="D171" s="337">
        <f t="shared" si="8"/>
        <v>1151.9635326666701</v>
      </c>
      <c r="E171" s="332"/>
      <c r="F171" s="338">
        <v>46241</v>
      </c>
      <c r="G171" s="339" t="s">
        <v>1521</v>
      </c>
      <c r="H171" s="339" t="s">
        <v>1693</v>
      </c>
      <c r="I171" s="339" t="s">
        <v>1522</v>
      </c>
      <c r="J171" s="340">
        <v>1151.9635326666701</v>
      </c>
      <c r="K171" s="341" t="str">
        <f t="shared" si="9"/>
        <v>1º registro</v>
      </c>
      <c r="L171" s="342" t="str">
        <f t="shared" si="10"/>
        <v/>
      </c>
      <c r="M171" s="339" t="s">
        <v>1523</v>
      </c>
      <c r="N171" s="343" t="str">
        <f t="shared" si="11"/>
        <v>PU CAST DG | Disco de poliuretano fundido (MP + HH) | DN 40|46241</v>
      </c>
    </row>
    <row r="172" spans="1:14" x14ac:dyDescent="0.3">
      <c r="A172" s="332"/>
      <c r="B172" s="335" t="s">
        <v>1694</v>
      </c>
      <c r="C172" s="336" t="s">
        <v>1521</v>
      </c>
      <c r="D172" s="337">
        <f t="shared" si="8"/>
        <v>1469.1251886666701</v>
      </c>
      <c r="E172" s="332"/>
      <c r="F172" s="338">
        <v>46241</v>
      </c>
      <c r="G172" s="339" t="s">
        <v>1521</v>
      </c>
      <c r="H172" s="339" t="s">
        <v>1694</v>
      </c>
      <c r="I172" s="339" t="s">
        <v>1522</v>
      </c>
      <c r="J172" s="340">
        <v>1469.1251886666701</v>
      </c>
      <c r="K172" s="341" t="str">
        <f t="shared" si="9"/>
        <v>1º registro</v>
      </c>
      <c r="L172" s="342" t="str">
        <f t="shared" si="10"/>
        <v/>
      </c>
      <c r="M172" s="339" t="s">
        <v>1523</v>
      </c>
      <c r="N172" s="343" t="str">
        <f t="shared" si="11"/>
        <v>PU CAST DG | Disco de poliuretano fundido (MP + HH) | DN 42|46241</v>
      </c>
    </row>
    <row r="173" spans="1:14" x14ac:dyDescent="0.3">
      <c r="A173" s="332"/>
      <c r="B173" s="335" t="s">
        <v>1695</v>
      </c>
      <c r="C173" s="336" t="s">
        <v>1521</v>
      </c>
      <c r="D173" s="337">
        <f t="shared" si="8"/>
        <v>19.433333333333302</v>
      </c>
      <c r="E173" s="332"/>
      <c r="F173" s="338">
        <v>46241</v>
      </c>
      <c r="G173" s="339" t="s">
        <v>1521</v>
      </c>
      <c r="H173" s="339" t="s">
        <v>1695</v>
      </c>
      <c r="I173" s="339" t="s">
        <v>1522</v>
      </c>
      <c r="J173" s="340">
        <v>19.433333333333302</v>
      </c>
      <c r="K173" s="341" t="str">
        <f t="shared" si="9"/>
        <v>1º registro</v>
      </c>
      <c r="L173" s="342" t="str">
        <f t="shared" si="10"/>
        <v/>
      </c>
      <c r="M173" s="339" t="s">
        <v>1523</v>
      </c>
      <c r="N173" s="343" t="str">
        <f t="shared" si="11"/>
        <v>PU CAST DE | Disco de poliuretano fundido (MP + HH) | DN 2|46241</v>
      </c>
    </row>
    <row r="174" spans="1:14" x14ac:dyDescent="0.3">
      <c r="A174" s="332"/>
      <c r="B174" s="335" t="s">
        <v>1696</v>
      </c>
      <c r="C174" s="336" t="s">
        <v>1521</v>
      </c>
      <c r="D174" s="337">
        <f t="shared" si="8"/>
        <v>19.633333333333301</v>
      </c>
      <c r="E174" s="332"/>
      <c r="F174" s="338">
        <v>46241</v>
      </c>
      <c r="G174" s="339" t="s">
        <v>1521</v>
      </c>
      <c r="H174" s="339" t="s">
        <v>1696</v>
      </c>
      <c r="I174" s="339" t="s">
        <v>1522</v>
      </c>
      <c r="J174" s="340">
        <v>19.633333333333301</v>
      </c>
      <c r="K174" s="341" t="str">
        <f t="shared" si="9"/>
        <v>1º registro</v>
      </c>
      <c r="L174" s="342" t="str">
        <f t="shared" si="10"/>
        <v/>
      </c>
      <c r="M174" s="339" t="s">
        <v>1523</v>
      </c>
      <c r="N174" s="343" t="str">
        <f t="shared" si="11"/>
        <v>PU CAST DE | Disco de poliuretano fundido (MP + HH) | DN 3|46241</v>
      </c>
    </row>
    <row r="175" spans="1:14" x14ac:dyDescent="0.3">
      <c r="A175" s="332"/>
      <c r="B175" s="335" t="s">
        <v>1697</v>
      </c>
      <c r="C175" s="336" t="s">
        <v>1521</v>
      </c>
      <c r="D175" s="337">
        <f t="shared" si="8"/>
        <v>19.8333333333333</v>
      </c>
      <c r="E175" s="332"/>
      <c r="F175" s="338">
        <v>46241</v>
      </c>
      <c r="G175" s="339" t="s">
        <v>1521</v>
      </c>
      <c r="H175" s="339" t="s">
        <v>1697</v>
      </c>
      <c r="I175" s="339" t="s">
        <v>1522</v>
      </c>
      <c r="J175" s="340">
        <v>19.8333333333333</v>
      </c>
      <c r="K175" s="341" t="str">
        <f t="shared" si="9"/>
        <v>1º registro</v>
      </c>
      <c r="L175" s="342" t="str">
        <f t="shared" si="10"/>
        <v/>
      </c>
      <c r="M175" s="339" t="s">
        <v>1523</v>
      </c>
      <c r="N175" s="343" t="str">
        <f t="shared" si="11"/>
        <v>PU CAST DE | Disco de poliuretano fundido (MP + HH) | DN 4|46241</v>
      </c>
    </row>
    <row r="176" spans="1:14" x14ac:dyDescent="0.3">
      <c r="A176" s="332"/>
      <c r="B176" s="335" t="s">
        <v>1698</v>
      </c>
      <c r="C176" s="336" t="s">
        <v>1521</v>
      </c>
      <c r="D176" s="337">
        <f t="shared" si="8"/>
        <v>23.327346111111101</v>
      </c>
      <c r="E176" s="332"/>
      <c r="F176" s="338">
        <v>46241</v>
      </c>
      <c r="G176" s="339" t="s">
        <v>1521</v>
      </c>
      <c r="H176" s="339" t="s">
        <v>1698</v>
      </c>
      <c r="I176" s="339" t="s">
        <v>1522</v>
      </c>
      <c r="J176" s="340">
        <v>23.327346111111101</v>
      </c>
      <c r="K176" s="341" t="str">
        <f t="shared" si="9"/>
        <v>1º registro</v>
      </c>
      <c r="L176" s="342" t="str">
        <f t="shared" si="10"/>
        <v/>
      </c>
      <c r="M176" s="339" t="s">
        <v>1523</v>
      </c>
      <c r="N176" s="343" t="str">
        <f t="shared" si="11"/>
        <v>PU CAST DE | Disco de poliuretano fundido (MP + HH) | DN 6|46241</v>
      </c>
    </row>
    <row r="177" spans="1:14" x14ac:dyDescent="0.3">
      <c r="A177" s="332"/>
      <c r="B177" s="335" t="s">
        <v>1699</v>
      </c>
      <c r="C177" s="336" t="s">
        <v>1521</v>
      </c>
      <c r="D177" s="337">
        <f t="shared" si="8"/>
        <v>25.3536181111111</v>
      </c>
      <c r="E177" s="332"/>
      <c r="F177" s="338">
        <v>46241</v>
      </c>
      <c r="G177" s="339" t="s">
        <v>1521</v>
      </c>
      <c r="H177" s="339" t="s">
        <v>1699</v>
      </c>
      <c r="I177" s="339" t="s">
        <v>1522</v>
      </c>
      <c r="J177" s="340">
        <v>25.3536181111111</v>
      </c>
      <c r="K177" s="341" t="str">
        <f t="shared" si="9"/>
        <v>1º registro</v>
      </c>
      <c r="L177" s="342" t="str">
        <f t="shared" si="10"/>
        <v/>
      </c>
      <c r="M177" s="339" t="s">
        <v>1523</v>
      </c>
      <c r="N177" s="343" t="str">
        <f t="shared" si="11"/>
        <v>PU CAST DE | Disco de poliuretano fundido (MP + HH) | DN 8|46241</v>
      </c>
    </row>
    <row r="178" spans="1:14" x14ac:dyDescent="0.3">
      <c r="A178" s="332"/>
      <c r="B178" s="335" t="s">
        <v>1700</v>
      </c>
      <c r="C178" s="336" t="s">
        <v>1521</v>
      </c>
      <c r="D178" s="337">
        <f t="shared" si="8"/>
        <v>26.6200381111111</v>
      </c>
      <c r="E178" s="332"/>
      <c r="F178" s="338">
        <v>46241</v>
      </c>
      <c r="G178" s="339" t="s">
        <v>1521</v>
      </c>
      <c r="H178" s="339" t="s">
        <v>1700</v>
      </c>
      <c r="I178" s="339" t="s">
        <v>1522</v>
      </c>
      <c r="J178" s="340">
        <v>26.6200381111111</v>
      </c>
      <c r="K178" s="341" t="str">
        <f t="shared" si="9"/>
        <v>1º registro</v>
      </c>
      <c r="L178" s="342" t="str">
        <f t="shared" si="10"/>
        <v/>
      </c>
      <c r="M178" s="339" t="s">
        <v>1523</v>
      </c>
      <c r="N178" s="343" t="str">
        <f t="shared" si="11"/>
        <v>PU CAST DE | Disco de poliuretano fundido (MP + HH) | DN 10|46241</v>
      </c>
    </row>
    <row r="179" spans="1:14" x14ac:dyDescent="0.3">
      <c r="A179" s="332"/>
      <c r="B179" s="335" t="s">
        <v>1701</v>
      </c>
      <c r="C179" s="336" t="s">
        <v>1521</v>
      </c>
      <c r="D179" s="337">
        <f t="shared" si="8"/>
        <v>40.573820666666698</v>
      </c>
      <c r="E179" s="332"/>
      <c r="F179" s="338">
        <v>46241</v>
      </c>
      <c r="G179" s="339" t="s">
        <v>1521</v>
      </c>
      <c r="H179" s="339" t="s">
        <v>1701</v>
      </c>
      <c r="I179" s="339" t="s">
        <v>1522</v>
      </c>
      <c r="J179" s="340">
        <v>40.573820666666698</v>
      </c>
      <c r="K179" s="341" t="str">
        <f t="shared" si="9"/>
        <v>1º registro</v>
      </c>
      <c r="L179" s="342" t="str">
        <f t="shared" si="10"/>
        <v/>
      </c>
      <c r="M179" s="339" t="s">
        <v>1523</v>
      </c>
      <c r="N179" s="343" t="str">
        <f t="shared" si="11"/>
        <v>PU CAST DE | Disco de poliuretano fundido (MP + HH) | DN 12|46241</v>
      </c>
    </row>
    <row r="180" spans="1:14" x14ac:dyDescent="0.3">
      <c r="A180" s="332"/>
      <c r="B180" s="335" t="s">
        <v>1702</v>
      </c>
      <c r="C180" s="336" t="s">
        <v>1521</v>
      </c>
      <c r="D180" s="337">
        <f t="shared" si="8"/>
        <v>45.407323666666699</v>
      </c>
      <c r="E180" s="332"/>
      <c r="F180" s="338">
        <v>46241</v>
      </c>
      <c r="G180" s="339" t="s">
        <v>1521</v>
      </c>
      <c r="H180" s="339" t="s">
        <v>1702</v>
      </c>
      <c r="I180" s="339" t="s">
        <v>1522</v>
      </c>
      <c r="J180" s="340">
        <v>45.407323666666699</v>
      </c>
      <c r="K180" s="341" t="str">
        <f t="shared" si="9"/>
        <v>1º registro</v>
      </c>
      <c r="L180" s="342" t="str">
        <f t="shared" si="10"/>
        <v/>
      </c>
      <c r="M180" s="339" t="s">
        <v>1523</v>
      </c>
      <c r="N180" s="343" t="str">
        <f t="shared" si="11"/>
        <v>PU CAST DE | Disco de poliuretano fundido (MP + HH) | DN 14|46241</v>
      </c>
    </row>
    <row r="181" spans="1:14" x14ac:dyDescent="0.3">
      <c r="A181" s="332"/>
      <c r="B181" s="335" t="s">
        <v>1703</v>
      </c>
      <c r="C181" s="336" t="s">
        <v>1521</v>
      </c>
      <c r="D181" s="337">
        <f t="shared" si="8"/>
        <v>53.364662666666703</v>
      </c>
      <c r="E181" s="332"/>
      <c r="F181" s="338">
        <v>46241</v>
      </c>
      <c r="G181" s="339" t="s">
        <v>1521</v>
      </c>
      <c r="H181" s="339" t="s">
        <v>1703</v>
      </c>
      <c r="I181" s="339" t="s">
        <v>1522</v>
      </c>
      <c r="J181" s="340">
        <v>53.364662666666703</v>
      </c>
      <c r="K181" s="341" t="str">
        <f t="shared" si="9"/>
        <v>1º registro</v>
      </c>
      <c r="L181" s="342" t="str">
        <f t="shared" si="10"/>
        <v/>
      </c>
      <c r="M181" s="339" t="s">
        <v>1523</v>
      </c>
      <c r="N181" s="343" t="str">
        <f t="shared" si="11"/>
        <v>PU CAST DE | Disco de poliuretano fundido (MP + HH) | DN 16|46241</v>
      </c>
    </row>
    <row r="182" spans="1:14" x14ac:dyDescent="0.3">
      <c r="A182" s="332"/>
      <c r="B182" s="335" t="s">
        <v>1704</v>
      </c>
      <c r="C182" s="336" t="s">
        <v>1521</v>
      </c>
      <c r="D182" s="337">
        <f t="shared" si="8"/>
        <v>58.873589666666703</v>
      </c>
      <c r="E182" s="332"/>
      <c r="F182" s="338">
        <v>46241</v>
      </c>
      <c r="G182" s="339" t="s">
        <v>1521</v>
      </c>
      <c r="H182" s="339" t="s">
        <v>1704</v>
      </c>
      <c r="I182" s="339" t="s">
        <v>1522</v>
      </c>
      <c r="J182" s="340">
        <v>58.873589666666703</v>
      </c>
      <c r="K182" s="341" t="str">
        <f t="shared" si="9"/>
        <v>1º registro</v>
      </c>
      <c r="L182" s="342" t="str">
        <f t="shared" si="10"/>
        <v/>
      </c>
      <c r="M182" s="339" t="s">
        <v>1523</v>
      </c>
      <c r="N182" s="343" t="str">
        <f t="shared" si="11"/>
        <v>PU CAST DE | Disco de poliuretano fundido (MP + HH) | DN 18|46241</v>
      </c>
    </row>
    <row r="183" spans="1:14" x14ac:dyDescent="0.3">
      <c r="A183" s="332"/>
      <c r="B183" s="335" t="s">
        <v>1705</v>
      </c>
      <c r="C183" s="336" t="s">
        <v>1521</v>
      </c>
      <c r="D183" s="337">
        <f t="shared" si="8"/>
        <v>64.699121666666699</v>
      </c>
      <c r="E183" s="332"/>
      <c r="F183" s="338">
        <v>46241</v>
      </c>
      <c r="G183" s="339" t="s">
        <v>1521</v>
      </c>
      <c r="H183" s="339" t="s">
        <v>1705</v>
      </c>
      <c r="I183" s="339" t="s">
        <v>1522</v>
      </c>
      <c r="J183" s="340">
        <v>64.699121666666699</v>
      </c>
      <c r="K183" s="341" t="str">
        <f t="shared" si="9"/>
        <v>1º registro</v>
      </c>
      <c r="L183" s="342" t="str">
        <f t="shared" si="10"/>
        <v/>
      </c>
      <c r="M183" s="339" t="s">
        <v>1523</v>
      </c>
      <c r="N183" s="343" t="str">
        <f t="shared" si="11"/>
        <v>PU CAST DE | Disco de poliuretano fundido (MP + HH) | DN 20|46241</v>
      </c>
    </row>
    <row r="184" spans="1:14" x14ac:dyDescent="0.3">
      <c r="A184" s="332"/>
      <c r="B184" s="335" t="s">
        <v>1706</v>
      </c>
      <c r="C184" s="336" t="s">
        <v>1521</v>
      </c>
      <c r="D184" s="337">
        <f t="shared" si="8"/>
        <v>86.544866666666607</v>
      </c>
      <c r="E184" s="332"/>
      <c r="F184" s="338">
        <v>46241</v>
      </c>
      <c r="G184" s="339" t="s">
        <v>1521</v>
      </c>
      <c r="H184" s="339" t="s">
        <v>1706</v>
      </c>
      <c r="I184" s="339" t="s">
        <v>1522</v>
      </c>
      <c r="J184" s="340">
        <v>86.544866666666607</v>
      </c>
      <c r="K184" s="341" t="str">
        <f t="shared" si="9"/>
        <v>1º registro</v>
      </c>
      <c r="L184" s="342" t="str">
        <f t="shared" si="10"/>
        <v/>
      </c>
      <c r="M184" s="339" t="s">
        <v>1523</v>
      </c>
      <c r="N184" s="343" t="str">
        <f t="shared" si="11"/>
        <v>PU CAST DE | Disco de poliuretano fundido (MP + HH) | DN 22|46241</v>
      </c>
    </row>
    <row r="185" spans="1:14" x14ac:dyDescent="0.3">
      <c r="A185" s="332"/>
      <c r="B185" s="335" t="s">
        <v>1707</v>
      </c>
      <c r="C185" s="336" t="s">
        <v>1521</v>
      </c>
      <c r="D185" s="337">
        <f t="shared" si="8"/>
        <v>91.125085666666607</v>
      </c>
      <c r="E185" s="332"/>
      <c r="F185" s="338">
        <v>46241</v>
      </c>
      <c r="G185" s="339" t="s">
        <v>1521</v>
      </c>
      <c r="H185" s="339" t="s">
        <v>1707</v>
      </c>
      <c r="I185" s="339" t="s">
        <v>1522</v>
      </c>
      <c r="J185" s="340">
        <v>91.125085666666607</v>
      </c>
      <c r="K185" s="341" t="str">
        <f t="shared" si="9"/>
        <v>1º registro</v>
      </c>
      <c r="L185" s="342" t="str">
        <f t="shared" si="10"/>
        <v/>
      </c>
      <c r="M185" s="339" t="s">
        <v>1523</v>
      </c>
      <c r="N185" s="343" t="str">
        <f t="shared" si="11"/>
        <v>PU CAST DE | Disco de poliuretano fundido (MP + HH) | DN 24|46241</v>
      </c>
    </row>
    <row r="186" spans="1:14" x14ac:dyDescent="0.3">
      <c r="A186" s="332"/>
      <c r="B186" s="335" t="s">
        <v>1708</v>
      </c>
      <c r="C186" s="336" t="s">
        <v>1521</v>
      </c>
      <c r="D186" s="337">
        <f t="shared" si="8"/>
        <v>91.125085666666607</v>
      </c>
      <c r="E186" s="332"/>
      <c r="F186" s="338">
        <v>46241</v>
      </c>
      <c r="G186" s="339" t="s">
        <v>1521</v>
      </c>
      <c r="H186" s="339" t="s">
        <v>1708</v>
      </c>
      <c r="I186" s="339" t="s">
        <v>1522</v>
      </c>
      <c r="J186" s="340">
        <v>91.125085666666607</v>
      </c>
      <c r="K186" s="341" t="str">
        <f t="shared" si="9"/>
        <v>1º registro</v>
      </c>
      <c r="L186" s="342" t="str">
        <f t="shared" si="10"/>
        <v/>
      </c>
      <c r="M186" s="339" t="s">
        <v>1523</v>
      </c>
      <c r="N186" s="343" t="str">
        <f t="shared" si="11"/>
        <v>PU CAST DE | Disco de poliuretano fundido (MP + HH) | DN 26|46241</v>
      </c>
    </row>
    <row r="187" spans="1:14" x14ac:dyDescent="0.3">
      <c r="A187" s="332"/>
      <c r="B187" s="335" t="s">
        <v>1709</v>
      </c>
      <c r="C187" s="336" t="s">
        <v>1521</v>
      </c>
      <c r="D187" s="337">
        <f t="shared" si="8"/>
        <v>100.89762666666699</v>
      </c>
      <c r="E187" s="332"/>
      <c r="F187" s="338">
        <v>46241</v>
      </c>
      <c r="G187" s="339" t="s">
        <v>1521</v>
      </c>
      <c r="H187" s="339" t="s">
        <v>1709</v>
      </c>
      <c r="I187" s="339" t="s">
        <v>1522</v>
      </c>
      <c r="J187" s="340">
        <v>100.89762666666699</v>
      </c>
      <c r="K187" s="341" t="str">
        <f t="shared" si="9"/>
        <v>1º registro</v>
      </c>
      <c r="L187" s="342" t="str">
        <f t="shared" si="10"/>
        <v/>
      </c>
      <c r="M187" s="339" t="s">
        <v>1523</v>
      </c>
      <c r="N187" s="343" t="str">
        <f t="shared" si="11"/>
        <v>PU CAST DE | Disco de poliuretano fundido (MP + HH) | DN 28|46241</v>
      </c>
    </row>
    <row r="188" spans="1:14" x14ac:dyDescent="0.3">
      <c r="A188" s="332"/>
      <c r="B188" s="335" t="s">
        <v>1710</v>
      </c>
      <c r="C188" s="336" t="s">
        <v>1521</v>
      </c>
      <c r="D188" s="337">
        <f t="shared" si="8"/>
        <v>132.56429333333301</v>
      </c>
      <c r="E188" s="332"/>
      <c r="F188" s="338">
        <v>46241</v>
      </c>
      <c r="G188" s="339" t="s">
        <v>1521</v>
      </c>
      <c r="H188" s="339" t="s">
        <v>1710</v>
      </c>
      <c r="I188" s="339" t="s">
        <v>1522</v>
      </c>
      <c r="J188" s="340">
        <v>132.56429333333301</v>
      </c>
      <c r="K188" s="341" t="str">
        <f t="shared" si="9"/>
        <v>1º registro</v>
      </c>
      <c r="L188" s="342" t="str">
        <f t="shared" si="10"/>
        <v/>
      </c>
      <c r="M188" s="339" t="s">
        <v>1523</v>
      </c>
      <c r="N188" s="343" t="str">
        <f t="shared" si="11"/>
        <v>PU CAST DE | Disco de poliuretano fundido (MP + HH) | DN 30|46241</v>
      </c>
    </row>
    <row r="189" spans="1:14" x14ac:dyDescent="0.3">
      <c r="A189" s="332"/>
      <c r="B189" s="335" t="s">
        <v>1711</v>
      </c>
      <c r="C189" s="336" t="s">
        <v>1521</v>
      </c>
      <c r="D189" s="337">
        <f t="shared" si="8"/>
        <v>238.97899833333301</v>
      </c>
      <c r="E189" s="332"/>
      <c r="F189" s="338">
        <v>46241</v>
      </c>
      <c r="G189" s="339" t="s">
        <v>1521</v>
      </c>
      <c r="H189" s="339" t="s">
        <v>1711</v>
      </c>
      <c r="I189" s="339" t="s">
        <v>1522</v>
      </c>
      <c r="J189" s="340">
        <v>238.97899833333301</v>
      </c>
      <c r="K189" s="341" t="str">
        <f t="shared" si="9"/>
        <v>1º registro</v>
      </c>
      <c r="L189" s="342" t="str">
        <f t="shared" si="10"/>
        <v/>
      </c>
      <c r="M189" s="339" t="s">
        <v>1523</v>
      </c>
      <c r="N189" s="343" t="str">
        <f t="shared" si="11"/>
        <v>PU CAST DE | Disco de poliuretano fundido (MP + HH) | DN 32|46241</v>
      </c>
    </row>
    <row r="190" spans="1:14" x14ac:dyDescent="0.3">
      <c r="A190" s="332"/>
      <c r="B190" s="335" t="s">
        <v>1712</v>
      </c>
      <c r="C190" s="336" t="s">
        <v>1521</v>
      </c>
      <c r="D190" s="337">
        <f t="shared" si="8"/>
        <v>238.97899833333301</v>
      </c>
      <c r="E190" s="332"/>
      <c r="F190" s="338">
        <v>46241</v>
      </c>
      <c r="G190" s="339" t="s">
        <v>1521</v>
      </c>
      <c r="H190" s="339" t="s">
        <v>1712</v>
      </c>
      <c r="I190" s="339" t="s">
        <v>1522</v>
      </c>
      <c r="J190" s="340">
        <v>238.97899833333301</v>
      </c>
      <c r="K190" s="341" t="str">
        <f t="shared" si="9"/>
        <v>1º registro</v>
      </c>
      <c r="L190" s="342" t="str">
        <f t="shared" si="10"/>
        <v/>
      </c>
      <c r="M190" s="339" t="s">
        <v>1523</v>
      </c>
      <c r="N190" s="343" t="str">
        <f t="shared" si="11"/>
        <v>PU CAST DE | Disco de poliuretano fundido (MP + HH) | DN 34|46241</v>
      </c>
    </row>
    <row r="191" spans="1:14" x14ac:dyDescent="0.3">
      <c r="A191" s="332"/>
      <c r="B191" s="335" t="s">
        <v>1713</v>
      </c>
      <c r="C191" s="336" t="s">
        <v>1521</v>
      </c>
      <c r="D191" s="337">
        <f t="shared" si="8"/>
        <v>439.72218933333301</v>
      </c>
      <c r="E191" s="332"/>
      <c r="F191" s="338">
        <v>46241</v>
      </c>
      <c r="G191" s="339" t="s">
        <v>1521</v>
      </c>
      <c r="H191" s="339" t="s">
        <v>1713</v>
      </c>
      <c r="I191" s="339" t="s">
        <v>1522</v>
      </c>
      <c r="J191" s="340">
        <v>439.72218933333301</v>
      </c>
      <c r="K191" s="341" t="str">
        <f t="shared" si="9"/>
        <v>1º registro</v>
      </c>
      <c r="L191" s="342" t="str">
        <f t="shared" si="10"/>
        <v/>
      </c>
      <c r="M191" s="339" t="s">
        <v>1523</v>
      </c>
      <c r="N191" s="343" t="str">
        <f t="shared" si="11"/>
        <v>PU CAST DE | Disco de poliuretano fundido (MP + HH) | DN 36|46241</v>
      </c>
    </row>
    <row r="192" spans="1:14" x14ac:dyDescent="0.3">
      <c r="A192" s="332"/>
      <c r="B192" s="335" t="s">
        <v>1714</v>
      </c>
      <c r="C192" s="336" t="s">
        <v>1521</v>
      </c>
      <c r="D192" s="337">
        <f t="shared" si="8"/>
        <v>439.72218933333301</v>
      </c>
      <c r="E192" s="332"/>
      <c r="F192" s="338">
        <v>46241</v>
      </c>
      <c r="G192" s="339" t="s">
        <v>1521</v>
      </c>
      <c r="H192" s="339" t="s">
        <v>1714</v>
      </c>
      <c r="I192" s="339" t="s">
        <v>1522</v>
      </c>
      <c r="J192" s="340">
        <v>439.72218933333301</v>
      </c>
      <c r="K192" s="341" t="str">
        <f t="shared" si="9"/>
        <v>1º registro</v>
      </c>
      <c r="L192" s="342" t="str">
        <f t="shared" si="10"/>
        <v/>
      </c>
      <c r="M192" s="339" t="s">
        <v>1523</v>
      </c>
      <c r="N192" s="343" t="str">
        <f t="shared" si="11"/>
        <v>PU CAST DE | Disco de poliuretano fundido (MP + HH) | DN 38|46241</v>
      </c>
    </row>
    <row r="193" spans="1:14" x14ac:dyDescent="0.3">
      <c r="A193" s="332"/>
      <c r="B193" s="335" t="s">
        <v>1715</v>
      </c>
      <c r="C193" s="336" t="s">
        <v>1521</v>
      </c>
      <c r="D193" s="337">
        <f t="shared" si="8"/>
        <v>520.90047033333303</v>
      </c>
      <c r="E193" s="332"/>
      <c r="F193" s="338">
        <v>46241</v>
      </c>
      <c r="G193" s="339" t="s">
        <v>1521</v>
      </c>
      <c r="H193" s="339" t="s">
        <v>1715</v>
      </c>
      <c r="I193" s="339" t="s">
        <v>1522</v>
      </c>
      <c r="J193" s="340">
        <v>520.90047033333303</v>
      </c>
      <c r="K193" s="341" t="str">
        <f t="shared" si="9"/>
        <v>1º registro</v>
      </c>
      <c r="L193" s="342" t="str">
        <f t="shared" si="10"/>
        <v/>
      </c>
      <c r="M193" s="339" t="s">
        <v>1523</v>
      </c>
      <c r="N193" s="343" t="str">
        <f t="shared" si="11"/>
        <v>PU CAST DE | Disco de poliuretano fundido (MP + HH) | DN 40|46241</v>
      </c>
    </row>
    <row r="194" spans="1:14" x14ac:dyDescent="0.3">
      <c r="A194" s="332"/>
      <c r="B194" s="335" t="s">
        <v>1716</v>
      </c>
      <c r="C194" s="336" t="s">
        <v>1521</v>
      </c>
      <c r="D194" s="337">
        <f t="shared" si="8"/>
        <v>571.76182833333303</v>
      </c>
      <c r="E194" s="332"/>
      <c r="F194" s="338">
        <v>46241</v>
      </c>
      <c r="G194" s="339" t="s">
        <v>1521</v>
      </c>
      <c r="H194" s="339" t="s">
        <v>1716</v>
      </c>
      <c r="I194" s="339" t="s">
        <v>1522</v>
      </c>
      <c r="J194" s="340">
        <v>571.76182833333303</v>
      </c>
      <c r="K194" s="341" t="str">
        <f t="shared" si="9"/>
        <v>1º registro</v>
      </c>
      <c r="L194" s="342" t="str">
        <f t="shared" si="10"/>
        <v/>
      </c>
      <c r="M194" s="339" t="s">
        <v>1523</v>
      </c>
      <c r="N194" s="343" t="str">
        <f t="shared" si="11"/>
        <v>PU CAST DE | Disco de poliuretano fundido (MP + HH) | DN 42|46241</v>
      </c>
    </row>
    <row r="195" spans="1:14" x14ac:dyDescent="0.3">
      <c r="A195" s="332"/>
      <c r="B195" s="335" t="s">
        <v>1717</v>
      </c>
      <c r="C195" s="336" t="s">
        <v>1521</v>
      </c>
      <c r="D195" s="337">
        <f t="shared" si="8"/>
        <v>142.042579386667</v>
      </c>
      <c r="E195" s="332"/>
      <c r="F195" s="338">
        <v>46241</v>
      </c>
      <c r="G195" s="339" t="s">
        <v>1521</v>
      </c>
      <c r="H195" s="339" t="s">
        <v>1717</v>
      </c>
      <c r="I195" s="339" t="s">
        <v>1522</v>
      </c>
      <c r="J195" s="340">
        <v>142.042579386667</v>
      </c>
      <c r="K195" s="341" t="str">
        <f t="shared" si="9"/>
        <v>1º registro</v>
      </c>
      <c r="L195" s="342" t="str">
        <f t="shared" si="10"/>
        <v/>
      </c>
      <c r="M195" s="339" t="s">
        <v>1523</v>
      </c>
      <c r="N195" s="343" t="str">
        <f t="shared" si="11"/>
        <v>PU CAST HFLEX | Disco de poliuretano fundido (MP + HH) | DN 2|46241</v>
      </c>
    </row>
    <row r="196" spans="1:14" x14ac:dyDescent="0.3">
      <c r="A196" s="332"/>
      <c r="B196" s="335" t="s">
        <v>1718</v>
      </c>
      <c r="C196" s="336" t="s">
        <v>1521</v>
      </c>
      <c r="D196" s="337">
        <f t="shared" si="8"/>
        <v>150.95333882666699</v>
      </c>
      <c r="E196" s="332"/>
      <c r="F196" s="338">
        <v>46241</v>
      </c>
      <c r="G196" s="339" t="s">
        <v>1521</v>
      </c>
      <c r="H196" s="339" t="s">
        <v>1718</v>
      </c>
      <c r="I196" s="339" t="s">
        <v>1522</v>
      </c>
      <c r="J196" s="340">
        <v>150.95333882666699</v>
      </c>
      <c r="K196" s="341" t="str">
        <f t="shared" si="9"/>
        <v>1º registro</v>
      </c>
      <c r="L196" s="342" t="str">
        <f t="shared" si="10"/>
        <v/>
      </c>
      <c r="M196" s="339" t="s">
        <v>1523</v>
      </c>
      <c r="N196" s="343" t="str">
        <f t="shared" si="11"/>
        <v>PU CAST HFLEX | Disco de poliuretano fundido (MP + HH) | DN 3|46241</v>
      </c>
    </row>
    <row r="197" spans="1:14" x14ac:dyDescent="0.3">
      <c r="A197" s="332"/>
      <c r="B197" s="335" t="s">
        <v>1719</v>
      </c>
      <c r="C197" s="336" t="s">
        <v>1521</v>
      </c>
      <c r="D197" s="337">
        <f t="shared" si="8"/>
        <v>173.48798666666701</v>
      </c>
      <c r="E197" s="332"/>
      <c r="F197" s="338">
        <v>46241</v>
      </c>
      <c r="G197" s="339" t="s">
        <v>1521</v>
      </c>
      <c r="H197" s="339" t="s">
        <v>1719</v>
      </c>
      <c r="I197" s="339" t="s">
        <v>1522</v>
      </c>
      <c r="J197" s="340">
        <v>173.48798666666701</v>
      </c>
      <c r="K197" s="341" t="str">
        <f t="shared" si="9"/>
        <v>1º registro</v>
      </c>
      <c r="L197" s="342" t="str">
        <f t="shared" si="10"/>
        <v/>
      </c>
      <c r="M197" s="339" t="s">
        <v>1523</v>
      </c>
      <c r="N197" s="343" t="str">
        <f t="shared" si="11"/>
        <v>PU CAST HFLEX | Disco de poliuretano fundido (MP + HH) | DN 4|46241</v>
      </c>
    </row>
    <row r="198" spans="1:14" x14ac:dyDescent="0.3">
      <c r="A198" s="332"/>
      <c r="B198" s="335" t="s">
        <v>1720</v>
      </c>
      <c r="C198" s="336" t="s">
        <v>1521</v>
      </c>
      <c r="D198" s="337">
        <f t="shared" si="8"/>
        <v>265.54128666666702</v>
      </c>
      <c r="E198" s="332"/>
      <c r="F198" s="338">
        <v>46241</v>
      </c>
      <c r="G198" s="339" t="s">
        <v>1521</v>
      </c>
      <c r="H198" s="339" t="s">
        <v>1720</v>
      </c>
      <c r="I198" s="339" t="s">
        <v>1522</v>
      </c>
      <c r="J198" s="340">
        <v>265.54128666666702</v>
      </c>
      <c r="K198" s="341" t="str">
        <f t="shared" si="9"/>
        <v>1º registro</v>
      </c>
      <c r="L198" s="342" t="str">
        <f t="shared" si="10"/>
        <v/>
      </c>
      <c r="M198" s="339" t="s">
        <v>1523</v>
      </c>
      <c r="N198" s="343" t="str">
        <f t="shared" si="11"/>
        <v>PU CAST HFLEX | Disco de poliuretano fundido (MP + HH) | DN 6|46241</v>
      </c>
    </row>
    <row r="199" spans="1:14" x14ac:dyDescent="0.3">
      <c r="A199" s="332"/>
      <c r="B199" s="335" t="s">
        <v>1721</v>
      </c>
      <c r="C199" s="336" t="s">
        <v>1521</v>
      </c>
      <c r="D199" s="337">
        <f t="shared" si="8"/>
        <v>398.09803866666698</v>
      </c>
      <c r="E199" s="332"/>
      <c r="F199" s="338">
        <v>46241</v>
      </c>
      <c r="G199" s="339" t="s">
        <v>1521</v>
      </c>
      <c r="H199" s="339" t="s">
        <v>1721</v>
      </c>
      <c r="I199" s="339" t="s">
        <v>1522</v>
      </c>
      <c r="J199" s="340">
        <v>398.09803866666698</v>
      </c>
      <c r="K199" s="341" t="str">
        <f t="shared" si="9"/>
        <v>1º registro</v>
      </c>
      <c r="L199" s="342" t="str">
        <f t="shared" si="10"/>
        <v/>
      </c>
      <c r="M199" s="339" t="s">
        <v>1523</v>
      </c>
      <c r="N199" s="343" t="str">
        <f t="shared" si="11"/>
        <v>PU CAST HFLEX | Disco de poliuretano fundido (MP + HH) | DN 8|46241</v>
      </c>
    </row>
    <row r="200" spans="1:14" x14ac:dyDescent="0.3">
      <c r="A200" s="332"/>
      <c r="B200" s="335" t="s">
        <v>1722</v>
      </c>
      <c r="C200" s="336" t="s">
        <v>1521</v>
      </c>
      <c r="D200" s="337">
        <f t="shared" si="8"/>
        <v>541.70118666666701</v>
      </c>
      <c r="E200" s="332"/>
      <c r="F200" s="338">
        <v>46241</v>
      </c>
      <c r="G200" s="339" t="s">
        <v>1521</v>
      </c>
      <c r="H200" s="339" t="s">
        <v>1722</v>
      </c>
      <c r="I200" s="339" t="s">
        <v>1522</v>
      </c>
      <c r="J200" s="340">
        <v>541.70118666666701</v>
      </c>
      <c r="K200" s="341" t="str">
        <f t="shared" si="9"/>
        <v>1º registro</v>
      </c>
      <c r="L200" s="342" t="str">
        <f t="shared" si="10"/>
        <v/>
      </c>
      <c r="M200" s="339" t="s">
        <v>1523</v>
      </c>
      <c r="N200" s="343" t="str">
        <f t="shared" si="11"/>
        <v>PU CAST HFLEX | Disco de poliuretano fundido (MP + HH) | DN 10|46241</v>
      </c>
    </row>
    <row r="201" spans="1:14" x14ac:dyDescent="0.3">
      <c r="A201" s="332"/>
      <c r="B201" s="335" t="s">
        <v>1723</v>
      </c>
      <c r="C201" s="336" t="s">
        <v>1521</v>
      </c>
      <c r="D201" s="337">
        <f t="shared" si="8"/>
        <v>721.77685599999995</v>
      </c>
      <c r="E201" s="332"/>
      <c r="F201" s="338">
        <v>46241</v>
      </c>
      <c r="G201" s="339" t="s">
        <v>1521</v>
      </c>
      <c r="H201" s="339" t="s">
        <v>1723</v>
      </c>
      <c r="I201" s="339" t="s">
        <v>1522</v>
      </c>
      <c r="J201" s="340">
        <v>721.77685599999995</v>
      </c>
      <c r="K201" s="341" t="str">
        <f t="shared" si="9"/>
        <v>1º registro</v>
      </c>
      <c r="L201" s="342" t="str">
        <f t="shared" si="10"/>
        <v/>
      </c>
      <c r="M201" s="339" t="s">
        <v>1523</v>
      </c>
      <c r="N201" s="343" t="str">
        <f t="shared" si="11"/>
        <v>PU CAST HFLEX | Disco de poliuretano fundido (MP + HH) | DN 12|46241</v>
      </c>
    </row>
    <row r="202" spans="1:14" x14ac:dyDescent="0.3">
      <c r="A202" s="332"/>
      <c r="B202" s="335" t="s">
        <v>1724</v>
      </c>
      <c r="C202" s="336" t="s">
        <v>1521</v>
      </c>
      <c r="D202" s="337">
        <f t="shared" si="8"/>
        <v>898.55868399999997</v>
      </c>
      <c r="E202" s="332"/>
      <c r="F202" s="338">
        <v>46241</v>
      </c>
      <c r="G202" s="339" t="s">
        <v>1521</v>
      </c>
      <c r="H202" s="339" t="s">
        <v>1724</v>
      </c>
      <c r="I202" s="339" t="s">
        <v>1522</v>
      </c>
      <c r="J202" s="340">
        <v>898.55868399999997</v>
      </c>
      <c r="K202" s="341" t="str">
        <f t="shared" si="9"/>
        <v>1º registro</v>
      </c>
      <c r="L202" s="342" t="str">
        <f t="shared" si="10"/>
        <v/>
      </c>
      <c r="M202" s="339" t="s">
        <v>1523</v>
      </c>
      <c r="N202" s="343" t="str">
        <f t="shared" si="11"/>
        <v>PU CAST HFLEX | Disco de poliuretano fundido (MP + HH) | DN 14|46241</v>
      </c>
    </row>
    <row r="203" spans="1:14" x14ac:dyDescent="0.3">
      <c r="A203" s="332"/>
      <c r="B203" s="335" t="s">
        <v>1725</v>
      </c>
      <c r="C203" s="336" t="s">
        <v>1521</v>
      </c>
      <c r="D203" s="337">
        <f t="shared" si="8"/>
        <v>1381.8097186666701</v>
      </c>
      <c r="E203" s="332"/>
      <c r="F203" s="338">
        <v>46241</v>
      </c>
      <c r="G203" s="339" t="s">
        <v>1521</v>
      </c>
      <c r="H203" s="339" t="s">
        <v>1725</v>
      </c>
      <c r="I203" s="339" t="s">
        <v>1522</v>
      </c>
      <c r="J203" s="340">
        <v>1381.8097186666701</v>
      </c>
      <c r="K203" s="341" t="str">
        <f t="shared" si="9"/>
        <v>1º registro</v>
      </c>
      <c r="L203" s="342" t="str">
        <f t="shared" si="10"/>
        <v/>
      </c>
      <c r="M203" s="339" t="s">
        <v>1523</v>
      </c>
      <c r="N203" s="343" t="str">
        <f t="shared" si="11"/>
        <v>PU CAST HFLEX | Disco de poliuretano fundido (MP + HH) | DN 16|46241</v>
      </c>
    </row>
    <row r="204" spans="1:14" x14ac:dyDescent="0.3">
      <c r="A204" s="332"/>
      <c r="B204" s="335" t="s">
        <v>1726</v>
      </c>
      <c r="C204" s="336" t="s">
        <v>1521</v>
      </c>
      <c r="D204" s="337">
        <f t="shared" si="8"/>
        <v>1769.6741199999999</v>
      </c>
      <c r="E204" s="332"/>
      <c r="F204" s="338">
        <v>46241</v>
      </c>
      <c r="G204" s="339" t="s">
        <v>1521</v>
      </c>
      <c r="H204" s="339" t="s">
        <v>1726</v>
      </c>
      <c r="I204" s="339" t="s">
        <v>1522</v>
      </c>
      <c r="J204" s="340">
        <v>1769.6741199999999</v>
      </c>
      <c r="K204" s="341" t="str">
        <f t="shared" si="9"/>
        <v>1º registro</v>
      </c>
      <c r="L204" s="342" t="str">
        <f t="shared" si="10"/>
        <v/>
      </c>
      <c r="M204" s="339" t="s">
        <v>1523</v>
      </c>
      <c r="N204" s="343" t="str">
        <f t="shared" si="11"/>
        <v>PU CAST HFLEX | Disco de poliuretano fundido (MP + HH) | DN 18|46241</v>
      </c>
    </row>
    <row r="205" spans="1:14" x14ac:dyDescent="0.3">
      <c r="A205" s="332"/>
      <c r="B205" s="335" t="s">
        <v>1727</v>
      </c>
      <c r="C205" s="336" t="s">
        <v>1521</v>
      </c>
      <c r="D205" s="337">
        <f t="shared" si="8"/>
        <v>2763.8497600000001</v>
      </c>
      <c r="E205" s="332"/>
      <c r="F205" s="338">
        <v>46241</v>
      </c>
      <c r="G205" s="339" t="s">
        <v>1521</v>
      </c>
      <c r="H205" s="339" t="s">
        <v>1727</v>
      </c>
      <c r="I205" s="339" t="s">
        <v>1522</v>
      </c>
      <c r="J205" s="340">
        <v>2763.8497600000001</v>
      </c>
      <c r="K205" s="341" t="str">
        <f t="shared" si="9"/>
        <v>1º registro</v>
      </c>
      <c r="L205" s="342" t="str">
        <f t="shared" si="10"/>
        <v/>
      </c>
      <c r="M205" s="339" t="s">
        <v>1523</v>
      </c>
      <c r="N205" s="343" t="str">
        <f t="shared" si="11"/>
        <v>PU CAST HFLEX | Disco de poliuretano fundido (MP + HH) | DN 20|46241</v>
      </c>
    </row>
    <row r="206" spans="1:14" x14ac:dyDescent="0.3">
      <c r="A206" s="332"/>
      <c r="B206" s="335" t="s">
        <v>1728</v>
      </c>
      <c r="C206" s="336" t="s">
        <v>1521</v>
      </c>
      <c r="D206" s="337">
        <f t="shared" si="8"/>
        <v>3021.5990000000002</v>
      </c>
      <c r="E206" s="332"/>
      <c r="F206" s="338">
        <v>46241</v>
      </c>
      <c r="G206" s="339" t="s">
        <v>1521</v>
      </c>
      <c r="H206" s="339" t="s">
        <v>1728</v>
      </c>
      <c r="I206" s="339" t="s">
        <v>1522</v>
      </c>
      <c r="J206" s="340">
        <v>3021.5990000000002</v>
      </c>
      <c r="K206" s="341" t="str">
        <f t="shared" si="9"/>
        <v>1º registro</v>
      </c>
      <c r="L206" s="342" t="str">
        <f t="shared" si="10"/>
        <v/>
      </c>
      <c r="M206" s="339" t="s">
        <v>1523</v>
      </c>
      <c r="N206" s="343" t="str">
        <f t="shared" si="11"/>
        <v>PU CAST HFLEX | Disco de poliuretano fundido (MP + HH) | DN 22|46241</v>
      </c>
    </row>
    <row r="207" spans="1:14" x14ac:dyDescent="0.3">
      <c r="A207" s="332"/>
      <c r="B207" s="335" t="s">
        <v>1729</v>
      </c>
      <c r="C207" s="336" t="s">
        <v>1521</v>
      </c>
      <c r="D207" s="337">
        <f t="shared" si="8"/>
        <v>4250.03589333333</v>
      </c>
      <c r="E207" s="332"/>
      <c r="F207" s="338">
        <v>46241</v>
      </c>
      <c r="G207" s="339" t="s">
        <v>1521</v>
      </c>
      <c r="H207" s="339" t="s">
        <v>1729</v>
      </c>
      <c r="I207" s="339" t="s">
        <v>1522</v>
      </c>
      <c r="J207" s="340">
        <v>4250.03589333333</v>
      </c>
      <c r="K207" s="341" t="str">
        <f t="shared" si="9"/>
        <v>1º registro</v>
      </c>
      <c r="L207" s="342" t="str">
        <f t="shared" si="10"/>
        <v/>
      </c>
      <c r="M207" s="339" t="s">
        <v>1523</v>
      </c>
      <c r="N207" s="343" t="str">
        <f t="shared" si="11"/>
        <v>PU CAST HFLEX | Disco de poliuretano fundido (MP + HH) | DN 24|46241</v>
      </c>
    </row>
    <row r="208" spans="1:14" x14ac:dyDescent="0.3">
      <c r="A208" s="332"/>
      <c r="B208" s="335" t="s">
        <v>1730</v>
      </c>
      <c r="C208" s="336" t="s">
        <v>1521</v>
      </c>
      <c r="D208" s="337">
        <f t="shared" si="8"/>
        <v>5096.9262533333304</v>
      </c>
      <c r="E208" s="332"/>
      <c r="F208" s="338">
        <v>46241</v>
      </c>
      <c r="G208" s="339" t="s">
        <v>1521</v>
      </c>
      <c r="H208" s="339" t="s">
        <v>1730</v>
      </c>
      <c r="I208" s="339" t="s">
        <v>1522</v>
      </c>
      <c r="J208" s="340">
        <v>5096.9262533333304</v>
      </c>
      <c r="K208" s="341" t="str">
        <f t="shared" si="9"/>
        <v>1º registro</v>
      </c>
      <c r="L208" s="342" t="str">
        <f t="shared" si="10"/>
        <v/>
      </c>
      <c r="M208" s="339" t="s">
        <v>1523</v>
      </c>
      <c r="N208" s="343" t="str">
        <f t="shared" si="11"/>
        <v>PU CAST HFLEX | Disco de poliuretano fundido (MP + HH) | DN 26|46241</v>
      </c>
    </row>
    <row r="209" spans="1:14" x14ac:dyDescent="0.3">
      <c r="A209" s="332"/>
      <c r="B209" s="335" t="s">
        <v>164</v>
      </c>
      <c r="C209" s="336" t="s">
        <v>1521</v>
      </c>
      <c r="D209" s="337">
        <f t="shared" si="8"/>
        <v>166.32256000000001</v>
      </c>
      <c r="E209" s="332"/>
      <c r="F209" s="338">
        <v>46241</v>
      </c>
      <c r="G209" s="339" t="s">
        <v>1521</v>
      </c>
      <c r="H209" s="339" t="s">
        <v>164</v>
      </c>
      <c r="I209" s="339" t="s">
        <v>1522</v>
      </c>
      <c r="J209" s="340">
        <v>166.32256000000001</v>
      </c>
      <c r="K209" s="341" t="str">
        <f t="shared" si="9"/>
        <v>1º registro</v>
      </c>
      <c r="L209" s="342" t="str">
        <f t="shared" si="10"/>
        <v/>
      </c>
      <c r="M209" s="339" t="s">
        <v>1523</v>
      </c>
      <c r="N209" s="343" t="str">
        <f t="shared" si="11"/>
        <v>DISCFLEX | Disco DISCFLEX (manta silicone) | DN 1 ½"|46241</v>
      </c>
    </row>
    <row r="210" spans="1:14" x14ac:dyDescent="0.3">
      <c r="A210" s="332"/>
      <c r="B210" s="335" t="s">
        <v>168</v>
      </c>
      <c r="C210" s="336" t="s">
        <v>1521</v>
      </c>
      <c r="D210" s="337">
        <f t="shared" si="8"/>
        <v>173.1</v>
      </c>
      <c r="E210" s="332"/>
      <c r="F210" s="338">
        <v>46241</v>
      </c>
      <c r="G210" s="339" t="s">
        <v>1521</v>
      </c>
      <c r="H210" s="339" t="s">
        <v>168</v>
      </c>
      <c r="I210" s="339" t="s">
        <v>1522</v>
      </c>
      <c r="J210" s="340">
        <v>173.1</v>
      </c>
      <c r="K210" s="341" t="str">
        <f t="shared" si="9"/>
        <v>1º registro</v>
      </c>
      <c r="L210" s="342" t="str">
        <f t="shared" si="10"/>
        <v/>
      </c>
      <c r="M210" s="339" t="s">
        <v>1523</v>
      </c>
      <c r="N210" s="343" t="str">
        <f t="shared" si="11"/>
        <v>DISCFLEX | Disco DISCFLEX (manta silicone) | DN 2"|46241</v>
      </c>
    </row>
    <row r="211" spans="1:14" x14ac:dyDescent="0.3">
      <c r="A211" s="332"/>
      <c r="B211" s="335" t="s">
        <v>170</v>
      </c>
      <c r="C211" s="336" t="s">
        <v>1521</v>
      </c>
      <c r="D211" s="337">
        <f t="shared" si="8"/>
        <v>186</v>
      </c>
      <c r="E211" s="332"/>
      <c r="F211" s="338">
        <v>46241</v>
      </c>
      <c r="G211" s="339" t="s">
        <v>1521</v>
      </c>
      <c r="H211" s="339" t="s">
        <v>170</v>
      </c>
      <c r="I211" s="339" t="s">
        <v>1522</v>
      </c>
      <c r="J211" s="340">
        <v>186</v>
      </c>
      <c r="K211" s="341" t="str">
        <f t="shared" si="9"/>
        <v>1º registro</v>
      </c>
      <c r="L211" s="342" t="str">
        <f t="shared" si="10"/>
        <v/>
      </c>
      <c r="M211" s="339" t="s">
        <v>1523</v>
      </c>
      <c r="N211" s="343" t="str">
        <f t="shared" si="11"/>
        <v>DISCFLEX | Disco DISCFLEX (manta silicone) | DN 2 ½"|46241</v>
      </c>
    </row>
    <row r="212" spans="1:14" x14ac:dyDescent="0.3">
      <c r="A212" s="332"/>
      <c r="B212" s="335" t="s">
        <v>172</v>
      </c>
      <c r="C212" s="336" t="s">
        <v>1521</v>
      </c>
      <c r="D212" s="337">
        <f t="shared" si="8"/>
        <v>237.33</v>
      </c>
      <c r="E212" s="332"/>
      <c r="F212" s="338">
        <v>46241</v>
      </c>
      <c r="G212" s="339" t="s">
        <v>1521</v>
      </c>
      <c r="H212" s="339" t="s">
        <v>172</v>
      </c>
      <c r="I212" s="339" t="s">
        <v>1522</v>
      </c>
      <c r="J212" s="340">
        <v>237.33</v>
      </c>
      <c r="K212" s="341" t="str">
        <f t="shared" si="9"/>
        <v>1º registro</v>
      </c>
      <c r="L212" s="342" t="str">
        <f t="shared" si="10"/>
        <v/>
      </c>
      <c r="M212" s="339" t="s">
        <v>1523</v>
      </c>
      <c r="N212" s="343" t="str">
        <f t="shared" si="11"/>
        <v>DISCFLEX | Disco DISCFLEX (manta silicone) | DN 3"|46241</v>
      </c>
    </row>
    <row r="213" spans="1:14" x14ac:dyDescent="0.3">
      <c r="A213" s="332"/>
      <c r="B213" s="335" t="s">
        <v>172</v>
      </c>
      <c r="C213" s="336" t="s">
        <v>1521</v>
      </c>
      <c r="D213" s="337">
        <f t="shared" si="8"/>
        <v>237.33</v>
      </c>
      <c r="E213" s="332"/>
      <c r="F213" s="338">
        <v>46241</v>
      </c>
      <c r="G213" s="339" t="s">
        <v>1521</v>
      </c>
      <c r="H213" s="339" t="s">
        <v>172</v>
      </c>
      <c r="I213" s="339" t="s">
        <v>1522</v>
      </c>
      <c r="J213" s="340">
        <v>239.45</v>
      </c>
      <c r="K213" s="341" t="str">
        <f t="shared" si="9"/>
        <v>1º registro</v>
      </c>
      <c r="L213" s="342" t="str">
        <f t="shared" si="10"/>
        <v/>
      </c>
      <c r="M213" s="339" t="s">
        <v>1523</v>
      </c>
      <c r="N213" s="343" t="str">
        <f t="shared" si="11"/>
        <v>DISCFLEX | Disco DISCFLEX (manta silicone) | DN 3"|46241</v>
      </c>
    </row>
    <row r="214" spans="1:14" x14ac:dyDescent="0.3">
      <c r="A214" s="332"/>
      <c r="B214" s="335" t="s">
        <v>174</v>
      </c>
      <c r="C214" s="336" t="s">
        <v>1521</v>
      </c>
      <c r="D214" s="337">
        <f t="shared" ref="D214:D277" si="12">IF($B214="","",IFERROR(INDEX($J$21:$J$1200,MATCH($B214&amp;"|"&amp;TEXT(_xlfn.MAXIFS($F$21:$F$1200,$H$21:$H$1200,$B214,$F$21:$F$1200,"&lt;="&amp;EOMONTH(D$20,0)),"0"),$N$21:$N$1200,0)),"-"))</f>
        <v>304.89999999999998</v>
      </c>
      <c r="E214" s="332"/>
      <c r="F214" s="338">
        <v>46241</v>
      </c>
      <c r="G214" s="339" t="s">
        <v>1521</v>
      </c>
      <c r="H214" s="339" t="s">
        <v>174</v>
      </c>
      <c r="I214" s="339" t="s">
        <v>1522</v>
      </c>
      <c r="J214" s="340">
        <v>304.89999999999998</v>
      </c>
      <c r="K214" s="341" t="str">
        <f t="shared" ref="K214:K277" si="13">IF($H214="","",IFERROR(INDEX($J$21:$J$1200,MATCH($H214&amp;"|"&amp;TEXT(_xlfn.MAXIFS($F$21:$F$1200,$H$21:$H$1200,$H214,$F$21:$F$1200,"&lt;"&amp;$F214),"0"),$N$21:$N$1200,0)),"1º registro"))</f>
        <v>1º registro</v>
      </c>
      <c r="L214" s="342" t="str">
        <f t="shared" ref="L214:L277" si="14">IF(OR($H214="",$K214="1º registro"),"",IFERROR(($J214-$K214)/$K214,""))</f>
        <v/>
      </c>
      <c r="M214" s="339" t="s">
        <v>1523</v>
      </c>
      <c r="N214" s="343" t="str">
        <f t="shared" ref="N214:N277" si="15">IF($H214="","",$H214&amp;"|"&amp;TEXT($F214,"0"))</f>
        <v>DISCFLEX | Disco DISCFLEX (manta silicone) | DN 4"|46241</v>
      </c>
    </row>
    <row r="215" spans="1:14" x14ac:dyDescent="0.3">
      <c r="A215" s="332"/>
      <c r="B215" s="335" t="s">
        <v>176</v>
      </c>
      <c r="C215" s="336" t="s">
        <v>1521</v>
      </c>
      <c r="D215" s="337">
        <f t="shared" si="12"/>
        <v>409</v>
      </c>
      <c r="E215" s="332"/>
      <c r="F215" s="338">
        <v>46241</v>
      </c>
      <c r="G215" s="339" t="s">
        <v>1521</v>
      </c>
      <c r="H215" s="339" t="s">
        <v>176</v>
      </c>
      <c r="I215" s="339" t="s">
        <v>1522</v>
      </c>
      <c r="J215" s="340">
        <v>409</v>
      </c>
      <c r="K215" s="341" t="str">
        <f t="shared" si="13"/>
        <v>1º registro</v>
      </c>
      <c r="L215" s="342" t="str">
        <f t="shared" si="14"/>
        <v/>
      </c>
      <c r="M215" s="339" t="s">
        <v>1523</v>
      </c>
      <c r="N215" s="343" t="str">
        <f t="shared" si="15"/>
        <v>DISCFLEX | Disco DISCFLEX (manta silicone) | DN 5"|46241</v>
      </c>
    </row>
    <row r="216" spans="1:14" x14ac:dyDescent="0.3">
      <c r="A216" s="332"/>
      <c r="B216" s="335" t="s">
        <v>178</v>
      </c>
      <c r="C216" s="336" t="s">
        <v>1521</v>
      </c>
      <c r="D216" s="337">
        <f t="shared" si="12"/>
        <v>590.77</v>
      </c>
      <c r="E216" s="332"/>
      <c r="F216" s="338">
        <v>46241</v>
      </c>
      <c r="G216" s="339" t="s">
        <v>1521</v>
      </c>
      <c r="H216" s="339" t="s">
        <v>178</v>
      </c>
      <c r="I216" s="339" t="s">
        <v>1522</v>
      </c>
      <c r="J216" s="340">
        <v>590.77</v>
      </c>
      <c r="K216" s="341" t="str">
        <f t="shared" si="13"/>
        <v>1º registro</v>
      </c>
      <c r="L216" s="342" t="str">
        <f t="shared" si="14"/>
        <v/>
      </c>
      <c r="M216" s="339" t="s">
        <v>1523</v>
      </c>
      <c r="N216" s="343" t="str">
        <f t="shared" si="15"/>
        <v>DISCFLEX | Disco DISCFLEX (manta silicone) | DN 6"|46241</v>
      </c>
    </row>
    <row r="217" spans="1:14" x14ac:dyDescent="0.3">
      <c r="A217" s="332"/>
      <c r="B217" s="335" t="s">
        <v>180</v>
      </c>
      <c r="C217" s="336" t="s">
        <v>1521</v>
      </c>
      <c r="D217" s="337">
        <f t="shared" si="12"/>
        <v>256.32256000000001</v>
      </c>
      <c r="E217" s="332"/>
      <c r="F217" s="338">
        <v>46241</v>
      </c>
      <c r="G217" s="339" t="s">
        <v>1521</v>
      </c>
      <c r="H217" s="339" t="s">
        <v>180</v>
      </c>
      <c r="I217" s="339" t="s">
        <v>1522</v>
      </c>
      <c r="J217" s="340">
        <v>256.32256000000001</v>
      </c>
      <c r="K217" s="341" t="str">
        <f t="shared" si="13"/>
        <v>1º registro</v>
      </c>
      <c r="L217" s="342" t="str">
        <f t="shared" si="14"/>
        <v/>
      </c>
      <c r="M217" s="339" t="s">
        <v>1523</v>
      </c>
      <c r="N217" s="343" t="str">
        <f t="shared" si="15"/>
        <v>DISCFLEX COM IMA | Disco DISCFLEX (manta silicone) | DN 1 ½"|46241</v>
      </c>
    </row>
    <row r="218" spans="1:14" x14ac:dyDescent="0.3">
      <c r="A218" s="332"/>
      <c r="B218" s="335" t="s">
        <v>182</v>
      </c>
      <c r="C218" s="336" t="s">
        <v>1521</v>
      </c>
      <c r="D218" s="337">
        <f t="shared" si="12"/>
        <v>346</v>
      </c>
      <c r="E218" s="332"/>
      <c r="F218" s="338">
        <v>46241</v>
      </c>
      <c r="G218" s="339" t="s">
        <v>1521</v>
      </c>
      <c r="H218" s="339" t="s">
        <v>182</v>
      </c>
      <c r="I218" s="339" t="s">
        <v>1522</v>
      </c>
      <c r="J218" s="340">
        <v>346</v>
      </c>
      <c r="K218" s="341" t="str">
        <f t="shared" si="13"/>
        <v>1º registro</v>
      </c>
      <c r="L218" s="342" t="str">
        <f t="shared" si="14"/>
        <v/>
      </c>
      <c r="M218" s="339" t="s">
        <v>1523</v>
      </c>
      <c r="N218" s="343" t="str">
        <f t="shared" si="15"/>
        <v>DISCFLEX COM IMA | Disco DISCFLEX (manta silicone) | DN 2 ½"|46241</v>
      </c>
    </row>
    <row r="219" spans="1:14" x14ac:dyDescent="0.3">
      <c r="A219" s="332"/>
      <c r="B219" s="335" t="s">
        <v>183</v>
      </c>
      <c r="C219" s="336" t="s">
        <v>1521</v>
      </c>
      <c r="D219" s="337">
        <f t="shared" si="12"/>
        <v>504.9</v>
      </c>
      <c r="E219" s="332"/>
      <c r="F219" s="338">
        <v>46241</v>
      </c>
      <c r="G219" s="339" t="s">
        <v>1521</v>
      </c>
      <c r="H219" s="339" t="s">
        <v>183</v>
      </c>
      <c r="I219" s="339" t="s">
        <v>1522</v>
      </c>
      <c r="J219" s="340">
        <v>504.9</v>
      </c>
      <c r="K219" s="341" t="str">
        <f t="shared" si="13"/>
        <v>1º registro</v>
      </c>
      <c r="L219" s="342" t="str">
        <f t="shared" si="14"/>
        <v/>
      </c>
      <c r="M219" s="339" t="s">
        <v>1523</v>
      </c>
      <c r="N219" s="343" t="str">
        <f t="shared" si="15"/>
        <v>HSC AZUL COM IMA | Disco DISCFLEX (manta silicone) | DN 4''|46241</v>
      </c>
    </row>
    <row r="220" spans="1:14" x14ac:dyDescent="0.3">
      <c r="A220" s="332"/>
      <c r="B220" s="335" t="s">
        <v>186</v>
      </c>
      <c r="C220" s="336" t="s">
        <v>1520</v>
      </c>
      <c r="D220" s="337">
        <f t="shared" si="12"/>
        <v>1.8925752466666701</v>
      </c>
      <c r="E220" s="332"/>
      <c r="F220" s="338">
        <v>46241</v>
      </c>
      <c r="G220" s="339" t="s">
        <v>1520</v>
      </c>
      <c r="H220" s="339" t="s">
        <v>186</v>
      </c>
      <c r="I220" s="339" t="s">
        <v>1522</v>
      </c>
      <c r="J220" s="340">
        <v>1.8925752466666701</v>
      </c>
      <c r="K220" s="341" t="str">
        <f t="shared" si="13"/>
        <v>1º registro</v>
      </c>
      <c r="L220" s="342" t="str">
        <f t="shared" si="14"/>
        <v/>
      </c>
      <c r="M220" s="339" t="s">
        <v>1523</v>
      </c>
      <c r="N220" s="343" t="str">
        <f t="shared" si="15"/>
        <v>PIG H | PIG H — BAIXA D26 (CUSTO COMPLETO H) | DN 1''|46241</v>
      </c>
    </row>
    <row r="221" spans="1:14" x14ac:dyDescent="0.3">
      <c r="A221" s="332"/>
      <c r="B221" s="335" t="s">
        <v>191</v>
      </c>
      <c r="C221" s="336" t="s">
        <v>1520</v>
      </c>
      <c r="D221" s="337">
        <f t="shared" si="12"/>
        <v>3.26281196095238</v>
      </c>
      <c r="E221" s="332"/>
      <c r="F221" s="338">
        <v>46241</v>
      </c>
      <c r="G221" s="339" t="s">
        <v>1520</v>
      </c>
      <c r="H221" s="339" t="s">
        <v>191</v>
      </c>
      <c r="I221" s="339" t="s">
        <v>1522</v>
      </c>
      <c r="J221" s="340">
        <v>3.26281196095238</v>
      </c>
      <c r="K221" s="341" t="str">
        <f t="shared" si="13"/>
        <v>1º registro</v>
      </c>
      <c r="L221" s="342" t="str">
        <f t="shared" si="14"/>
        <v/>
      </c>
      <c r="M221" s="339" t="s">
        <v>1523</v>
      </c>
      <c r="N221" s="343" t="str">
        <f t="shared" si="15"/>
        <v>PIG H | PIG H — BAIXA D26 (CUSTO COMPLETO H COM SELO) | DN 1''|46241</v>
      </c>
    </row>
    <row r="222" spans="1:14" x14ac:dyDescent="0.3">
      <c r="A222" s="332"/>
      <c r="B222" s="335" t="s">
        <v>193</v>
      </c>
      <c r="C222" s="336" t="s">
        <v>1520</v>
      </c>
      <c r="D222" s="337">
        <f t="shared" si="12"/>
        <v>22.181859580000001</v>
      </c>
      <c r="E222" s="332"/>
      <c r="F222" s="338">
        <v>46241</v>
      </c>
      <c r="G222" s="339" t="s">
        <v>1520</v>
      </c>
      <c r="H222" s="339" t="s">
        <v>193</v>
      </c>
      <c r="I222" s="339" t="s">
        <v>1522</v>
      </c>
      <c r="J222" s="340">
        <v>22.181859580000001</v>
      </c>
      <c r="K222" s="341" t="str">
        <f t="shared" si="13"/>
        <v>1º registro</v>
      </c>
      <c r="L222" s="342" t="str">
        <f t="shared" si="14"/>
        <v/>
      </c>
      <c r="M222" s="339" t="s">
        <v>1523</v>
      </c>
      <c r="N222" s="343" t="str">
        <f t="shared" si="15"/>
        <v>PIG H | PIG H — BAIXA D26 (CUSTO COMPLETO H COM SELO/CORDA) | DN 1''|46241</v>
      </c>
    </row>
    <row r="223" spans="1:14" x14ac:dyDescent="0.3">
      <c r="A223" s="332"/>
      <c r="B223" s="335" t="s">
        <v>195</v>
      </c>
      <c r="C223" s="336" t="s">
        <v>1520</v>
      </c>
      <c r="D223" s="337">
        <f t="shared" si="12"/>
        <v>2.03849618666667</v>
      </c>
      <c r="E223" s="332"/>
      <c r="F223" s="338">
        <v>46241</v>
      </c>
      <c r="G223" s="339" t="s">
        <v>1520</v>
      </c>
      <c r="H223" s="339" t="s">
        <v>195</v>
      </c>
      <c r="I223" s="339" t="s">
        <v>1522</v>
      </c>
      <c r="J223" s="340">
        <v>2.03849618666667</v>
      </c>
      <c r="K223" s="341" t="str">
        <f t="shared" si="13"/>
        <v>1º registro</v>
      </c>
      <c r="L223" s="342" t="str">
        <f t="shared" si="14"/>
        <v/>
      </c>
      <c r="M223" s="339" t="s">
        <v>1523</v>
      </c>
      <c r="N223" s="343" t="str">
        <f t="shared" si="15"/>
        <v>PIG H | PIG H — BAIXA D26 (CUSTO COMPLETO H) | DN 2''|46241</v>
      </c>
    </row>
    <row r="224" spans="1:14" x14ac:dyDescent="0.3">
      <c r="A224" s="332"/>
      <c r="B224" s="335" t="s">
        <v>197</v>
      </c>
      <c r="C224" s="336" t="s">
        <v>1520</v>
      </c>
      <c r="D224" s="337">
        <f t="shared" si="12"/>
        <v>3.5446839009523798</v>
      </c>
      <c r="E224" s="332"/>
      <c r="F224" s="338">
        <v>46241</v>
      </c>
      <c r="G224" s="339" t="s">
        <v>1520</v>
      </c>
      <c r="H224" s="339" t="s">
        <v>197</v>
      </c>
      <c r="I224" s="339" t="s">
        <v>1522</v>
      </c>
      <c r="J224" s="340">
        <v>3.5446839009523798</v>
      </c>
      <c r="K224" s="341" t="str">
        <f t="shared" si="13"/>
        <v>1º registro</v>
      </c>
      <c r="L224" s="342" t="str">
        <f t="shared" si="14"/>
        <v/>
      </c>
      <c r="M224" s="339" t="s">
        <v>1523</v>
      </c>
      <c r="N224" s="343" t="str">
        <f t="shared" si="15"/>
        <v>PIG H | PIG H — BAIXA D26 (CUSTO COMPLETO H COM SELO) | DN 2''|46241</v>
      </c>
    </row>
    <row r="225" spans="1:14" x14ac:dyDescent="0.3">
      <c r="A225" s="332"/>
      <c r="B225" s="335" t="s">
        <v>198</v>
      </c>
      <c r="C225" s="336" t="s">
        <v>1520</v>
      </c>
      <c r="D225" s="337">
        <f t="shared" si="12"/>
        <v>7.0137315200000003</v>
      </c>
      <c r="E225" s="332"/>
      <c r="F225" s="338">
        <v>46241</v>
      </c>
      <c r="G225" s="339" t="s">
        <v>1520</v>
      </c>
      <c r="H225" s="339" t="s">
        <v>198</v>
      </c>
      <c r="I225" s="339" t="s">
        <v>1522</v>
      </c>
      <c r="J225" s="340">
        <v>7.0137315200000003</v>
      </c>
      <c r="K225" s="341" t="str">
        <f t="shared" si="13"/>
        <v>1º registro</v>
      </c>
      <c r="L225" s="342" t="str">
        <f t="shared" si="14"/>
        <v/>
      </c>
      <c r="M225" s="339" t="s">
        <v>1523</v>
      </c>
      <c r="N225" s="343" t="str">
        <f t="shared" si="15"/>
        <v>PIG H | PIG H — BAIXA D26 (CUSTO COMPLETO H COM SELO/CORDA) | DN 2''|46241</v>
      </c>
    </row>
    <row r="226" spans="1:14" x14ac:dyDescent="0.3">
      <c r="A226" s="332"/>
      <c r="B226" s="335" t="s">
        <v>199</v>
      </c>
      <c r="C226" s="336" t="s">
        <v>1520</v>
      </c>
      <c r="D226" s="337">
        <f t="shared" si="12"/>
        <v>4.9807188737777803</v>
      </c>
      <c r="E226" s="332"/>
      <c r="F226" s="338">
        <v>46241</v>
      </c>
      <c r="G226" s="339" t="s">
        <v>1520</v>
      </c>
      <c r="H226" s="339" t="s">
        <v>199</v>
      </c>
      <c r="I226" s="339" t="s">
        <v>1522</v>
      </c>
      <c r="J226" s="340">
        <v>4.9807188737777803</v>
      </c>
      <c r="K226" s="341" t="str">
        <f t="shared" si="13"/>
        <v>1º registro</v>
      </c>
      <c r="L226" s="342" t="str">
        <f t="shared" si="14"/>
        <v/>
      </c>
      <c r="M226" s="339" t="s">
        <v>1523</v>
      </c>
      <c r="N226" s="343" t="str">
        <f t="shared" si="15"/>
        <v>PIG H | PIG H — BAIXA D26 (CUSTO COMPLETO H) | DN 3''|46241</v>
      </c>
    </row>
    <row r="227" spans="1:14" x14ac:dyDescent="0.3">
      <c r="A227" s="332"/>
      <c r="B227" s="335" t="s">
        <v>201</v>
      </c>
      <c r="C227" s="336" t="s">
        <v>1520</v>
      </c>
      <c r="D227" s="337">
        <f t="shared" si="12"/>
        <v>6.7494444293333302</v>
      </c>
      <c r="E227" s="332"/>
      <c r="F227" s="338">
        <v>46241</v>
      </c>
      <c r="G227" s="339" t="s">
        <v>1520</v>
      </c>
      <c r="H227" s="339" t="s">
        <v>201</v>
      </c>
      <c r="I227" s="339" t="s">
        <v>1522</v>
      </c>
      <c r="J227" s="340">
        <v>6.7494444293333302</v>
      </c>
      <c r="K227" s="341" t="str">
        <f t="shared" si="13"/>
        <v>1º registro</v>
      </c>
      <c r="L227" s="342" t="str">
        <f t="shared" si="14"/>
        <v/>
      </c>
      <c r="M227" s="339" t="s">
        <v>1523</v>
      </c>
      <c r="N227" s="343" t="str">
        <f t="shared" si="15"/>
        <v>PIG H | PIG H — BAIXA D26 (CUSTO COMPLETO H COM SELO) | DN 3''|46241</v>
      </c>
    </row>
    <row r="228" spans="1:14" x14ac:dyDescent="0.3">
      <c r="A228" s="332"/>
      <c r="B228" s="335" t="s">
        <v>202</v>
      </c>
      <c r="C228" s="336" t="s">
        <v>1520</v>
      </c>
      <c r="D228" s="337">
        <f t="shared" si="12"/>
        <v>10.9294444293333</v>
      </c>
      <c r="E228" s="332"/>
      <c r="F228" s="338">
        <v>46241</v>
      </c>
      <c r="G228" s="339" t="s">
        <v>1520</v>
      </c>
      <c r="H228" s="339" t="s">
        <v>202</v>
      </c>
      <c r="I228" s="339" t="s">
        <v>1522</v>
      </c>
      <c r="J228" s="340">
        <v>10.9294444293333</v>
      </c>
      <c r="K228" s="341" t="str">
        <f t="shared" si="13"/>
        <v>1º registro</v>
      </c>
      <c r="L228" s="342" t="str">
        <f t="shared" si="14"/>
        <v/>
      </c>
      <c r="M228" s="339" t="s">
        <v>1523</v>
      </c>
      <c r="N228" s="343" t="str">
        <f t="shared" si="15"/>
        <v>PIG H | PIG H — BAIXA D26 (CUSTO COMPLETO H COM SELO/CORDA) | DN 3''|46241</v>
      </c>
    </row>
    <row r="229" spans="1:14" x14ac:dyDescent="0.3">
      <c r="A229" s="332"/>
      <c r="B229" s="335" t="s">
        <v>203</v>
      </c>
      <c r="C229" s="336" t="s">
        <v>1520</v>
      </c>
      <c r="D229" s="337">
        <f t="shared" si="12"/>
        <v>7.1989957697777802</v>
      </c>
      <c r="E229" s="332"/>
      <c r="F229" s="338">
        <v>46241</v>
      </c>
      <c r="G229" s="339" t="s">
        <v>1520</v>
      </c>
      <c r="H229" s="339" t="s">
        <v>203</v>
      </c>
      <c r="I229" s="339" t="s">
        <v>1522</v>
      </c>
      <c r="J229" s="340">
        <v>7.1989957697777802</v>
      </c>
      <c r="K229" s="341" t="str">
        <f t="shared" si="13"/>
        <v>1º registro</v>
      </c>
      <c r="L229" s="342" t="str">
        <f t="shared" si="14"/>
        <v/>
      </c>
      <c r="M229" s="339" t="s">
        <v>1523</v>
      </c>
      <c r="N229" s="343" t="str">
        <f t="shared" si="15"/>
        <v>PIG H | PIG H — BAIXA D26 (CUSTO COMPLETO H) | DN 4''|46241</v>
      </c>
    </row>
    <row r="230" spans="1:14" x14ac:dyDescent="0.3">
      <c r="A230" s="332"/>
      <c r="B230" s="335" t="s">
        <v>204</v>
      </c>
      <c r="C230" s="336" t="s">
        <v>1520</v>
      </c>
      <c r="D230" s="337">
        <f t="shared" si="12"/>
        <v>9.23962332533333</v>
      </c>
      <c r="E230" s="332"/>
      <c r="F230" s="338">
        <v>46241</v>
      </c>
      <c r="G230" s="339" t="s">
        <v>1520</v>
      </c>
      <c r="H230" s="339" t="s">
        <v>204</v>
      </c>
      <c r="I230" s="339" t="s">
        <v>1522</v>
      </c>
      <c r="J230" s="340">
        <v>9.23962332533333</v>
      </c>
      <c r="K230" s="341" t="str">
        <f t="shared" si="13"/>
        <v>1º registro</v>
      </c>
      <c r="L230" s="342" t="str">
        <f t="shared" si="14"/>
        <v/>
      </c>
      <c r="M230" s="339" t="s">
        <v>1523</v>
      </c>
      <c r="N230" s="343" t="str">
        <f t="shared" si="15"/>
        <v>PIG H | PIG H — BAIXA D26 (CUSTO COMPLETO H COM SELO) | DN 4''|46241</v>
      </c>
    </row>
    <row r="231" spans="1:14" x14ac:dyDescent="0.3">
      <c r="A231" s="332"/>
      <c r="B231" s="335" t="s">
        <v>205</v>
      </c>
      <c r="C231" s="336" t="s">
        <v>1520</v>
      </c>
      <c r="D231" s="337">
        <f t="shared" si="12"/>
        <v>13.6596233253333</v>
      </c>
      <c r="E231" s="332"/>
      <c r="F231" s="338">
        <v>46241</v>
      </c>
      <c r="G231" s="339" t="s">
        <v>1520</v>
      </c>
      <c r="H231" s="339" t="s">
        <v>205</v>
      </c>
      <c r="I231" s="339" t="s">
        <v>1522</v>
      </c>
      <c r="J231" s="340">
        <v>13.6596233253333</v>
      </c>
      <c r="K231" s="341" t="str">
        <f t="shared" si="13"/>
        <v>1º registro</v>
      </c>
      <c r="L231" s="342" t="str">
        <f t="shared" si="14"/>
        <v/>
      </c>
      <c r="M231" s="339" t="s">
        <v>1523</v>
      </c>
      <c r="N231" s="343" t="str">
        <f t="shared" si="15"/>
        <v>PIG H | PIG H — BAIXA D26 (CUSTO COMPLETO H COM SELO/CORDA) | DN 4''|46241</v>
      </c>
    </row>
    <row r="232" spans="1:14" x14ac:dyDescent="0.3">
      <c r="A232" s="332"/>
      <c r="B232" s="335" t="s">
        <v>206</v>
      </c>
      <c r="C232" s="336" t="s">
        <v>1520</v>
      </c>
      <c r="D232" s="337">
        <f t="shared" si="12"/>
        <v>14.9456750386667</v>
      </c>
      <c r="E232" s="332"/>
      <c r="F232" s="338">
        <v>46241</v>
      </c>
      <c r="G232" s="339" t="s">
        <v>1520</v>
      </c>
      <c r="H232" s="339" t="s">
        <v>206</v>
      </c>
      <c r="I232" s="339" t="s">
        <v>1522</v>
      </c>
      <c r="J232" s="340">
        <v>14.9456750386667</v>
      </c>
      <c r="K232" s="341" t="str">
        <f t="shared" si="13"/>
        <v>1º registro</v>
      </c>
      <c r="L232" s="342" t="str">
        <f t="shared" si="14"/>
        <v/>
      </c>
      <c r="M232" s="339" t="s">
        <v>1523</v>
      </c>
      <c r="N232" s="343" t="str">
        <f t="shared" si="15"/>
        <v>PIG H | PIG H — BAIXA D26 (CUSTO COMPLETO H) | DN 6''|46241</v>
      </c>
    </row>
    <row r="233" spans="1:14" x14ac:dyDescent="0.3">
      <c r="A233" s="332"/>
      <c r="B233" s="335" t="s">
        <v>207</v>
      </c>
      <c r="C233" s="336" t="s">
        <v>1520</v>
      </c>
      <c r="D233" s="337">
        <f t="shared" si="12"/>
        <v>17.777168705333299</v>
      </c>
      <c r="E233" s="332"/>
      <c r="F233" s="338">
        <v>46241</v>
      </c>
      <c r="G233" s="339" t="s">
        <v>1520</v>
      </c>
      <c r="H233" s="339" t="s">
        <v>207</v>
      </c>
      <c r="I233" s="339" t="s">
        <v>1522</v>
      </c>
      <c r="J233" s="340">
        <v>17.777168705333299</v>
      </c>
      <c r="K233" s="341" t="str">
        <f t="shared" si="13"/>
        <v>1º registro</v>
      </c>
      <c r="L233" s="342" t="str">
        <f t="shared" si="14"/>
        <v/>
      </c>
      <c r="M233" s="339" t="s">
        <v>1523</v>
      </c>
      <c r="N233" s="343" t="str">
        <f t="shared" si="15"/>
        <v>PIG H | PIG H — BAIXA D26 (CUSTO COMPLETO H COM SELO) | DN 6''|46241</v>
      </c>
    </row>
    <row r="234" spans="1:14" x14ac:dyDescent="0.3">
      <c r="A234" s="332"/>
      <c r="B234" s="335" t="s">
        <v>208</v>
      </c>
      <c r="C234" s="336" t="s">
        <v>1520</v>
      </c>
      <c r="D234" s="337">
        <f t="shared" si="12"/>
        <v>68.463835372000005</v>
      </c>
      <c r="E234" s="332"/>
      <c r="F234" s="338">
        <v>46241</v>
      </c>
      <c r="G234" s="339" t="s">
        <v>1520</v>
      </c>
      <c r="H234" s="339" t="s">
        <v>208</v>
      </c>
      <c r="I234" s="339" t="s">
        <v>1522</v>
      </c>
      <c r="J234" s="340">
        <v>68.463835372000005</v>
      </c>
      <c r="K234" s="341" t="str">
        <f t="shared" si="13"/>
        <v>1º registro</v>
      </c>
      <c r="L234" s="342" t="str">
        <f t="shared" si="14"/>
        <v/>
      </c>
      <c r="M234" s="339" t="s">
        <v>1523</v>
      </c>
      <c r="N234" s="343" t="str">
        <f t="shared" si="15"/>
        <v>PIG H | PIG H — BAIXA D26 (CUSTO COMPLETO H COM SELO/CORDA) | DN 6''|46241</v>
      </c>
    </row>
    <row r="235" spans="1:14" x14ac:dyDescent="0.3">
      <c r="A235" s="332"/>
      <c r="B235" s="335" t="s">
        <v>209</v>
      </c>
      <c r="C235" s="336" t="s">
        <v>1520</v>
      </c>
      <c r="D235" s="337">
        <f t="shared" si="12"/>
        <v>28.753766126666701</v>
      </c>
      <c r="E235" s="332"/>
      <c r="F235" s="338">
        <v>46241</v>
      </c>
      <c r="G235" s="339" t="s">
        <v>1520</v>
      </c>
      <c r="H235" s="339" t="s">
        <v>209</v>
      </c>
      <c r="I235" s="339" t="s">
        <v>1522</v>
      </c>
      <c r="J235" s="340">
        <v>28.753766126666701</v>
      </c>
      <c r="K235" s="341" t="str">
        <f t="shared" si="13"/>
        <v>1º registro</v>
      </c>
      <c r="L235" s="342" t="str">
        <f t="shared" si="14"/>
        <v/>
      </c>
      <c r="M235" s="339" t="s">
        <v>1523</v>
      </c>
      <c r="N235" s="343" t="str">
        <f t="shared" si="15"/>
        <v>PIG H | PIG H — BAIXA D26 (CUSTO COMPLETO H) | DN 8''|46241</v>
      </c>
    </row>
    <row r="236" spans="1:14" x14ac:dyDescent="0.3">
      <c r="A236" s="332"/>
      <c r="B236" s="335" t="s">
        <v>210</v>
      </c>
      <c r="C236" s="336" t="s">
        <v>1520</v>
      </c>
      <c r="D236" s="337">
        <f t="shared" si="12"/>
        <v>35.309377571111099</v>
      </c>
      <c r="E236" s="332"/>
      <c r="F236" s="338">
        <v>46241</v>
      </c>
      <c r="G236" s="339" t="s">
        <v>1520</v>
      </c>
      <c r="H236" s="339" t="s">
        <v>210</v>
      </c>
      <c r="I236" s="339" t="s">
        <v>1522</v>
      </c>
      <c r="J236" s="340">
        <v>35.309377571111099</v>
      </c>
      <c r="K236" s="341" t="str">
        <f t="shared" si="13"/>
        <v>1º registro</v>
      </c>
      <c r="L236" s="342" t="str">
        <f t="shared" si="14"/>
        <v/>
      </c>
      <c r="M236" s="339" t="s">
        <v>1523</v>
      </c>
      <c r="N236" s="343" t="str">
        <f t="shared" si="15"/>
        <v>PIG H | PIG H — BAIXA D26 (CUSTO COMPLETO H COM SELO) | DN 8''|46241</v>
      </c>
    </row>
    <row r="237" spans="1:14" x14ac:dyDescent="0.3">
      <c r="A237" s="332"/>
      <c r="B237" s="335" t="s">
        <v>211</v>
      </c>
      <c r="C237" s="336" t="s">
        <v>1520</v>
      </c>
      <c r="D237" s="337">
        <f t="shared" si="12"/>
        <v>42.211599793333299</v>
      </c>
      <c r="E237" s="332"/>
      <c r="F237" s="338">
        <v>46241</v>
      </c>
      <c r="G237" s="339" t="s">
        <v>1520</v>
      </c>
      <c r="H237" s="339" t="s">
        <v>211</v>
      </c>
      <c r="I237" s="339" t="s">
        <v>1522</v>
      </c>
      <c r="J237" s="340">
        <v>42.211599793333299</v>
      </c>
      <c r="K237" s="341" t="str">
        <f t="shared" si="13"/>
        <v>1º registro</v>
      </c>
      <c r="L237" s="342" t="str">
        <f t="shared" si="14"/>
        <v/>
      </c>
      <c r="M237" s="339" t="s">
        <v>1523</v>
      </c>
      <c r="N237" s="343" t="str">
        <f t="shared" si="15"/>
        <v>PIG H | PIG H — BAIXA D26 (CUSTO COMPLETO H COM SELO/CORDA) | DN 8''|46241</v>
      </c>
    </row>
    <row r="238" spans="1:14" x14ac:dyDescent="0.3">
      <c r="A238" s="332"/>
      <c r="B238" s="335" t="s">
        <v>212</v>
      </c>
      <c r="C238" s="336" t="s">
        <v>1520</v>
      </c>
      <c r="D238" s="337">
        <f t="shared" si="12"/>
        <v>50.178582022666703</v>
      </c>
      <c r="E238" s="332"/>
      <c r="F238" s="338">
        <v>46241</v>
      </c>
      <c r="G238" s="339" t="s">
        <v>1520</v>
      </c>
      <c r="H238" s="339" t="s">
        <v>212</v>
      </c>
      <c r="I238" s="339" t="s">
        <v>1522</v>
      </c>
      <c r="J238" s="340">
        <v>50.178582022666703</v>
      </c>
      <c r="K238" s="341" t="str">
        <f t="shared" si="13"/>
        <v>1º registro</v>
      </c>
      <c r="L238" s="342" t="str">
        <f t="shared" si="14"/>
        <v/>
      </c>
      <c r="M238" s="339" t="s">
        <v>1523</v>
      </c>
      <c r="N238" s="343" t="str">
        <f t="shared" si="15"/>
        <v>PIG H | PIG H — BAIXA D26 (CUSTO COMPLETO H) | DN 10''|46241</v>
      </c>
    </row>
    <row r="239" spans="1:14" x14ac:dyDescent="0.3">
      <c r="A239" s="332"/>
      <c r="B239" s="335" t="s">
        <v>213</v>
      </c>
      <c r="C239" s="336" t="s">
        <v>1520</v>
      </c>
      <c r="D239" s="337">
        <f t="shared" si="12"/>
        <v>57.821801467111101</v>
      </c>
      <c r="E239" s="332"/>
      <c r="F239" s="338">
        <v>46241</v>
      </c>
      <c r="G239" s="339" t="s">
        <v>1520</v>
      </c>
      <c r="H239" s="339" t="s">
        <v>213</v>
      </c>
      <c r="I239" s="339" t="s">
        <v>1522</v>
      </c>
      <c r="J239" s="340">
        <v>57.821801467111101</v>
      </c>
      <c r="K239" s="341" t="str">
        <f t="shared" si="13"/>
        <v>1º registro</v>
      </c>
      <c r="L239" s="342" t="str">
        <f t="shared" si="14"/>
        <v/>
      </c>
      <c r="M239" s="339" t="s">
        <v>1523</v>
      </c>
      <c r="N239" s="343" t="str">
        <f t="shared" si="15"/>
        <v>PIG H | PIG H — BAIXA D26 (CUSTO COMPLETO H COM SELO) | DN 10''|46241</v>
      </c>
    </row>
    <row r="240" spans="1:14" x14ac:dyDescent="0.3">
      <c r="A240" s="332"/>
      <c r="B240" s="335" t="s">
        <v>214</v>
      </c>
      <c r="C240" s="336" t="s">
        <v>1520</v>
      </c>
      <c r="D240" s="337">
        <f t="shared" si="12"/>
        <v>161.624023689333</v>
      </c>
      <c r="E240" s="332"/>
      <c r="F240" s="338">
        <v>46241</v>
      </c>
      <c r="G240" s="339" t="s">
        <v>1520</v>
      </c>
      <c r="H240" s="339" t="s">
        <v>214</v>
      </c>
      <c r="I240" s="339" t="s">
        <v>1522</v>
      </c>
      <c r="J240" s="340">
        <v>161.624023689333</v>
      </c>
      <c r="K240" s="341" t="str">
        <f t="shared" si="13"/>
        <v>1º registro</v>
      </c>
      <c r="L240" s="342" t="str">
        <f t="shared" si="14"/>
        <v/>
      </c>
      <c r="M240" s="339" t="s">
        <v>1523</v>
      </c>
      <c r="N240" s="343" t="str">
        <f t="shared" si="15"/>
        <v>PIG H | PIG H — BAIXA D26 (CUSTO COMPLETO H COM SELO/CORDA) | DN 10''|46241</v>
      </c>
    </row>
    <row r="241" spans="1:14" x14ac:dyDescent="0.3">
      <c r="A241" s="332"/>
      <c r="B241" s="335" t="s">
        <v>215</v>
      </c>
      <c r="C241" s="336" t="s">
        <v>1520</v>
      </c>
      <c r="D241" s="337">
        <f t="shared" si="12"/>
        <v>89.781739463999997</v>
      </c>
      <c r="E241" s="332"/>
      <c r="F241" s="338">
        <v>46241</v>
      </c>
      <c r="G241" s="339" t="s">
        <v>1520</v>
      </c>
      <c r="H241" s="339" t="s">
        <v>215</v>
      </c>
      <c r="I241" s="339" t="s">
        <v>1522</v>
      </c>
      <c r="J241" s="340">
        <v>89.781739463999997</v>
      </c>
      <c r="K241" s="341" t="str">
        <f t="shared" si="13"/>
        <v>1º registro</v>
      </c>
      <c r="L241" s="342" t="str">
        <f t="shared" si="14"/>
        <v/>
      </c>
      <c r="M241" s="339" t="s">
        <v>1523</v>
      </c>
      <c r="N241" s="343" t="str">
        <f t="shared" si="15"/>
        <v>PIG H | PIG H — BAIXA D26 (CUSTO COMPLETO H) | DN 12''|46241</v>
      </c>
    </row>
    <row r="242" spans="1:14" x14ac:dyDescent="0.3">
      <c r="A242" s="332"/>
      <c r="B242" s="335" t="s">
        <v>216</v>
      </c>
      <c r="C242" s="336" t="s">
        <v>1520</v>
      </c>
      <c r="D242" s="337">
        <f t="shared" si="12"/>
        <v>97.551135575111104</v>
      </c>
      <c r="E242" s="332"/>
      <c r="F242" s="338">
        <v>46241</v>
      </c>
      <c r="G242" s="339" t="s">
        <v>1520</v>
      </c>
      <c r="H242" s="339" t="s">
        <v>216</v>
      </c>
      <c r="I242" s="339" t="s">
        <v>1522</v>
      </c>
      <c r="J242" s="340">
        <v>97.551135575111104</v>
      </c>
      <c r="K242" s="341" t="str">
        <f t="shared" si="13"/>
        <v>1º registro</v>
      </c>
      <c r="L242" s="342" t="str">
        <f t="shared" si="14"/>
        <v/>
      </c>
      <c r="M242" s="339" t="s">
        <v>1523</v>
      </c>
      <c r="N242" s="343" t="str">
        <f t="shared" si="15"/>
        <v>PIG H | PIG H — BAIXA D26 (CUSTO COMPLETO H COM SELO) | DN 12''|46241</v>
      </c>
    </row>
    <row r="243" spans="1:14" x14ac:dyDescent="0.3">
      <c r="A243" s="332"/>
      <c r="B243" s="335" t="s">
        <v>217</v>
      </c>
      <c r="C243" s="336" t="s">
        <v>1520</v>
      </c>
      <c r="D243" s="337">
        <f t="shared" si="12"/>
        <v>201.653357797333</v>
      </c>
      <c r="E243" s="332"/>
      <c r="F243" s="338">
        <v>46241</v>
      </c>
      <c r="G243" s="339" t="s">
        <v>1520</v>
      </c>
      <c r="H243" s="339" t="s">
        <v>217</v>
      </c>
      <c r="I243" s="339" t="s">
        <v>1522</v>
      </c>
      <c r="J243" s="340">
        <v>201.653357797333</v>
      </c>
      <c r="K243" s="341" t="str">
        <f t="shared" si="13"/>
        <v>1º registro</v>
      </c>
      <c r="L243" s="342" t="str">
        <f t="shared" si="14"/>
        <v/>
      </c>
      <c r="M243" s="339" t="s">
        <v>1523</v>
      </c>
      <c r="N243" s="343" t="str">
        <f t="shared" si="15"/>
        <v>PIG H | PIG H — BAIXA D26 (CUSTO COMPLETO H COM SELO/CORDA) | DN 12''|46241</v>
      </c>
    </row>
    <row r="244" spans="1:14" x14ac:dyDescent="0.3">
      <c r="A244" s="332"/>
      <c r="B244" s="335" t="s">
        <v>218</v>
      </c>
      <c r="C244" s="336" t="s">
        <v>1520</v>
      </c>
      <c r="D244" s="337">
        <f t="shared" si="12"/>
        <v>125.01116921733301</v>
      </c>
      <c r="E244" s="332"/>
      <c r="F244" s="338">
        <v>46241</v>
      </c>
      <c r="G244" s="339" t="s">
        <v>1520</v>
      </c>
      <c r="H244" s="339" t="s">
        <v>218</v>
      </c>
      <c r="I244" s="339" t="s">
        <v>1522</v>
      </c>
      <c r="J244" s="340">
        <v>125.01116921733301</v>
      </c>
      <c r="K244" s="341" t="str">
        <f t="shared" si="13"/>
        <v>1º registro</v>
      </c>
      <c r="L244" s="342" t="str">
        <f t="shared" si="14"/>
        <v/>
      </c>
      <c r="M244" s="339" t="s">
        <v>1523</v>
      </c>
      <c r="N244" s="343" t="str">
        <f t="shared" si="15"/>
        <v>PIG H | PIG H — BAIXA D26 (CUSTO COMPLETO H) | DN 14''|46241</v>
      </c>
    </row>
    <row r="245" spans="1:14" x14ac:dyDescent="0.3">
      <c r="A245" s="332"/>
      <c r="B245" s="335" t="s">
        <v>219</v>
      </c>
      <c r="C245" s="336" t="s">
        <v>1520</v>
      </c>
      <c r="D245" s="337">
        <f t="shared" si="12"/>
        <v>137.942052550667</v>
      </c>
      <c r="E245" s="332"/>
      <c r="F245" s="338">
        <v>46241</v>
      </c>
      <c r="G245" s="339" t="s">
        <v>1520</v>
      </c>
      <c r="H245" s="339" t="s">
        <v>219</v>
      </c>
      <c r="I245" s="339" t="s">
        <v>1522</v>
      </c>
      <c r="J245" s="340">
        <v>137.942052550667</v>
      </c>
      <c r="K245" s="341" t="str">
        <f t="shared" si="13"/>
        <v>1º registro</v>
      </c>
      <c r="L245" s="342" t="str">
        <f t="shared" si="14"/>
        <v/>
      </c>
      <c r="M245" s="339" t="s">
        <v>1523</v>
      </c>
      <c r="N245" s="343" t="str">
        <f t="shared" si="15"/>
        <v>PIG H | PIG H — BAIXA D26 (CUSTO COMPLETO H COM SELO) | DN 14''|46241</v>
      </c>
    </row>
    <row r="246" spans="1:14" x14ac:dyDescent="0.3">
      <c r="A246" s="332"/>
      <c r="B246" s="335" t="s">
        <v>220</v>
      </c>
      <c r="C246" s="336" t="s">
        <v>1520</v>
      </c>
      <c r="D246" s="337">
        <f t="shared" si="12"/>
        <v>147.41729064590501</v>
      </c>
      <c r="E246" s="332"/>
      <c r="F246" s="338">
        <v>46241</v>
      </c>
      <c r="G246" s="339" t="s">
        <v>1520</v>
      </c>
      <c r="H246" s="339" t="s">
        <v>220</v>
      </c>
      <c r="I246" s="339" t="s">
        <v>1522</v>
      </c>
      <c r="J246" s="340">
        <v>147.41729064590501</v>
      </c>
      <c r="K246" s="341" t="str">
        <f t="shared" si="13"/>
        <v>1º registro</v>
      </c>
      <c r="L246" s="342" t="str">
        <f t="shared" si="14"/>
        <v/>
      </c>
      <c r="M246" s="339" t="s">
        <v>1523</v>
      </c>
      <c r="N246" s="343" t="str">
        <f t="shared" si="15"/>
        <v>PIG H | PIG H — BAIXA D26 (CUSTO COMPLETO H COM SELO/CORDA) | DN 14''|46241</v>
      </c>
    </row>
    <row r="247" spans="1:14" x14ac:dyDescent="0.3">
      <c r="A247" s="332"/>
      <c r="B247" s="335" t="s">
        <v>221</v>
      </c>
      <c r="C247" s="336" t="s">
        <v>1520</v>
      </c>
      <c r="D247" s="337">
        <f t="shared" si="12"/>
        <v>180.39630281244399</v>
      </c>
      <c r="E247" s="332"/>
      <c r="F247" s="338">
        <v>46241</v>
      </c>
      <c r="G247" s="339" t="s">
        <v>1520</v>
      </c>
      <c r="H247" s="339" t="s">
        <v>221</v>
      </c>
      <c r="I247" s="339" t="s">
        <v>1522</v>
      </c>
      <c r="J247" s="340">
        <v>180.39630281244399</v>
      </c>
      <c r="K247" s="341" t="str">
        <f t="shared" si="13"/>
        <v>1º registro</v>
      </c>
      <c r="L247" s="342" t="str">
        <f t="shared" si="14"/>
        <v/>
      </c>
      <c r="M247" s="339" t="s">
        <v>1523</v>
      </c>
      <c r="N247" s="343" t="str">
        <f t="shared" si="15"/>
        <v>PIG H | PIG H — BAIXA D26 (CUSTO COMPLETO H) | DN 16''|46241</v>
      </c>
    </row>
    <row r="248" spans="1:14" x14ac:dyDescent="0.3">
      <c r="A248" s="332"/>
      <c r="B248" s="335" t="s">
        <v>223</v>
      </c>
      <c r="C248" s="336" t="s">
        <v>1520</v>
      </c>
      <c r="D248" s="337">
        <f t="shared" si="12"/>
        <v>194.21002303466699</v>
      </c>
      <c r="E248" s="332"/>
      <c r="F248" s="338">
        <v>46241</v>
      </c>
      <c r="G248" s="339" t="s">
        <v>1520</v>
      </c>
      <c r="H248" s="339" t="s">
        <v>223</v>
      </c>
      <c r="I248" s="339" t="s">
        <v>1522</v>
      </c>
      <c r="J248" s="340">
        <v>194.21002303466699</v>
      </c>
      <c r="K248" s="341" t="str">
        <f t="shared" si="13"/>
        <v>1º registro</v>
      </c>
      <c r="L248" s="342" t="str">
        <f t="shared" si="14"/>
        <v/>
      </c>
      <c r="M248" s="339" t="s">
        <v>1523</v>
      </c>
      <c r="N248" s="343" t="str">
        <f t="shared" si="15"/>
        <v>PIG H | PIG H — BAIXA D26 (CUSTO COMPLETO H COM SELO) | DN 16''|46241</v>
      </c>
    </row>
    <row r="249" spans="1:14" x14ac:dyDescent="0.3">
      <c r="A249" s="332"/>
      <c r="B249" s="335" t="s">
        <v>224</v>
      </c>
      <c r="C249" s="336" t="s">
        <v>1520</v>
      </c>
      <c r="D249" s="337">
        <f t="shared" si="12"/>
        <v>304.61668970133297</v>
      </c>
      <c r="E249" s="332"/>
      <c r="F249" s="338">
        <v>46241</v>
      </c>
      <c r="G249" s="339" t="s">
        <v>1520</v>
      </c>
      <c r="H249" s="339" t="s">
        <v>224</v>
      </c>
      <c r="I249" s="339" t="s">
        <v>1522</v>
      </c>
      <c r="J249" s="340">
        <v>304.61668970133297</v>
      </c>
      <c r="K249" s="341" t="str">
        <f t="shared" si="13"/>
        <v>1º registro</v>
      </c>
      <c r="L249" s="342" t="str">
        <f t="shared" si="14"/>
        <v/>
      </c>
      <c r="M249" s="339" t="s">
        <v>1523</v>
      </c>
      <c r="N249" s="343" t="str">
        <f t="shared" si="15"/>
        <v>PIG H | PIG H — BAIXA D26 (CUSTO COMPLETO H COM SELO/CORDA) | DN 16''|46241</v>
      </c>
    </row>
    <row r="250" spans="1:14" x14ac:dyDescent="0.3">
      <c r="A250" s="332"/>
      <c r="B250" s="335" t="s">
        <v>225</v>
      </c>
      <c r="C250" s="336" t="s">
        <v>1520</v>
      </c>
      <c r="D250" s="337">
        <f t="shared" si="12"/>
        <v>255.860961620381</v>
      </c>
      <c r="E250" s="332"/>
      <c r="F250" s="338">
        <v>46241</v>
      </c>
      <c r="G250" s="339" t="s">
        <v>1520</v>
      </c>
      <c r="H250" s="339" t="s">
        <v>225</v>
      </c>
      <c r="I250" s="339" t="s">
        <v>1522</v>
      </c>
      <c r="J250" s="340">
        <v>255.860961620381</v>
      </c>
      <c r="K250" s="341" t="str">
        <f t="shared" si="13"/>
        <v>1º registro</v>
      </c>
      <c r="L250" s="342" t="str">
        <f t="shared" si="14"/>
        <v/>
      </c>
      <c r="M250" s="339" t="s">
        <v>1523</v>
      </c>
      <c r="N250" s="343" t="str">
        <f t="shared" si="15"/>
        <v>PIG H | PIG H — BAIXA D26 (CUSTO COMPLETO H) | DN 18''|46241</v>
      </c>
    </row>
    <row r="251" spans="1:14" x14ac:dyDescent="0.3">
      <c r="A251" s="332"/>
      <c r="B251" s="335" t="s">
        <v>227</v>
      </c>
      <c r="C251" s="336" t="s">
        <v>1520</v>
      </c>
      <c r="D251" s="337">
        <f t="shared" si="12"/>
        <v>275.917994001333</v>
      </c>
      <c r="E251" s="332"/>
      <c r="F251" s="338">
        <v>46241</v>
      </c>
      <c r="G251" s="339" t="s">
        <v>1520</v>
      </c>
      <c r="H251" s="339" t="s">
        <v>227</v>
      </c>
      <c r="I251" s="339" t="s">
        <v>1522</v>
      </c>
      <c r="J251" s="340">
        <v>275.917994001333</v>
      </c>
      <c r="K251" s="341" t="str">
        <f t="shared" si="13"/>
        <v>1º registro</v>
      </c>
      <c r="L251" s="342" t="str">
        <f t="shared" si="14"/>
        <v/>
      </c>
      <c r="M251" s="339" t="s">
        <v>1523</v>
      </c>
      <c r="N251" s="343" t="str">
        <f t="shared" si="15"/>
        <v>PIG H | PIG H — BAIXA D26 (CUSTO COMPLETO H COM SELO) | DN 18''|46241</v>
      </c>
    </row>
    <row r="252" spans="1:14" x14ac:dyDescent="0.3">
      <c r="A252" s="332"/>
      <c r="B252" s="335" t="s">
        <v>228</v>
      </c>
      <c r="C252" s="336" t="s">
        <v>1520</v>
      </c>
      <c r="D252" s="337">
        <f t="shared" si="12"/>
        <v>287.49799400133298</v>
      </c>
      <c r="E252" s="332"/>
      <c r="F252" s="338">
        <v>46241</v>
      </c>
      <c r="G252" s="339" t="s">
        <v>1520</v>
      </c>
      <c r="H252" s="339" t="s">
        <v>228</v>
      </c>
      <c r="I252" s="339" t="s">
        <v>1522</v>
      </c>
      <c r="J252" s="340">
        <v>287.49799400133298</v>
      </c>
      <c r="K252" s="341" t="str">
        <f t="shared" si="13"/>
        <v>1º registro</v>
      </c>
      <c r="L252" s="342" t="str">
        <f t="shared" si="14"/>
        <v/>
      </c>
      <c r="M252" s="339" t="s">
        <v>1523</v>
      </c>
      <c r="N252" s="343" t="str">
        <f t="shared" si="15"/>
        <v>PIG H | PIG H — BAIXA D26 (CUSTO COMPLETO H COM SELO/CORDA) | DN 18''|46241</v>
      </c>
    </row>
    <row r="253" spans="1:14" x14ac:dyDescent="0.3">
      <c r="A253" s="332"/>
      <c r="B253" s="335" t="s">
        <v>229</v>
      </c>
      <c r="C253" s="336" t="s">
        <v>1520</v>
      </c>
      <c r="D253" s="337">
        <f t="shared" si="12"/>
        <v>340.36680783638099</v>
      </c>
      <c r="E253" s="332"/>
      <c r="F253" s="338">
        <v>46241</v>
      </c>
      <c r="G253" s="339" t="s">
        <v>1520</v>
      </c>
      <c r="H253" s="339" t="s">
        <v>229</v>
      </c>
      <c r="I253" s="339" t="s">
        <v>1522</v>
      </c>
      <c r="J253" s="340">
        <v>340.36680783638099</v>
      </c>
      <c r="K253" s="341" t="str">
        <f t="shared" si="13"/>
        <v>1º registro</v>
      </c>
      <c r="L253" s="342" t="str">
        <f t="shared" si="14"/>
        <v/>
      </c>
      <c r="M253" s="339" t="s">
        <v>1523</v>
      </c>
      <c r="N253" s="343" t="str">
        <f t="shared" si="15"/>
        <v>PIG H | PIG H — BAIXA D26 (CUSTO COMPLETO H) | DN 20''|46241</v>
      </c>
    </row>
    <row r="254" spans="1:14" x14ac:dyDescent="0.3">
      <c r="A254" s="332"/>
      <c r="B254" s="335" t="s">
        <v>231</v>
      </c>
      <c r="C254" s="336" t="s">
        <v>1520</v>
      </c>
      <c r="D254" s="337">
        <f t="shared" si="12"/>
        <v>362.73500721733302</v>
      </c>
      <c r="E254" s="332"/>
      <c r="F254" s="338">
        <v>46241</v>
      </c>
      <c r="G254" s="339" t="s">
        <v>1520</v>
      </c>
      <c r="H254" s="339" t="s">
        <v>231</v>
      </c>
      <c r="I254" s="339" t="s">
        <v>1522</v>
      </c>
      <c r="J254" s="340">
        <v>362.73500721733302</v>
      </c>
      <c r="K254" s="341" t="str">
        <f t="shared" si="13"/>
        <v>1º registro</v>
      </c>
      <c r="L254" s="342" t="str">
        <f t="shared" si="14"/>
        <v/>
      </c>
      <c r="M254" s="339" t="s">
        <v>1523</v>
      </c>
      <c r="N254" s="343" t="str">
        <f t="shared" si="15"/>
        <v>PIG H | PIG H — BAIXA D26 (CUSTO COMPLETO H COM SELO) | DN 20''|46241</v>
      </c>
    </row>
    <row r="255" spans="1:14" x14ac:dyDescent="0.3">
      <c r="A255" s="332"/>
      <c r="B255" s="335" t="s">
        <v>232</v>
      </c>
      <c r="C255" s="336" t="s">
        <v>1520</v>
      </c>
      <c r="D255" s="337">
        <f t="shared" si="12"/>
        <v>374.61500721733302</v>
      </c>
      <c r="E255" s="332"/>
      <c r="F255" s="338">
        <v>46241</v>
      </c>
      <c r="G255" s="339" t="s">
        <v>1520</v>
      </c>
      <c r="H255" s="339" t="s">
        <v>232</v>
      </c>
      <c r="I255" s="339" t="s">
        <v>1522</v>
      </c>
      <c r="J255" s="340">
        <v>374.61500721733302</v>
      </c>
      <c r="K255" s="341" t="str">
        <f t="shared" si="13"/>
        <v>1º registro</v>
      </c>
      <c r="L255" s="342" t="str">
        <f t="shared" si="14"/>
        <v/>
      </c>
      <c r="M255" s="339" t="s">
        <v>1523</v>
      </c>
      <c r="N255" s="343" t="str">
        <f t="shared" si="15"/>
        <v>PIG H | PIG H — BAIXA D26 (CUSTO COMPLETO H COM SELO/CORDA) | DN 20''|46241</v>
      </c>
    </row>
    <row r="256" spans="1:14" x14ac:dyDescent="0.3">
      <c r="A256" s="332"/>
      <c r="B256" s="335" t="s">
        <v>233</v>
      </c>
      <c r="C256" s="336" t="s">
        <v>1520</v>
      </c>
      <c r="D256" s="337">
        <f t="shared" si="12"/>
        <v>459.75818264222198</v>
      </c>
      <c r="E256" s="332"/>
      <c r="F256" s="338">
        <v>46241</v>
      </c>
      <c r="G256" s="339" t="s">
        <v>1520</v>
      </c>
      <c r="H256" s="339" t="s">
        <v>233</v>
      </c>
      <c r="I256" s="339" t="s">
        <v>1522</v>
      </c>
      <c r="J256" s="340">
        <v>459.75818264222198</v>
      </c>
      <c r="K256" s="341" t="str">
        <f t="shared" si="13"/>
        <v>1º registro</v>
      </c>
      <c r="L256" s="342" t="str">
        <f t="shared" si="14"/>
        <v/>
      </c>
      <c r="M256" s="339" t="s">
        <v>1523</v>
      </c>
      <c r="N256" s="343" t="str">
        <f t="shared" si="15"/>
        <v>PIG H | PIG H — BAIXA D26 (CUSTO COMPLETO H) | DN 22''|46241</v>
      </c>
    </row>
    <row r="257" spans="1:14" x14ac:dyDescent="0.3">
      <c r="A257" s="332"/>
      <c r="B257" s="335" t="s">
        <v>235</v>
      </c>
      <c r="C257" s="336" t="s">
        <v>1520</v>
      </c>
      <c r="D257" s="337">
        <f t="shared" si="12"/>
        <v>482.10453130888902</v>
      </c>
      <c r="E257" s="332"/>
      <c r="F257" s="338">
        <v>46241</v>
      </c>
      <c r="G257" s="339" t="s">
        <v>1520</v>
      </c>
      <c r="H257" s="339" t="s">
        <v>235</v>
      </c>
      <c r="I257" s="339" t="s">
        <v>1522</v>
      </c>
      <c r="J257" s="340">
        <v>482.10453130888902</v>
      </c>
      <c r="K257" s="341" t="str">
        <f t="shared" si="13"/>
        <v>1º registro</v>
      </c>
      <c r="L257" s="342" t="str">
        <f t="shared" si="14"/>
        <v/>
      </c>
      <c r="M257" s="339" t="s">
        <v>1523</v>
      </c>
      <c r="N257" s="343" t="str">
        <f t="shared" si="15"/>
        <v>PIG H | PIG H — BAIXA D26 (CUSTO COMPLETO H COM SELO) | DN 22''|46241</v>
      </c>
    </row>
    <row r="258" spans="1:14" x14ac:dyDescent="0.3">
      <c r="A258" s="332"/>
      <c r="B258" s="335" t="s">
        <v>236</v>
      </c>
      <c r="C258" s="336" t="s">
        <v>1520</v>
      </c>
      <c r="D258" s="337">
        <f t="shared" si="12"/>
        <v>489.30675353111099</v>
      </c>
      <c r="E258" s="332"/>
      <c r="F258" s="338">
        <v>46241</v>
      </c>
      <c r="G258" s="339" t="s">
        <v>1520</v>
      </c>
      <c r="H258" s="339" t="s">
        <v>236</v>
      </c>
      <c r="I258" s="339" t="s">
        <v>1522</v>
      </c>
      <c r="J258" s="340">
        <v>489.30675353111099</v>
      </c>
      <c r="K258" s="341" t="str">
        <f t="shared" si="13"/>
        <v>1º registro</v>
      </c>
      <c r="L258" s="342" t="str">
        <f t="shared" si="14"/>
        <v/>
      </c>
      <c r="M258" s="339" t="s">
        <v>1523</v>
      </c>
      <c r="N258" s="343" t="str">
        <f t="shared" si="15"/>
        <v>PIG H | PIG H — BAIXA D26 (CUSTO COMPLETO H COM SELO/CORDA) | DN 22''|46241</v>
      </c>
    </row>
    <row r="259" spans="1:14" x14ac:dyDescent="0.3">
      <c r="A259" s="332"/>
      <c r="B259" s="335" t="s">
        <v>237</v>
      </c>
      <c r="C259" s="336" t="s">
        <v>1520</v>
      </c>
      <c r="D259" s="337">
        <f t="shared" si="12"/>
        <v>587.606272042667</v>
      </c>
      <c r="E259" s="332"/>
      <c r="F259" s="338">
        <v>46241</v>
      </c>
      <c r="G259" s="339" t="s">
        <v>1520</v>
      </c>
      <c r="H259" s="339" t="s">
        <v>237</v>
      </c>
      <c r="I259" s="339" t="s">
        <v>1522</v>
      </c>
      <c r="J259" s="340">
        <v>587.606272042667</v>
      </c>
      <c r="K259" s="341" t="str">
        <f t="shared" si="13"/>
        <v>1º registro</v>
      </c>
      <c r="L259" s="342" t="str">
        <f t="shared" si="14"/>
        <v/>
      </c>
      <c r="M259" s="339" t="s">
        <v>1523</v>
      </c>
      <c r="N259" s="343" t="str">
        <f t="shared" si="15"/>
        <v>PIG H | PIG H — BAIXA D26 (CUSTO COMPLETO H) | DN 24''|46241</v>
      </c>
    </row>
    <row r="260" spans="1:14" x14ac:dyDescent="0.3">
      <c r="A260" s="332"/>
      <c r="B260" s="335" t="s">
        <v>239</v>
      </c>
      <c r="C260" s="336" t="s">
        <v>1520</v>
      </c>
      <c r="D260" s="337">
        <f t="shared" si="12"/>
        <v>612.67164070933302</v>
      </c>
      <c r="E260" s="332"/>
      <c r="F260" s="338">
        <v>46241</v>
      </c>
      <c r="G260" s="339" t="s">
        <v>1520</v>
      </c>
      <c r="H260" s="339" t="s">
        <v>239</v>
      </c>
      <c r="I260" s="339" t="s">
        <v>1522</v>
      </c>
      <c r="J260" s="340">
        <v>612.67164070933302</v>
      </c>
      <c r="K260" s="341" t="str">
        <f t="shared" si="13"/>
        <v>1º registro</v>
      </c>
      <c r="L260" s="342" t="str">
        <f t="shared" si="14"/>
        <v/>
      </c>
      <c r="M260" s="339" t="s">
        <v>1523</v>
      </c>
      <c r="N260" s="343" t="str">
        <f t="shared" si="15"/>
        <v>PIG H | PIG H — BAIXA D26 (CUSTO COMPLETO H COM SELO) | DN 24''|46241</v>
      </c>
    </row>
    <row r="261" spans="1:14" x14ac:dyDescent="0.3">
      <c r="A261" s="332"/>
      <c r="B261" s="335" t="s">
        <v>240</v>
      </c>
      <c r="C261" s="336" t="s">
        <v>1520</v>
      </c>
      <c r="D261" s="337">
        <f t="shared" si="12"/>
        <v>711.40497404266705</v>
      </c>
      <c r="E261" s="332"/>
      <c r="F261" s="338">
        <v>46241</v>
      </c>
      <c r="G261" s="339" t="s">
        <v>1520</v>
      </c>
      <c r="H261" s="339" t="s">
        <v>240</v>
      </c>
      <c r="I261" s="339" t="s">
        <v>1522</v>
      </c>
      <c r="J261" s="340">
        <v>711.40497404266705</v>
      </c>
      <c r="K261" s="341" t="str">
        <f t="shared" si="13"/>
        <v>1º registro</v>
      </c>
      <c r="L261" s="342" t="str">
        <f t="shared" si="14"/>
        <v/>
      </c>
      <c r="M261" s="339" t="s">
        <v>1523</v>
      </c>
      <c r="N261" s="343" t="str">
        <f t="shared" si="15"/>
        <v>PIG H | PIG H — BAIXA D26 (CUSTO COMPLETO H COM SELO/CORDA) | DN 24''|46241</v>
      </c>
    </row>
    <row r="262" spans="1:14" x14ac:dyDescent="0.3">
      <c r="A262" s="332"/>
      <c r="B262" s="335" t="s">
        <v>241</v>
      </c>
      <c r="C262" s="336" t="s">
        <v>1520</v>
      </c>
      <c r="D262" s="337">
        <f t="shared" si="12"/>
        <v>729.95845251866695</v>
      </c>
      <c r="E262" s="332"/>
      <c r="F262" s="338">
        <v>46241</v>
      </c>
      <c r="G262" s="339" t="s">
        <v>1520</v>
      </c>
      <c r="H262" s="339" t="s">
        <v>241</v>
      </c>
      <c r="I262" s="339" t="s">
        <v>1522</v>
      </c>
      <c r="J262" s="340">
        <v>729.95845251866695</v>
      </c>
      <c r="K262" s="341" t="str">
        <f t="shared" si="13"/>
        <v>1º registro</v>
      </c>
      <c r="L262" s="342" t="str">
        <f t="shared" si="14"/>
        <v/>
      </c>
      <c r="M262" s="339" t="s">
        <v>1523</v>
      </c>
      <c r="N262" s="343" t="str">
        <f t="shared" si="15"/>
        <v>PIG H | PIG H — BAIXA D26 (CUSTO COMPLETO H) | DN 26''|46241</v>
      </c>
    </row>
    <row r="263" spans="1:14" x14ac:dyDescent="0.3">
      <c r="A263" s="332"/>
      <c r="B263" s="335" t="s">
        <v>243</v>
      </c>
      <c r="C263" s="336" t="s">
        <v>1520</v>
      </c>
      <c r="D263" s="337">
        <f t="shared" si="12"/>
        <v>757.96942618533296</v>
      </c>
      <c r="E263" s="332"/>
      <c r="F263" s="338">
        <v>46241</v>
      </c>
      <c r="G263" s="339" t="s">
        <v>1520</v>
      </c>
      <c r="H263" s="339" t="s">
        <v>243</v>
      </c>
      <c r="I263" s="339" t="s">
        <v>1522</v>
      </c>
      <c r="J263" s="340">
        <v>757.96942618533296</v>
      </c>
      <c r="K263" s="341" t="str">
        <f t="shared" si="13"/>
        <v>1º registro</v>
      </c>
      <c r="L263" s="342" t="str">
        <f t="shared" si="14"/>
        <v/>
      </c>
      <c r="M263" s="339" t="s">
        <v>1523</v>
      </c>
      <c r="N263" s="343" t="str">
        <f t="shared" si="15"/>
        <v>PIG H | PIG H — BAIXA D26 (CUSTO COMPLETO H COM SELO) | DN 26''|46241</v>
      </c>
    </row>
    <row r="264" spans="1:14" x14ac:dyDescent="0.3">
      <c r="A264" s="332"/>
      <c r="B264" s="335" t="s">
        <v>244</v>
      </c>
      <c r="C264" s="336" t="s">
        <v>1520</v>
      </c>
      <c r="D264" s="337">
        <f t="shared" si="12"/>
        <v>765.89164840755598</v>
      </c>
      <c r="E264" s="332"/>
      <c r="F264" s="338">
        <v>46241</v>
      </c>
      <c r="G264" s="339" t="s">
        <v>1520</v>
      </c>
      <c r="H264" s="339" t="s">
        <v>244</v>
      </c>
      <c r="I264" s="339" t="s">
        <v>1522</v>
      </c>
      <c r="J264" s="340">
        <v>765.89164840755598</v>
      </c>
      <c r="K264" s="341" t="str">
        <f t="shared" si="13"/>
        <v>1º registro</v>
      </c>
      <c r="L264" s="342" t="str">
        <f t="shared" si="14"/>
        <v/>
      </c>
      <c r="M264" s="339" t="s">
        <v>1523</v>
      </c>
      <c r="N264" s="343" t="str">
        <f t="shared" si="15"/>
        <v>PIG H | PIG H — BAIXA D26 (CUSTO COMPLETO H COM SELO/CORDA) | DN 26''|46241</v>
      </c>
    </row>
    <row r="265" spans="1:14" x14ac:dyDescent="0.3">
      <c r="A265" s="332"/>
      <c r="B265" s="335" t="s">
        <v>245</v>
      </c>
      <c r="C265" s="336" t="s">
        <v>1520</v>
      </c>
      <c r="D265" s="337">
        <f t="shared" si="12"/>
        <v>913.25906525200003</v>
      </c>
      <c r="E265" s="332"/>
      <c r="F265" s="338">
        <v>46241</v>
      </c>
      <c r="G265" s="339" t="s">
        <v>1520</v>
      </c>
      <c r="H265" s="339" t="s">
        <v>245</v>
      </c>
      <c r="I265" s="339" t="s">
        <v>1522</v>
      </c>
      <c r="J265" s="340">
        <v>913.25906525200003</v>
      </c>
      <c r="K265" s="341" t="str">
        <f t="shared" si="13"/>
        <v>1º registro</v>
      </c>
      <c r="L265" s="342" t="str">
        <f t="shared" si="14"/>
        <v/>
      </c>
      <c r="M265" s="339" t="s">
        <v>1523</v>
      </c>
      <c r="N265" s="343" t="str">
        <f t="shared" si="15"/>
        <v>PIG H | PIG H — BAIXA D26 (CUSTO COMPLETO H) | DN 28''|46241</v>
      </c>
    </row>
    <row r="266" spans="1:14" x14ac:dyDescent="0.3">
      <c r="A266" s="332"/>
      <c r="B266" s="335" t="s">
        <v>247</v>
      </c>
      <c r="C266" s="336" t="s">
        <v>1520</v>
      </c>
      <c r="D266" s="337">
        <f t="shared" si="12"/>
        <v>948.18341525200003</v>
      </c>
      <c r="E266" s="332"/>
      <c r="F266" s="338">
        <v>46241</v>
      </c>
      <c r="G266" s="339" t="s">
        <v>1520</v>
      </c>
      <c r="H266" s="339" t="s">
        <v>247</v>
      </c>
      <c r="I266" s="339" t="s">
        <v>1522</v>
      </c>
      <c r="J266" s="340">
        <v>948.18341525200003</v>
      </c>
      <c r="K266" s="341" t="str">
        <f t="shared" si="13"/>
        <v>1º registro</v>
      </c>
      <c r="L266" s="342" t="str">
        <f t="shared" si="14"/>
        <v/>
      </c>
      <c r="M266" s="339" t="s">
        <v>1523</v>
      </c>
      <c r="N266" s="343" t="str">
        <f t="shared" si="15"/>
        <v>PIG H | PIG H — BAIXA D26 (CUSTO COMPLETO H COM SELO) | DN 28''|46241</v>
      </c>
    </row>
    <row r="267" spans="1:14" x14ac:dyDescent="0.3">
      <c r="A267" s="332"/>
      <c r="B267" s="335" t="s">
        <v>248</v>
      </c>
      <c r="C267" s="336" t="s">
        <v>1520</v>
      </c>
      <c r="D267" s="337">
        <f t="shared" si="12"/>
        <v>957.51674858533295</v>
      </c>
      <c r="E267" s="332"/>
      <c r="F267" s="338">
        <v>46241</v>
      </c>
      <c r="G267" s="339" t="s">
        <v>1520</v>
      </c>
      <c r="H267" s="339" t="s">
        <v>248</v>
      </c>
      <c r="I267" s="339" t="s">
        <v>1522</v>
      </c>
      <c r="J267" s="340">
        <v>957.51674858533295</v>
      </c>
      <c r="K267" s="341" t="str">
        <f t="shared" si="13"/>
        <v>1º registro</v>
      </c>
      <c r="L267" s="342" t="str">
        <f t="shared" si="14"/>
        <v/>
      </c>
      <c r="M267" s="339" t="s">
        <v>1523</v>
      </c>
      <c r="N267" s="343" t="str">
        <f t="shared" si="15"/>
        <v>PIG H | PIG H — BAIXA D26 (CUSTO COMPLETO H COM SELO/CORDA) | DN 28''|46241</v>
      </c>
    </row>
    <row r="268" spans="1:14" x14ac:dyDescent="0.3">
      <c r="A268" s="332"/>
      <c r="B268" s="335" t="s">
        <v>249</v>
      </c>
      <c r="C268" s="336" t="s">
        <v>1520</v>
      </c>
      <c r="D268" s="337">
        <f t="shared" si="12"/>
        <v>1102.5078676759999</v>
      </c>
      <c r="E268" s="332"/>
      <c r="F268" s="338">
        <v>46241</v>
      </c>
      <c r="G268" s="339" t="s">
        <v>1520</v>
      </c>
      <c r="H268" s="339" t="s">
        <v>249</v>
      </c>
      <c r="I268" s="339" t="s">
        <v>1522</v>
      </c>
      <c r="J268" s="340">
        <v>1102.5078676759999</v>
      </c>
      <c r="K268" s="341" t="str">
        <f t="shared" si="13"/>
        <v>1º registro</v>
      </c>
      <c r="L268" s="342" t="str">
        <f t="shared" si="14"/>
        <v/>
      </c>
      <c r="M268" s="339" t="s">
        <v>1523</v>
      </c>
      <c r="N268" s="343" t="str">
        <f t="shared" si="15"/>
        <v>PIG H | PIG H — BAIXA D26 (CUSTO COMPLETO H) | DN 30''|46241</v>
      </c>
    </row>
    <row r="269" spans="1:14" x14ac:dyDescent="0.3">
      <c r="A269" s="332"/>
      <c r="B269" s="335" t="s">
        <v>251</v>
      </c>
      <c r="C269" s="336" t="s">
        <v>1520</v>
      </c>
      <c r="D269" s="337">
        <f t="shared" si="12"/>
        <v>1141.0575776759999</v>
      </c>
      <c r="E269" s="332"/>
      <c r="F269" s="338">
        <v>46241</v>
      </c>
      <c r="G269" s="339" t="s">
        <v>1520</v>
      </c>
      <c r="H269" s="339" t="s">
        <v>251</v>
      </c>
      <c r="I269" s="339" t="s">
        <v>1522</v>
      </c>
      <c r="J269" s="340">
        <v>1141.0575776759999</v>
      </c>
      <c r="K269" s="341" t="str">
        <f t="shared" si="13"/>
        <v>1º registro</v>
      </c>
      <c r="L269" s="342" t="str">
        <f t="shared" si="14"/>
        <v/>
      </c>
      <c r="M269" s="339" t="s">
        <v>1523</v>
      </c>
      <c r="N269" s="343" t="str">
        <f t="shared" si="15"/>
        <v>PIG H | PIG H — BAIXA D26 (CUSTO COMPLETO H COM SELO) | DN 30''|46241</v>
      </c>
    </row>
    <row r="270" spans="1:14" x14ac:dyDescent="0.3">
      <c r="A270" s="332"/>
      <c r="B270" s="335" t="s">
        <v>252</v>
      </c>
      <c r="C270" s="336" t="s">
        <v>1520</v>
      </c>
      <c r="D270" s="337">
        <f t="shared" si="12"/>
        <v>1150.69091100933</v>
      </c>
      <c r="E270" s="332"/>
      <c r="F270" s="338">
        <v>46241</v>
      </c>
      <c r="G270" s="339" t="s">
        <v>1520</v>
      </c>
      <c r="H270" s="339" t="s">
        <v>252</v>
      </c>
      <c r="I270" s="339" t="s">
        <v>1522</v>
      </c>
      <c r="J270" s="340">
        <v>1150.69091100933</v>
      </c>
      <c r="K270" s="341" t="str">
        <f t="shared" si="13"/>
        <v>1º registro</v>
      </c>
      <c r="L270" s="342" t="str">
        <f t="shared" si="14"/>
        <v/>
      </c>
      <c r="M270" s="339" t="s">
        <v>1523</v>
      </c>
      <c r="N270" s="343" t="str">
        <f t="shared" si="15"/>
        <v>PIG H | PIG H — BAIXA D26 (CUSTO COMPLETO H COM SELO/CORDA) | DN 30''|46241</v>
      </c>
    </row>
    <row r="271" spans="1:14" x14ac:dyDescent="0.3">
      <c r="A271" s="332"/>
      <c r="B271" s="335" t="s">
        <v>253</v>
      </c>
      <c r="C271" s="336" t="s">
        <v>1520</v>
      </c>
      <c r="D271" s="337">
        <f t="shared" si="12"/>
        <v>1317.704756528</v>
      </c>
      <c r="E271" s="332"/>
      <c r="F271" s="338">
        <v>46241</v>
      </c>
      <c r="G271" s="339" t="s">
        <v>1520</v>
      </c>
      <c r="H271" s="339" t="s">
        <v>253</v>
      </c>
      <c r="I271" s="339" t="s">
        <v>1522</v>
      </c>
      <c r="J271" s="340">
        <v>1317.704756528</v>
      </c>
      <c r="K271" s="341" t="str">
        <f t="shared" si="13"/>
        <v>1º registro</v>
      </c>
      <c r="L271" s="342" t="str">
        <f t="shared" si="14"/>
        <v/>
      </c>
      <c r="M271" s="339" t="s">
        <v>1523</v>
      </c>
      <c r="N271" s="343" t="str">
        <f t="shared" si="15"/>
        <v>PIG H | PIG H — BAIXA D26 (CUSTO COMPLETO H) | DN 32''|46241</v>
      </c>
    </row>
    <row r="272" spans="1:14" x14ac:dyDescent="0.3">
      <c r="A272" s="332"/>
      <c r="B272" s="335" t="s">
        <v>255</v>
      </c>
      <c r="C272" s="336" t="s">
        <v>1520</v>
      </c>
      <c r="D272" s="337">
        <f t="shared" si="12"/>
        <v>1359.426656528</v>
      </c>
      <c r="E272" s="332"/>
      <c r="F272" s="338">
        <v>46241</v>
      </c>
      <c r="G272" s="339" t="s">
        <v>1520</v>
      </c>
      <c r="H272" s="339" t="s">
        <v>255</v>
      </c>
      <c r="I272" s="339" t="s">
        <v>1522</v>
      </c>
      <c r="J272" s="340">
        <v>1359.426656528</v>
      </c>
      <c r="K272" s="341" t="str">
        <f t="shared" si="13"/>
        <v>1º registro</v>
      </c>
      <c r="L272" s="342" t="str">
        <f t="shared" si="14"/>
        <v/>
      </c>
      <c r="M272" s="339" t="s">
        <v>1523</v>
      </c>
      <c r="N272" s="343" t="str">
        <f t="shared" si="15"/>
        <v>PIG H | PIG H — BAIXA D26 (CUSTO COMPLETO H COM SELO) | DN 32''|46241</v>
      </c>
    </row>
    <row r="273" spans="1:14" x14ac:dyDescent="0.3">
      <c r="A273" s="332"/>
      <c r="B273" s="335" t="s">
        <v>256</v>
      </c>
      <c r="C273" s="336" t="s">
        <v>1520</v>
      </c>
      <c r="D273" s="337">
        <f t="shared" si="12"/>
        <v>1369.35998986133</v>
      </c>
      <c r="E273" s="332"/>
      <c r="F273" s="338">
        <v>46241</v>
      </c>
      <c r="G273" s="339" t="s">
        <v>1520</v>
      </c>
      <c r="H273" s="339" t="s">
        <v>256</v>
      </c>
      <c r="I273" s="339" t="s">
        <v>1522</v>
      </c>
      <c r="J273" s="340">
        <v>1369.35998986133</v>
      </c>
      <c r="K273" s="341" t="str">
        <f t="shared" si="13"/>
        <v>1º registro</v>
      </c>
      <c r="L273" s="342" t="str">
        <f t="shared" si="14"/>
        <v/>
      </c>
      <c r="M273" s="339" t="s">
        <v>1523</v>
      </c>
      <c r="N273" s="343" t="str">
        <f t="shared" si="15"/>
        <v>PIG H | PIG H — BAIXA D26 (CUSTO COMPLETO H COM SELO/CORDA) | DN 32''|46241</v>
      </c>
    </row>
    <row r="274" spans="1:14" x14ac:dyDescent="0.3">
      <c r="A274" s="332"/>
      <c r="B274" s="335" t="s">
        <v>257</v>
      </c>
      <c r="C274" s="336" t="s">
        <v>1520</v>
      </c>
      <c r="D274" s="337">
        <f t="shared" si="12"/>
        <v>1615.5160862560001</v>
      </c>
      <c r="E274" s="332"/>
      <c r="F274" s="338">
        <v>46241</v>
      </c>
      <c r="G274" s="339" t="s">
        <v>1520</v>
      </c>
      <c r="H274" s="339" t="s">
        <v>257</v>
      </c>
      <c r="I274" s="339" t="s">
        <v>1522</v>
      </c>
      <c r="J274" s="340">
        <v>1615.5160862560001</v>
      </c>
      <c r="K274" s="341" t="str">
        <f t="shared" si="13"/>
        <v>1º registro</v>
      </c>
      <c r="L274" s="342" t="str">
        <f t="shared" si="14"/>
        <v/>
      </c>
      <c r="M274" s="339" t="s">
        <v>1523</v>
      </c>
      <c r="N274" s="343" t="str">
        <f t="shared" si="15"/>
        <v>PIG H | PIG H — BAIXA D26 (CUSTO COMPLETO H) | DN 34''|46241</v>
      </c>
    </row>
    <row r="275" spans="1:14" x14ac:dyDescent="0.3">
      <c r="A275" s="332"/>
      <c r="B275" s="335" t="s">
        <v>259</v>
      </c>
      <c r="C275" s="336" t="s">
        <v>1520</v>
      </c>
      <c r="D275" s="337">
        <f t="shared" si="12"/>
        <v>1670.8633462560001</v>
      </c>
      <c r="E275" s="332"/>
      <c r="F275" s="338">
        <v>46241</v>
      </c>
      <c r="G275" s="339" t="s">
        <v>1520</v>
      </c>
      <c r="H275" s="339" t="s">
        <v>259</v>
      </c>
      <c r="I275" s="339" t="s">
        <v>1522</v>
      </c>
      <c r="J275" s="340">
        <v>1670.8633462560001</v>
      </c>
      <c r="K275" s="341" t="str">
        <f t="shared" si="13"/>
        <v>1º registro</v>
      </c>
      <c r="L275" s="342" t="str">
        <f t="shared" si="14"/>
        <v/>
      </c>
      <c r="M275" s="339" t="s">
        <v>1523</v>
      </c>
      <c r="N275" s="343" t="str">
        <f t="shared" si="15"/>
        <v>PIG H | PIG H — BAIXA D26 (CUSTO COMPLETO H COM SELO) | DN 34''|46241</v>
      </c>
    </row>
    <row r="276" spans="1:14" x14ac:dyDescent="0.3">
      <c r="A276" s="332"/>
      <c r="B276" s="335" t="s">
        <v>260</v>
      </c>
      <c r="C276" s="336" t="s">
        <v>1520</v>
      </c>
      <c r="D276" s="337">
        <f t="shared" si="12"/>
        <v>1684.4300129226699</v>
      </c>
      <c r="E276" s="332"/>
      <c r="F276" s="338">
        <v>46241</v>
      </c>
      <c r="G276" s="339" t="s">
        <v>1520</v>
      </c>
      <c r="H276" s="339" t="s">
        <v>260</v>
      </c>
      <c r="I276" s="339" t="s">
        <v>1522</v>
      </c>
      <c r="J276" s="340">
        <v>1684.4300129226699</v>
      </c>
      <c r="K276" s="341" t="str">
        <f t="shared" si="13"/>
        <v>1º registro</v>
      </c>
      <c r="L276" s="342" t="str">
        <f t="shared" si="14"/>
        <v/>
      </c>
      <c r="M276" s="339" t="s">
        <v>1523</v>
      </c>
      <c r="N276" s="343" t="str">
        <f t="shared" si="15"/>
        <v>PIG H | PIG H — BAIXA D26 (CUSTO COMPLETO H COM SELO/CORDA) | DN 34''|46241</v>
      </c>
    </row>
    <row r="277" spans="1:14" x14ac:dyDescent="0.3">
      <c r="A277" s="332"/>
      <c r="B277" s="335" t="s">
        <v>261</v>
      </c>
      <c r="C277" s="336" t="s">
        <v>1520</v>
      </c>
      <c r="D277" s="337">
        <f t="shared" si="12"/>
        <v>1887.608420264</v>
      </c>
      <c r="E277" s="332"/>
      <c r="F277" s="338">
        <v>46241</v>
      </c>
      <c r="G277" s="339" t="s">
        <v>1520</v>
      </c>
      <c r="H277" s="339" t="s">
        <v>261</v>
      </c>
      <c r="I277" s="339" t="s">
        <v>1522</v>
      </c>
      <c r="J277" s="340">
        <v>1887.608420264</v>
      </c>
      <c r="K277" s="341" t="str">
        <f t="shared" si="13"/>
        <v>1º registro</v>
      </c>
      <c r="L277" s="342" t="str">
        <f t="shared" si="14"/>
        <v/>
      </c>
      <c r="M277" s="339" t="s">
        <v>1523</v>
      </c>
      <c r="N277" s="343" t="str">
        <f t="shared" si="15"/>
        <v>PIG H | PIG H — BAIXA D26 (CUSTO COMPLETO H) | DN 36''|46241</v>
      </c>
    </row>
    <row r="278" spans="1:14" x14ac:dyDescent="0.3">
      <c r="A278" s="332"/>
      <c r="B278" s="335" t="s">
        <v>263</v>
      </c>
      <c r="C278" s="336" t="s">
        <v>1520</v>
      </c>
      <c r="D278" s="337">
        <f t="shared" ref="D278:D341" si="16">IF($B278="","",IFERROR(INDEX($J$21:$J$1200,MATCH($B278&amp;"|"&amp;TEXT(_xlfn.MAXIFS($F$21:$F$1200,$H$21:$H$1200,$B278,$F$21:$F$1200,"&lt;="&amp;EOMONTH(D$20,0)),"0"),$N$21:$N$1200,0)),"-"))</f>
        <v>1946.898259264</v>
      </c>
      <c r="E278" s="332"/>
      <c r="F278" s="338">
        <v>46241</v>
      </c>
      <c r="G278" s="339" t="s">
        <v>1520</v>
      </c>
      <c r="H278" s="339" t="s">
        <v>263</v>
      </c>
      <c r="I278" s="339" t="s">
        <v>1522</v>
      </c>
      <c r="J278" s="340">
        <v>1946.898259264</v>
      </c>
      <c r="K278" s="341" t="str">
        <f t="shared" ref="K278:K341" si="17">IF($H278="","",IFERROR(INDEX($J$21:$J$1200,MATCH($H278&amp;"|"&amp;TEXT(_xlfn.MAXIFS($F$21:$F$1200,$H$21:$H$1200,$H278,$F$21:$F$1200,"&lt;"&amp;$F278),"0"),$N$21:$N$1200,0)),"1º registro"))</f>
        <v>1º registro</v>
      </c>
      <c r="L278" s="342" t="str">
        <f t="shared" ref="L278:L341" si="18">IF(OR($H278="",$K278="1º registro"),"",IFERROR(($J278-$K278)/$K278,""))</f>
        <v/>
      </c>
      <c r="M278" s="339" t="s">
        <v>1523</v>
      </c>
      <c r="N278" s="343" t="str">
        <f t="shared" ref="N278:N341" si="19">IF($H278="","",$H278&amp;"|"&amp;TEXT($F278,"0"))</f>
        <v>PIG H | PIG H — BAIXA D26 (CUSTO COMPLETO H COM SELO) | DN 36''|46241</v>
      </c>
    </row>
    <row r="279" spans="1:14" x14ac:dyDescent="0.3">
      <c r="A279" s="332"/>
      <c r="B279" s="335" t="s">
        <v>264</v>
      </c>
      <c r="C279" s="336" t="s">
        <v>1520</v>
      </c>
      <c r="D279" s="337">
        <f t="shared" si="16"/>
        <v>1960.8849259306701</v>
      </c>
      <c r="E279" s="332"/>
      <c r="F279" s="338">
        <v>46241</v>
      </c>
      <c r="G279" s="339" t="s">
        <v>1520</v>
      </c>
      <c r="H279" s="339" t="s">
        <v>264</v>
      </c>
      <c r="I279" s="339" t="s">
        <v>1522</v>
      </c>
      <c r="J279" s="340">
        <v>1960.8849259306701</v>
      </c>
      <c r="K279" s="341" t="str">
        <f t="shared" si="17"/>
        <v>1º registro</v>
      </c>
      <c r="L279" s="342" t="str">
        <f t="shared" si="18"/>
        <v/>
      </c>
      <c r="M279" s="339" t="s">
        <v>1523</v>
      </c>
      <c r="N279" s="343" t="str">
        <f t="shared" si="19"/>
        <v>PIG H | PIG H — BAIXA D26 (CUSTO COMPLETO H COM SELO/CORDA) | DN 36''|46241</v>
      </c>
    </row>
    <row r="280" spans="1:14" x14ac:dyDescent="0.3">
      <c r="A280" s="332"/>
      <c r="B280" s="335" t="s">
        <v>265</v>
      </c>
      <c r="C280" s="336" t="s">
        <v>1520</v>
      </c>
      <c r="D280" s="337">
        <f t="shared" si="16"/>
        <v>2230.6482523039999</v>
      </c>
      <c r="E280" s="332"/>
      <c r="F280" s="338">
        <v>46241</v>
      </c>
      <c r="G280" s="339" t="s">
        <v>1520</v>
      </c>
      <c r="H280" s="339" t="s">
        <v>265</v>
      </c>
      <c r="I280" s="339" t="s">
        <v>1522</v>
      </c>
      <c r="J280" s="340">
        <v>2230.6482523039999</v>
      </c>
      <c r="K280" s="341" t="str">
        <f t="shared" si="17"/>
        <v>1º registro</v>
      </c>
      <c r="L280" s="342" t="str">
        <f t="shared" si="18"/>
        <v/>
      </c>
      <c r="M280" s="339" t="s">
        <v>1523</v>
      </c>
      <c r="N280" s="343" t="str">
        <f t="shared" si="19"/>
        <v>PIG H | PIG H — BAIXA D26 (CUSTO COMPLETO H) | DN 38''|46241</v>
      </c>
    </row>
    <row r="281" spans="1:14" x14ac:dyDescent="0.3">
      <c r="A281" s="332"/>
      <c r="B281" s="335" t="s">
        <v>267</v>
      </c>
      <c r="C281" s="336" t="s">
        <v>1520</v>
      </c>
      <c r="D281" s="337">
        <f t="shared" si="16"/>
        <v>2295.9652523039999</v>
      </c>
      <c r="E281" s="332"/>
      <c r="F281" s="338">
        <v>46241</v>
      </c>
      <c r="G281" s="339" t="s">
        <v>1520</v>
      </c>
      <c r="H281" s="339" t="s">
        <v>267</v>
      </c>
      <c r="I281" s="339" t="s">
        <v>1522</v>
      </c>
      <c r="J281" s="340">
        <v>2295.9652523039999</v>
      </c>
      <c r="K281" s="341" t="str">
        <f t="shared" si="17"/>
        <v>1º registro</v>
      </c>
      <c r="L281" s="342" t="str">
        <f t="shared" si="18"/>
        <v/>
      </c>
      <c r="M281" s="339" t="s">
        <v>1523</v>
      </c>
      <c r="N281" s="343" t="str">
        <f t="shared" si="19"/>
        <v>PIG H | PIG H — BAIXA D26 (CUSTO COMPLETO H COM SELO) | DN 38''|46241</v>
      </c>
    </row>
    <row r="282" spans="1:14" x14ac:dyDescent="0.3">
      <c r="A282" s="332"/>
      <c r="B282" s="335" t="s">
        <v>268</v>
      </c>
      <c r="C282" s="336" t="s">
        <v>1520</v>
      </c>
      <c r="D282" s="337">
        <f t="shared" si="16"/>
        <v>2310.3119189706699</v>
      </c>
      <c r="E282" s="332"/>
      <c r="F282" s="338">
        <v>46241</v>
      </c>
      <c r="G282" s="339" t="s">
        <v>1520</v>
      </c>
      <c r="H282" s="339" t="s">
        <v>268</v>
      </c>
      <c r="I282" s="339" t="s">
        <v>1522</v>
      </c>
      <c r="J282" s="340">
        <v>2310.3119189706699</v>
      </c>
      <c r="K282" s="341" t="str">
        <f t="shared" si="17"/>
        <v>1º registro</v>
      </c>
      <c r="L282" s="342" t="str">
        <f t="shared" si="18"/>
        <v/>
      </c>
      <c r="M282" s="339" t="s">
        <v>1523</v>
      </c>
      <c r="N282" s="343" t="str">
        <f t="shared" si="19"/>
        <v>PIG H | PIG H — BAIXA D26 (CUSTO COMPLETO H COM SELO/CORDA) | DN 38''|46241</v>
      </c>
    </row>
    <row r="283" spans="1:14" x14ac:dyDescent="0.3">
      <c r="A283" s="332"/>
      <c r="B283" s="335" t="s">
        <v>269</v>
      </c>
      <c r="C283" s="336" t="s">
        <v>1520</v>
      </c>
      <c r="D283" s="337">
        <f t="shared" si="16"/>
        <v>2566.3019368240002</v>
      </c>
      <c r="E283" s="332"/>
      <c r="F283" s="338">
        <v>46241</v>
      </c>
      <c r="G283" s="339" t="s">
        <v>1520</v>
      </c>
      <c r="H283" s="339" t="s">
        <v>269</v>
      </c>
      <c r="I283" s="339" t="s">
        <v>1522</v>
      </c>
      <c r="J283" s="340">
        <v>2566.3019368240002</v>
      </c>
      <c r="K283" s="341" t="str">
        <f t="shared" si="17"/>
        <v>1º registro</v>
      </c>
      <c r="L283" s="342" t="str">
        <f t="shared" si="18"/>
        <v/>
      </c>
      <c r="M283" s="339" t="s">
        <v>1523</v>
      </c>
      <c r="N283" s="343" t="str">
        <f t="shared" si="19"/>
        <v>PIG H | PIG H — BAIXA D26 (CUSTO COMPLETO H) | DN 40''|46241</v>
      </c>
    </row>
    <row r="284" spans="1:14" x14ac:dyDescent="0.3">
      <c r="A284" s="332"/>
      <c r="B284" s="335" t="s">
        <v>271</v>
      </c>
      <c r="C284" s="336" t="s">
        <v>1520</v>
      </c>
      <c r="D284" s="337">
        <f t="shared" si="16"/>
        <v>2635.2442968239998</v>
      </c>
      <c r="E284" s="332"/>
      <c r="F284" s="338">
        <v>46241</v>
      </c>
      <c r="G284" s="339" t="s">
        <v>1520</v>
      </c>
      <c r="H284" s="339" t="s">
        <v>271</v>
      </c>
      <c r="I284" s="339" t="s">
        <v>1522</v>
      </c>
      <c r="J284" s="340">
        <v>2635.2442968239998</v>
      </c>
      <c r="K284" s="341" t="str">
        <f t="shared" si="17"/>
        <v>1º registro</v>
      </c>
      <c r="L284" s="342" t="str">
        <f t="shared" si="18"/>
        <v/>
      </c>
      <c r="M284" s="339" t="s">
        <v>1523</v>
      </c>
      <c r="N284" s="343" t="str">
        <f t="shared" si="19"/>
        <v>PIG H | PIG H — BAIXA D26 (CUSTO COMPLETO H COM SELO) | DN 40''|46241</v>
      </c>
    </row>
    <row r="285" spans="1:14" x14ac:dyDescent="0.3">
      <c r="A285" s="332"/>
      <c r="B285" s="335" t="s">
        <v>272</v>
      </c>
      <c r="C285" s="336" t="s">
        <v>1520</v>
      </c>
      <c r="D285" s="337">
        <f t="shared" si="16"/>
        <v>2649.9509634906699</v>
      </c>
      <c r="E285" s="332"/>
      <c r="F285" s="338">
        <v>46241</v>
      </c>
      <c r="G285" s="339" t="s">
        <v>1520</v>
      </c>
      <c r="H285" s="339" t="s">
        <v>272</v>
      </c>
      <c r="I285" s="339" t="s">
        <v>1522</v>
      </c>
      <c r="J285" s="340">
        <v>2649.9509634906699</v>
      </c>
      <c r="K285" s="341" t="str">
        <f t="shared" si="17"/>
        <v>1º registro</v>
      </c>
      <c r="L285" s="342" t="str">
        <f t="shared" si="18"/>
        <v/>
      </c>
      <c r="M285" s="339" t="s">
        <v>1523</v>
      </c>
      <c r="N285" s="343" t="str">
        <f t="shared" si="19"/>
        <v>PIG H | PIG H — BAIXA D26 (CUSTO COMPLETO H COM SELO/CORDA) | DN 40''|46241</v>
      </c>
    </row>
    <row r="286" spans="1:14" x14ac:dyDescent="0.3">
      <c r="A286" s="332"/>
      <c r="B286" s="335" t="s">
        <v>273</v>
      </c>
      <c r="C286" s="336" t="s">
        <v>1520</v>
      </c>
      <c r="D286" s="337">
        <f t="shared" si="16"/>
        <v>2936.2361068800001</v>
      </c>
      <c r="E286" s="332"/>
      <c r="F286" s="338">
        <v>46241</v>
      </c>
      <c r="G286" s="339" t="s">
        <v>1520</v>
      </c>
      <c r="H286" s="339" t="s">
        <v>273</v>
      </c>
      <c r="I286" s="339" t="s">
        <v>1522</v>
      </c>
      <c r="J286" s="340">
        <v>2936.2361068800001</v>
      </c>
      <c r="K286" s="341" t="str">
        <f t="shared" si="17"/>
        <v>1º registro</v>
      </c>
      <c r="L286" s="342" t="str">
        <f t="shared" si="18"/>
        <v/>
      </c>
      <c r="M286" s="339" t="s">
        <v>1523</v>
      </c>
      <c r="N286" s="343" t="str">
        <f t="shared" si="19"/>
        <v>PIG H | PIG H — BAIXA D26 (CUSTO COMPLETO H) | DN 42''|46241</v>
      </c>
    </row>
    <row r="287" spans="1:14" x14ac:dyDescent="0.3">
      <c r="A287" s="332"/>
      <c r="B287" s="335" t="s">
        <v>275</v>
      </c>
      <c r="C287" s="336" t="s">
        <v>1520</v>
      </c>
      <c r="D287" s="337">
        <f t="shared" si="16"/>
        <v>3008.8944608800002</v>
      </c>
      <c r="E287" s="332"/>
      <c r="F287" s="338">
        <v>46241</v>
      </c>
      <c r="G287" s="339" t="s">
        <v>1520</v>
      </c>
      <c r="H287" s="339" t="s">
        <v>275</v>
      </c>
      <c r="I287" s="339" t="s">
        <v>1522</v>
      </c>
      <c r="J287" s="340">
        <v>3008.8944608800002</v>
      </c>
      <c r="K287" s="341" t="str">
        <f t="shared" si="17"/>
        <v>1º registro</v>
      </c>
      <c r="L287" s="342" t="str">
        <f t="shared" si="18"/>
        <v/>
      </c>
      <c r="M287" s="339" t="s">
        <v>1523</v>
      </c>
      <c r="N287" s="343" t="str">
        <f t="shared" si="19"/>
        <v>PIG H | PIG H — BAIXA D26 (CUSTO COMPLETO H COM SELO) | DN 42''|46241</v>
      </c>
    </row>
    <row r="288" spans="1:14" x14ac:dyDescent="0.3">
      <c r="A288" s="332"/>
      <c r="B288" s="335" t="s">
        <v>276</v>
      </c>
      <c r="C288" s="336" t="s">
        <v>1520</v>
      </c>
      <c r="D288" s="337">
        <f t="shared" si="16"/>
        <v>3023.8411275466701</v>
      </c>
      <c r="E288" s="332"/>
      <c r="F288" s="338">
        <v>46241</v>
      </c>
      <c r="G288" s="339" t="s">
        <v>1520</v>
      </c>
      <c r="H288" s="339" t="s">
        <v>276</v>
      </c>
      <c r="I288" s="339" t="s">
        <v>1522</v>
      </c>
      <c r="J288" s="340">
        <v>3023.8411275466701</v>
      </c>
      <c r="K288" s="341" t="str">
        <f t="shared" si="17"/>
        <v>1º registro</v>
      </c>
      <c r="L288" s="342" t="str">
        <f t="shared" si="18"/>
        <v/>
      </c>
      <c r="M288" s="339" t="s">
        <v>1523</v>
      </c>
      <c r="N288" s="343" t="str">
        <f t="shared" si="19"/>
        <v>PIG H | PIG H — BAIXA D26 (CUSTO COMPLETO H COM SELO/CORDA) | DN 42''|46241</v>
      </c>
    </row>
    <row r="289" spans="1:14" x14ac:dyDescent="0.3">
      <c r="A289" s="332"/>
      <c r="B289" s="335" t="s">
        <v>277</v>
      </c>
      <c r="C289" s="336" t="s">
        <v>1520</v>
      </c>
      <c r="D289" s="337">
        <f t="shared" si="16"/>
        <v>3342.1171169200002</v>
      </c>
      <c r="E289" s="332"/>
      <c r="F289" s="338">
        <v>46241</v>
      </c>
      <c r="G289" s="339" t="s">
        <v>1520</v>
      </c>
      <c r="H289" s="339" t="s">
        <v>277</v>
      </c>
      <c r="I289" s="339" t="s">
        <v>1522</v>
      </c>
      <c r="J289" s="340">
        <v>3342.1171169200002</v>
      </c>
      <c r="K289" s="341" t="str">
        <f t="shared" si="17"/>
        <v>1º registro</v>
      </c>
      <c r="L289" s="342" t="str">
        <f t="shared" si="18"/>
        <v/>
      </c>
      <c r="M289" s="339" t="s">
        <v>1523</v>
      </c>
      <c r="N289" s="343" t="str">
        <f t="shared" si="19"/>
        <v>PIG H | PIG H — BAIXA D26 (CUSTO COMPLETO H) | DN 44''|46241</v>
      </c>
    </row>
    <row r="290" spans="1:14" x14ac:dyDescent="0.3">
      <c r="A290" s="332"/>
      <c r="B290" s="335" t="s">
        <v>279</v>
      </c>
      <c r="C290" s="336" t="s">
        <v>1520</v>
      </c>
      <c r="D290" s="337">
        <f t="shared" si="16"/>
        <v>3419.66970692</v>
      </c>
      <c r="E290" s="332"/>
      <c r="F290" s="338">
        <v>46241</v>
      </c>
      <c r="G290" s="339" t="s">
        <v>1520</v>
      </c>
      <c r="H290" s="339" t="s">
        <v>279</v>
      </c>
      <c r="I290" s="339" t="s">
        <v>1522</v>
      </c>
      <c r="J290" s="340">
        <v>3419.66970692</v>
      </c>
      <c r="K290" s="341" t="str">
        <f t="shared" si="17"/>
        <v>1º registro</v>
      </c>
      <c r="L290" s="342" t="str">
        <f t="shared" si="18"/>
        <v/>
      </c>
      <c r="M290" s="339" t="s">
        <v>1523</v>
      </c>
      <c r="N290" s="343" t="str">
        <f t="shared" si="19"/>
        <v>PIG H | PIG H — BAIXA D26 (CUSTO COMPLETO H COM SELO) | DN 44''|46241</v>
      </c>
    </row>
    <row r="291" spans="1:14" x14ac:dyDescent="0.3">
      <c r="A291" s="332"/>
      <c r="B291" s="335" t="s">
        <v>280</v>
      </c>
      <c r="C291" s="336" t="s">
        <v>1520</v>
      </c>
      <c r="D291" s="337">
        <f t="shared" si="16"/>
        <v>3434.7363735866702</v>
      </c>
      <c r="E291" s="332"/>
      <c r="F291" s="338">
        <v>46241</v>
      </c>
      <c r="G291" s="339" t="s">
        <v>1520</v>
      </c>
      <c r="H291" s="339" t="s">
        <v>280</v>
      </c>
      <c r="I291" s="339" t="s">
        <v>1522</v>
      </c>
      <c r="J291" s="340">
        <v>3434.7363735866702</v>
      </c>
      <c r="K291" s="341" t="str">
        <f t="shared" si="17"/>
        <v>1º registro</v>
      </c>
      <c r="L291" s="342" t="str">
        <f t="shared" si="18"/>
        <v/>
      </c>
      <c r="M291" s="339" t="s">
        <v>1523</v>
      </c>
      <c r="N291" s="343" t="str">
        <f t="shared" si="19"/>
        <v>PIG H | PIG H — BAIXA D26 (CUSTO COMPLETO H COM SELO/CORDA) | DN 44''|46241</v>
      </c>
    </row>
    <row r="292" spans="1:14" x14ac:dyDescent="0.3">
      <c r="A292" s="332"/>
      <c r="B292" s="335" t="s">
        <v>281</v>
      </c>
      <c r="C292" s="336" t="s">
        <v>1520</v>
      </c>
      <c r="D292" s="337">
        <f t="shared" si="16"/>
        <v>2.0791237466666699</v>
      </c>
      <c r="E292" s="332"/>
      <c r="F292" s="338">
        <v>46241</v>
      </c>
      <c r="G292" s="339" t="s">
        <v>1520</v>
      </c>
      <c r="H292" s="339" t="s">
        <v>281</v>
      </c>
      <c r="I292" s="339" t="s">
        <v>1522</v>
      </c>
      <c r="J292" s="340">
        <v>2.0791237466666699</v>
      </c>
      <c r="K292" s="341" t="str">
        <f t="shared" si="17"/>
        <v>1º registro</v>
      </c>
      <c r="L292" s="342" t="str">
        <f t="shared" si="18"/>
        <v/>
      </c>
      <c r="M292" s="339" t="s">
        <v>1523</v>
      </c>
      <c r="N292" s="343" t="str">
        <f t="shared" si="19"/>
        <v>PIG H | PIG H — BAIXA D45 (CUSTO COMPLETO H) | DN 1''|46241</v>
      </c>
    </row>
    <row r="293" spans="1:14" x14ac:dyDescent="0.3">
      <c r="A293" s="332"/>
      <c r="B293" s="335" t="s">
        <v>283</v>
      </c>
      <c r="C293" s="336" t="s">
        <v>1520</v>
      </c>
      <c r="D293" s="337">
        <f t="shared" si="16"/>
        <v>3.40404346095238</v>
      </c>
      <c r="E293" s="332"/>
      <c r="F293" s="338">
        <v>46241</v>
      </c>
      <c r="G293" s="339" t="s">
        <v>1520</v>
      </c>
      <c r="H293" s="339" t="s">
        <v>283</v>
      </c>
      <c r="I293" s="339" t="s">
        <v>1522</v>
      </c>
      <c r="J293" s="340">
        <v>3.40404346095238</v>
      </c>
      <c r="K293" s="341" t="str">
        <f t="shared" si="17"/>
        <v>1º registro</v>
      </c>
      <c r="L293" s="342" t="str">
        <f t="shared" si="18"/>
        <v/>
      </c>
      <c r="M293" s="339" t="s">
        <v>1523</v>
      </c>
      <c r="N293" s="343" t="str">
        <f t="shared" si="19"/>
        <v>PIG H | PIG H — BAIXA D45 (CUSTO COMPLETO H COM SELO) | DN 1''|46241</v>
      </c>
    </row>
    <row r="294" spans="1:14" x14ac:dyDescent="0.3">
      <c r="A294" s="332"/>
      <c r="B294" s="335" t="s">
        <v>285</v>
      </c>
      <c r="C294" s="336" t="s">
        <v>1520</v>
      </c>
      <c r="D294" s="337">
        <f t="shared" si="16"/>
        <v>22.323091080000001</v>
      </c>
      <c r="E294" s="332"/>
      <c r="F294" s="338">
        <v>46241</v>
      </c>
      <c r="G294" s="339" t="s">
        <v>1520</v>
      </c>
      <c r="H294" s="339" t="s">
        <v>285</v>
      </c>
      <c r="I294" s="339" t="s">
        <v>1522</v>
      </c>
      <c r="J294" s="340">
        <v>22.323091080000001</v>
      </c>
      <c r="K294" s="341" t="str">
        <f t="shared" si="17"/>
        <v>1º registro</v>
      </c>
      <c r="L294" s="342" t="str">
        <f t="shared" si="18"/>
        <v/>
      </c>
      <c r="M294" s="339" t="s">
        <v>1523</v>
      </c>
      <c r="N294" s="343" t="str">
        <f t="shared" si="19"/>
        <v>PIG H | PIG H — BAIXA D45 (CUSTO COMPLETO H COM SELO/CORDA) | DN 1''|46241</v>
      </c>
    </row>
    <row r="295" spans="1:14" x14ac:dyDescent="0.3">
      <c r="A295" s="332"/>
      <c r="B295" s="335" t="s">
        <v>287</v>
      </c>
      <c r="C295" s="336" t="s">
        <v>1520</v>
      </c>
      <c r="D295" s="337">
        <f t="shared" si="16"/>
        <v>3.29296183466667</v>
      </c>
      <c r="E295" s="332"/>
      <c r="F295" s="338">
        <v>46241</v>
      </c>
      <c r="G295" s="339" t="s">
        <v>1520</v>
      </c>
      <c r="H295" s="339" t="s">
        <v>287</v>
      </c>
      <c r="I295" s="339" t="s">
        <v>1522</v>
      </c>
      <c r="J295" s="340">
        <v>3.29296183466667</v>
      </c>
      <c r="K295" s="341" t="str">
        <f t="shared" si="17"/>
        <v>1º registro</v>
      </c>
      <c r="L295" s="342" t="str">
        <f t="shared" si="18"/>
        <v/>
      </c>
      <c r="M295" s="339" t="s">
        <v>1523</v>
      </c>
      <c r="N295" s="343" t="str">
        <f t="shared" si="19"/>
        <v>PIG H | PIG H — BAIXA D45 (CUSTO COMPLETO H) | DN 2''|46241</v>
      </c>
    </row>
    <row r="296" spans="1:14" x14ac:dyDescent="0.3">
      <c r="A296" s="332"/>
      <c r="B296" s="335" t="s">
        <v>288</v>
      </c>
      <c r="C296" s="336" t="s">
        <v>1520</v>
      </c>
      <c r="D296" s="337">
        <f t="shared" si="16"/>
        <v>4.7991495489523803</v>
      </c>
      <c r="E296" s="332"/>
      <c r="F296" s="338">
        <v>46241</v>
      </c>
      <c r="G296" s="339" t="s">
        <v>1520</v>
      </c>
      <c r="H296" s="339" t="s">
        <v>288</v>
      </c>
      <c r="I296" s="339" t="s">
        <v>1522</v>
      </c>
      <c r="J296" s="340">
        <v>4.7991495489523803</v>
      </c>
      <c r="K296" s="341" t="str">
        <f t="shared" si="17"/>
        <v>1º registro</v>
      </c>
      <c r="L296" s="342" t="str">
        <f t="shared" si="18"/>
        <v/>
      </c>
      <c r="M296" s="339" t="s">
        <v>1523</v>
      </c>
      <c r="N296" s="343" t="str">
        <f t="shared" si="19"/>
        <v>PIG H | PIG H — BAIXA D45 (CUSTO COMPLETO H COM SELO) | DN 2''|46241</v>
      </c>
    </row>
    <row r="297" spans="1:14" x14ac:dyDescent="0.3">
      <c r="A297" s="332"/>
      <c r="B297" s="335" t="s">
        <v>289</v>
      </c>
      <c r="C297" s="336" t="s">
        <v>1520</v>
      </c>
      <c r="D297" s="337">
        <f t="shared" si="16"/>
        <v>5.1481971680000003</v>
      </c>
      <c r="E297" s="332"/>
      <c r="F297" s="338">
        <v>46241</v>
      </c>
      <c r="G297" s="339" t="s">
        <v>1520</v>
      </c>
      <c r="H297" s="339" t="s">
        <v>289</v>
      </c>
      <c r="I297" s="339" t="s">
        <v>1522</v>
      </c>
      <c r="J297" s="340">
        <v>5.1481971680000003</v>
      </c>
      <c r="K297" s="341" t="str">
        <f t="shared" si="17"/>
        <v>1º registro</v>
      </c>
      <c r="L297" s="342" t="str">
        <f t="shared" si="18"/>
        <v/>
      </c>
      <c r="M297" s="339" t="s">
        <v>1523</v>
      </c>
      <c r="N297" s="343" t="str">
        <f t="shared" si="19"/>
        <v>PIG H | PIG H — BAIXA D45 (CUSTO COMPLETO H COM SELO/CORDA) | DN 2''|46241</v>
      </c>
    </row>
    <row r="298" spans="1:14" x14ac:dyDescent="0.3">
      <c r="A298" s="332"/>
      <c r="B298" s="335" t="s">
        <v>290</v>
      </c>
      <c r="C298" s="336" t="s">
        <v>1520</v>
      </c>
      <c r="D298" s="337">
        <f t="shared" si="16"/>
        <v>6.6704970737777796</v>
      </c>
      <c r="E298" s="332"/>
      <c r="F298" s="338">
        <v>46241</v>
      </c>
      <c r="G298" s="339" t="s">
        <v>1520</v>
      </c>
      <c r="H298" s="339" t="s">
        <v>290</v>
      </c>
      <c r="I298" s="339" t="s">
        <v>1522</v>
      </c>
      <c r="J298" s="340">
        <v>6.6704970737777796</v>
      </c>
      <c r="K298" s="341" t="str">
        <f t="shared" si="17"/>
        <v>1º registro</v>
      </c>
      <c r="L298" s="342" t="str">
        <f t="shared" si="18"/>
        <v/>
      </c>
      <c r="M298" s="339" t="s">
        <v>1523</v>
      </c>
      <c r="N298" s="343" t="str">
        <f t="shared" si="19"/>
        <v>PIG H | PIG H — BAIXA D45 (CUSTO COMPLETO H) | DN 3''|46241</v>
      </c>
    </row>
    <row r="299" spans="1:14" x14ac:dyDescent="0.3">
      <c r="A299" s="332"/>
      <c r="B299" s="335" t="s">
        <v>291</v>
      </c>
      <c r="C299" s="336" t="s">
        <v>1520</v>
      </c>
      <c r="D299" s="337">
        <f t="shared" si="16"/>
        <v>8.4392226293333295</v>
      </c>
      <c r="E299" s="332"/>
      <c r="F299" s="338">
        <v>46241</v>
      </c>
      <c r="G299" s="339" t="s">
        <v>1520</v>
      </c>
      <c r="H299" s="339" t="s">
        <v>291</v>
      </c>
      <c r="I299" s="339" t="s">
        <v>1522</v>
      </c>
      <c r="J299" s="340">
        <v>8.4392226293333295</v>
      </c>
      <c r="K299" s="341" t="str">
        <f t="shared" si="17"/>
        <v>1º registro</v>
      </c>
      <c r="L299" s="342" t="str">
        <f t="shared" si="18"/>
        <v/>
      </c>
      <c r="M299" s="339" t="s">
        <v>1523</v>
      </c>
      <c r="N299" s="343" t="str">
        <f t="shared" si="19"/>
        <v>PIG H | PIG H — BAIXA D45 (CUSTO COMPLETO H COM SELO) | DN 3''|46241</v>
      </c>
    </row>
    <row r="300" spans="1:14" x14ac:dyDescent="0.3">
      <c r="A300" s="332"/>
      <c r="B300" s="335" t="s">
        <v>292</v>
      </c>
      <c r="C300" s="336" t="s">
        <v>1520</v>
      </c>
      <c r="D300" s="337">
        <f t="shared" si="16"/>
        <v>7.7658892960000001</v>
      </c>
      <c r="E300" s="332"/>
      <c r="F300" s="338">
        <v>46241</v>
      </c>
      <c r="G300" s="339" t="s">
        <v>1520</v>
      </c>
      <c r="H300" s="339" t="s">
        <v>292</v>
      </c>
      <c r="I300" s="339" t="s">
        <v>1522</v>
      </c>
      <c r="J300" s="340">
        <v>7.7658892960000001</v>
      </c>
      <c r="K300" s="341" t="str">
        <f t="shared" si="17"/>
        <v>1º registro</v>
      </c>
      <c r="L300" s="342" t="str">
        <f t="shared" si="18"/>
        <v/>
      </c>
      <c r="M300" s="339" t="s">
        <v>1523</v>
      </c>
      <c r="N300" s="343" t="str">
        <f t="shared" si="19"/>
        <v>PIG H | PIG H — BAIXA D45 (CUSTO COMPLETO H COM SELO/CORDA) | DN 3''|46241</v>
      </c>
    </row>
    <row r="301" spans="1:14" x14ac:dyDescent="0.3">
      <c r="A301" s="332"/>
      <c r="B301" s="335" t="s">
        <v>293</v>
      </c>
      <c r="C301" s="336" t="s">
        <v>1520</v>
      </c>
      <c r="D301" s="337">
        <f t="shared" si="16"/>
        <v>27.265392725333299</v>
      </c>
      <c r="E301" s="332"/>
      <c r="F301" s="338">
        <v>46241</v>
      </c>
      <c r="G301" s="339" t="s">
        <v>1520</v>
      </c>
      <c r="H301" s="339" t="s">
        <v>293</v>
      </c>
      <c r="I301" s="339" t="s">
        <v>1522</v>
      </c>
      <c r="J301" s="340">
        <v>27.265392725333299</v>
      </c>
      <c r="K301" s="341" t="str">
        <f t="shared" si="17"/>
        <v>1º registro</v>
      </c>
      <c r="L301" s="342" t="str">
        <f t="shared" si="18"/>
        <v/>
      </c>
      <c r="M301" s="339" t="s">
        <v>1523</v>
      </c>
      <c r="N301" s="343" t="str">
        <f t="shared" si="19"/>
        <v>PIG H | PIG H — BAIXA D45 (CUSTO COMPLETO H) | DN 4''|46241</v>
      </c>
    </row>
    <row r="302" spans="1:14" x14ac:dyDescent="0.3">
      <c r="A302" s="332"/>
      <c r="B302" s="335" t="s">
        <v>294</v>
      </c>
      <c r="C302" s="336" t="s">
        <v>1520</v>
      </c>
      <c r="D302" s="337">
        <f t="shared" si="16"/>
        <v>12.550464725333301</v>
      </c>
      <c r="E302" s="332"/>
      <c r="F302" s="338">
        <v>46241</v>
      </c>
      <c r="G302" s="339" t="s">
        <v>1520</v>
      </c>
      <c r="H302" s="339" t="s">
        <v>294</v>
      </c>
      <c r="I302" s="339" t="s">
        <v>1522</v>
      </c>
      <c r="J302" s="340">
        <v>12.550464725333301</v>
      </c>
      <c r="K302" s="341" t="str">
        <f t="shared" si="17"/>
        <v>1º registro</v>
      </c>
      <c r="L302" s="342" t="str">
        <f t="shared" si="18"/>
        <v/>
      </c>
      <c r="M302" s="339" t="s">
        <v>1523</v>
      </c>
      <c r="N302" s="343" t="str">
        <f t="shared" si="19"/>
        <v>PIG H | PIG H — BAIXA D45 (CUSTO COMPLETO H COM SELO) | DN 4''|46241</v>
      </c>
    </row>
    <row r="303" spans="1:14" x14ac:dyDescent="0.3">
      <c r="A303" s="332"/>
      <c r="B303" s="335" t="s">
        <v>295</v>
      </c>
      <c r="C303" s="336" t="s">
        <v>1520</v>
      </c>
      <c r="D303" s="337">
        <f t="shared" si="16"/>
        <v>13.5037980586667</v>
      </c>
      <c r="E303" s="332"/>
      <c r="F303" s="338">
        <v>46241</v>
      </c>
      <c r="G303" s="339" t="s">
        <v>1520</v>
      </c>
      <c r="H303" s="339" t="s">
        <v>295</v>
      </c>
      <c r="I303" s="339" t="s">
        <v>1522</v>
      </c>
      <c r="J303" s="340">
        <v>13.5037980586667</v>
      </c>
      <c r="K303" s="341" t="str">
        <f t="shared" si="17"/>
        <v>1º registro</v>
      </c>
      <c r="L303" s="342" t="str">
        <f t="shared" si="18"/>
        <v/>
      </c>
      <c r="M303" s="339" t="s">
        <v>1523</v>
      </c>
      <c r="N303" s="343" t="str">
        <f t="shared" si="19"/>
        <v>PIG H | PIG H — BAIXA D45 (CUSTO COMPLETO H COM SELO/CORDA) | DN 4''|46241</v>
      </c>
    </row>
    <row r="304" spans="1:14" x14ac:dyDescent="0.3">
      <c r="A304" s="332"/>
      <c r="B304" s="335" t="s">
        <v>296</v>
      </c>
      <c r="C304" s="336" t="s">
        <v>1520</v>
      </c>
      <c r="D304" s="337">
        <f t="shared" si="16"/>
        <v>24.1099110497778</v>
      </c>
      <c r="E304" s="332"/>
      <c r="F304" s="338">
        <v>46241</v>
      </c>
      <c r="G304" s="339" t="s">
        <v>1520</v>
      </c>
      <c r="H304" s="339" t="s">
        <v>296</v>
      </c>
      <c r="I304" s="339" t="s">
        <v>1522</v>
      </c>
      <c r="J304" s="340">
        <v>24.1099110497778</v>
      </c>
      <c r="K304" s="341" t="str">
        <f t="shared" si="17"/>
        <v>1º registro</v>
      </c>
      <c r="L304" s="342" t="str">
        <f t="shared" si="18"/>
        <v/>
      </c>
      <c r="M304" s="339" t="s">
        <v>1523</v>
      </c>
      <c r="N304" s="343" t="str">
        <f t="shared" si="19"/>
        <v>PIG H | PIG H — BAIXA D45 (CUSTO COMPLETO H) | DN 6''|46241</v>
      </c>
    </row>
    <row r="305" spans="1:14" x14ac:dyDescent="0.3">
      <c r="A305" s="332"/>
      <c r="B305" s="335" t="s">
        <v>297</v>
      </c>
      <c r="C305" s="336" t="s">
        <v>1520</v>
      </c>
      <c r="D305" s="337">
        <f t="shared" si="16"/>
        <v>26.830293605333299</v>
      </c>
      <c r="E305" s="332"/>
      <c r="F305" s="338">
        <v>46241</v>
      </c>
      <c r="G305" s="339" t="s">
        <v>1520</v>
      </c>
      <c r="H305" s="339" t="s">
        <v>297</v>
      </c>
      <c r="I305" s="339" t="s">
        <v>1522</v>
      </c>
      <c r="J305" s="340">
        <v>26.830293605333299</v>
      </c>
      <c r="K305" s="341" t="str">
        <f t="shared" si="17"/>
        <v>1º registro</v>
      </c>
      <c r="L305" s="342" t="str">
        <f t="shared" si="18"/>
        <v/>
      </c>
      <c r="M305" s="339" t="s">
        <v>1523</v>
      </c>
      <c r="N305" s="343" t="str">
        <f t="shared" si="19"/>
        <v>PIG H | PIG H — BAIXA D45 (CUSTO COMPLETO H COM SELO) | DN 6''|46241</v>
      </c>
    </row>
    <row r="306" spans="1:14" x14ac:dyDescent="0.3">
      <c r="A306" s="332"/>
      <c r="B306" s="335" t="s">
        <v>298</v>
      </c>
      <c r="C306" s="336" t="s">
        <v>1520</v>
      </c>
      <c r="D306" s="337">
        <f t="shared" si="16"/>
        <v>30.716960272000001</v>
      </c>
      <c r="E306" s="332"/>
      <c r="F306" s="338">
        <v>46241</v>
      </c>
      <c r="G306" s="339" t="s">
        <v>1520</v>
      </c>
      <c r="H306" s="339" t="s">
        <v>298</v>
      </c>
      <c r="I306" s="339" t="s">
        <v>1522</v>
      </c>
      <c r="J306" s="340">
        <v>30.716960272000001</v>
      </c>
      <c r="K306" s="341" t="str">
        <f t="shared" si="17"/>
        <v>1º registro</v>
      </c>
      <c r="L306" s="342" t="str">
        <f t="shared" si="18"/>
        <v/>
      </c>
      <c r="M306" s="339" t="s">
        <v>1523</v>
      </c>
      <c r="N306" s="343" t="str">
        <f t="shared" si="19"/>
        <v>PIG H | PIG H — BAIXA D45 (CUSTO COMPLETO H COM SELO/CORDA) | DN 6''|46241</v>
      </c>
    </row>
    <row r="307" spans="1:14" x14ac:dyDescent="0.3">
      <c r="A307" s="332"/>
      <c r="B307" s="335" t="s">
        <v>299</v>
      </c>
      <c r="C307" s="336" t="s">
        <v>1520</v>
      </c>
      <c r="D307" s="337">
        <f t="shared" si="16"/>
        <v>34.702777456888903</v>
      </c>
      <c r="E307" s="332"/>
      <c r="F307" s="338">
        <v>46241</v>
      </c>
      <c r="G307" s="339" t="s">
        <v>1520</v>
      </c>
      <c r="H307" s="339" t="s">
        <v>299</v>
      </c>
      <c r="I307" s="339" t="s">
        <v>1522</v>
      </c>
      <c r="J307" s="340">
        <v>34.702777456888903</v>
      </c>
      <c r="K307" s="341" t="str">
        <f t="shared" si="17"/>
        <v>1º registro</v>
      </c>
      <c r="L307" s="342" t="str">
        <f t="shared" si="18"/>
        <v/>
      </c>
      <c r="M307" s="339" t="s">
        <v>1523</v>
      </c>
      <c r="N307" s="343" t="str">
        <f t="shared" si="19"/>
        <v>PIG H | PIG H — BAIXA D45 (CUSTO COMPLETO H) | DN 7''|46241</v>
      </c>
    </row>
    <row r="308" spans="1:14" x14ac:dyDescent="0.3">
      <c r="A308" s="332"/>
      <c r="B308" s="335" t="s">
        <v>301</v>
      </c>
      <c r="C308" s="336" t="s">
        <v>1520</v>
      </c>
      <c r="D308" s="337">
        <f t="shared" si="16"/>
        <v>37.7172842346667</v>
      </c>
      <c r="E308" s="332"/>
      <c r="F308" s="338">
        <v>46241</v>
      </c>
      <c r="G308" s="339" t="s">
        <v>1520</v>
      </c>
      <c r="H308" s="339" t="s">
        <v>301</v>
      </c>
      <c r="I308" s="339" t="s">
        <v>1522</v>
      </c>
      <c r="J308" s="340">
        <v>37.7172842346667</v>
      </c>
      <c r="K308" s="341" t="str">
        <f t="shared" si="17"/>
        <v>1º registro</v>
      </c>
      <c r="L308" s="342" t="str">
        <f t="shared" si="18"/>
        <v/>
      </c>
      <c r="M308" s="339" t="s">
        <v>1523</v>
      </c>
      <c r="N308" s="343" t="str">
        <f t="shared" si="19"/>
        <v>PIG H | PIG H — BAIXA D45 (CUSTO COMPLETO H COM SELO) | DN 7''|46241</v>
      </c>
    </row>
    <row r="309" spans="1:14" x14ac:dyDescent="0.3">
      <c r="A309" s="332"/>
      <c r="B309" s="335" t="s">
        <v>302</v>
      </c>
      <c r="C309" s="336" t="s">
        <v>1520</v>
      </c>
      <c r="D309" s="337">
        <f t="shared" si="16"/>
        <v>41.757284234666699</v>
      </c>
      <c r="E309" s="332"/>
      <c r="F309" s="338">
        <v>46241</v>
      </c>
      <c r="G309" s="339" t="s">
        <v>1520</v>
      </c>
      <c r="H309" s="339" t="s">
        <v>302</v>
      </c>
      <c r="I309" s="339" t="s">
        <v>1522</v>
      </c>
      <c r="J309" s="340">
        <v>41.757284234666699</v>
      </c>
      <c r="K309" s="341" t="str">
        <f t="shared" si="17"/>
        <v>1º registro</v>
      </c>
      <c r="L309" s="342" t="str">
        <f t="shared" si="18"/>
        <v/>
      </c>
      <c r="M309" s="339" t="s">
        <v>1523</v>
      </c>
      <c r="N309" s="343" t="str">
        <f t="shared" si="19"/>
        <v>PIG H | PIG H — BAIXA D45 (CUSTO COMPLETO H COM SELO/CORDA) | DN 7''|46241</v>
      </c>
    </row>
    <row r="310" spans="1:14" x14ac:dyDescent="0.3">
      <c r="A310" s="332"/>
      <c r="B310" s="335" t="s">
        <v>303</v>
      </c>
      <c r="C310" s="336" t="s">
        <v>1520</v>
      </c>
      <c r="D310" s="337">
        <f t="shared" si="16"/>
        <v>49.4641772933333</v>
      </c>
      <c r="E310" s="332"/>
      <c r="F310" s="338">
        <v>46241</v>
      </c>
      <c r="G310" s="339" t="s">
        <v>1520</v>
      </c>
      <c r="H310" s="339" t="s">
        <v>303</v>
      </c>
      <c r="I310" s="339" t="s">
        <v>1522</v>
      </c>
      <c r="J310" s="340">
        <v>49.4641772933333</v>
      </c>
      <c r="K310" s="341" t="str">
        <f t="shared" si="17"/>
        <v>1º registro</v>
      </c>
      <c r="L310" s="342" t="str">
        <f t="shared" si="18"/>
        <v/>
      </c>
      <c r="M310" s="339" t="s">
        <v>1523</v>
      </c>
      <c r="N310" s="343" t="str">
        <f t="shared" si="19"/>
        <v>PIG H | PIG H — BAIXA D45 (CUSTO COMPLETO H) | DN 8''|46241</v>
      </c>
    </row>
    <row r="311" spans="1:14" x14ac:dyDescent="0.3">
      <c r="A311" s="332"/>
      <c r="B311" s="335" t="s">
        <v>304</v>
      </c>
      <c r="C311" s="336" t="s">
        <v>1520</v>
      </c>
      <c r="D311" s="337">
        <f t="shared" si="16"/>
        <v>54.453122071111103</v>
      </c>
      <c r="E311" s="332"/>
      <c r="F311" s="338">
        <v>46241</v>
      </c>
      <c r="G311" s="339" t="s">
        <v>1520</v>
      </c>
      <c r="H311" s="339" t="s">
        <v>304</v>
      </c>
      <c r="I311" s="339" t="s">
        <v>1522</v>
      </c>
      <c r="J311" s="340">
        <v>54.453122071111103</v>
      </c>
      <c r="K311" s="341" t="str">
        <f t="shared" si="17"/>
        <v>1º registro</v>
      </c>
      <c r="L311" s="342" t="str">
        <f t="shared" si="18"/>
        <v/>
      </c>
      <c r="M311" s="339" t="s">
        <v>1523</v>
      </c>
      <c r="N311" s="343" t="str">
        <f t="shared" si="19"/>
        <v>PIG H | PIG H — BAIXA D45 (CUSTO COMPLETO H COM SELO) | DN 8''|46241</v>
      </c>
    </row>
    <row r="312" spans="1:14" x14ac:dyDescent="0.3">
      <c r="A312" s="332"/>
      <c r="B312" s="335" t="s">
        <v>305</v>
      </c>
      <c r="C312" s="336" t="s">
        <v>1520</v>
      </c>
      <c r="D312" s="337">
        <f t="shared" si="16"/>
        <v>57.777566515555499</v>
      </c>
      <c r="E312" s="332"/>
      <c r="F312" s="338">
        <v>46241</v>
      </c>
      <c r="G312" s="339" t="s">
        <v>1520</v>
      </c>
      <c r="H312" s="339" t="s">
        <v>305</v>
      </c>
      <c r="I312" s="339" t="s">
        <v>1522</v>
      </c>
      <c r="J312" s="340">
        <v>57.777566515555499</v>
      </c>
      <c r="K312" s="341" t="str">
        <f t="shared" si="17"/>
        <v>1º registro</v>
      </c>
      <c r="L312" s="342" t="str">
        <f t="shared" si="18"/>
        <v/>
      </c>
      <c r="M312" s="339" t="s">
        <v>1523</v>
      </c>
      <c r="N312" s="343" t="str">
        <f t="shared" si="19"/>
        <v>PIG H | PIG H — BAIXA D45 (CUSTO COMPLETO H COM SELO/CORDA) | DN 8''|46241</v>
      </c>
    </row>
    <row r="313" spans="1:14" x14ac:dyDescent="0.3">
      <c r="A313" s="332"/>
      <c r="B313" s="335" t="s">
        <v>306</v>
      </c>
      <c r="C313" s="336" t="s">
        <v>1520</v>
      </c>
      <c r="D313" s="337">
        <f t="shared" si="16"/>
        <v>86.545731389333298</v>
      </c>
      <c r="E313" s="332"/>
      <c r="F313" s="338">
        <v>46241</v>
      </c>
      <c r="G313" s="339" t="s">
        <v>1520</v>
      </c>
      <c r="H313" s="339" t="s">
        <v>306</v>
      </c>
      <c r="I313" s="339" t="s">
        <v>1522</v>
      </c>
      <c r="J313" s="340">
        <v>86.545731389333298</v>
      </c>
      <c r="K313" s="341" t="str">
        <f t="shared" si="17"/>
        <v>1º registro</v>
      </c>
      <c r="L313" s="342" t="str">
        <f t="shared" si="18"/>
        <v/>
      </c>
      <c r="M313" s="339" t="s">
        <v>1523</v>
      </c>
      <c r="N313" s="343" t="str">
        <f t="shared" si="19"/>
        <v>PIG H | PIG H — BAIXA D45 (CUSTO COMPLETO H) | DN 10''|46241</v>
      </c>
    </row>
    <row r="314" spans="1:14" x14ac:dyDescent="0.3">
      <c r="A314" s="332"/>
      <c r="B314" s="335" t="s">
        <v>307</v>
      </c>
      <c r="C314" s="336" t="s">
        <v>1520</v>
      </c>
      <c r="D314" s="337">
        <f t="shared" si="16"/>
        <v>92.622284167111104</v>
      </c>
      <c r="E314" s="332"/>
      <c r="F314" s="338">
        <v>46241</v>
      </c>
      <c r="G314" s="339" t="s">
        <v>1520</v>
      </c>
      <c r="H314" s="339" t="s">
        <v>307</v>
      </c>
      <c r="I314" s="339" t="s">
        <v>1522</v>
      </c>
      <c r="J314" s="340">
        <v>92.622284167111104</v>
      </c>
      <c r="K314" s="341" t="str">
        <f t="shared" si="17"/>
        <v>1º registro</v>
      </c>
      <c r="L314" s="342" t="str">
        <f t="shared" si="18"/>
        <v/>
      </c>
      <c r="M314" s="339" t="s">
        <v>1523</v>
      </c>
      <c r="N314" s="343" t="str">
        <f t="shared" si="19"/>
        <v>PIG H | PIG H — BAIXA D45 (CUSTO COMPLETO H COM SELO) | DN 10''|46241</v>
      </c>
    </row>
    <row r="315" spans="1:14" x14ac:dyDescent="0.3">
      <c r="A315" s="332"/>
      <c r="B315" s="335" t="s">
        <v>308</v>
      </c>
      <c r="C315" s="336" t="s">
        <v>1520</v>
      </c>
      <c r="D315" s="337">
        <f t="shared" si="16"/>
        <v>96.246728611555497</v>
      </c>
      <c r="E315" s="332"/>
      <c r="F315" s="338">
        <v>46241</v>
      </c>
      <c r="G315" s="339" t="s">
        <v>1520</v>
      </c>
      <c r="H315" s="339" t="s">
        <v>308</v>
      </c>
      <c r="I315" s="339" t="s">
        <v>1522</v>
      </c>
      <c r="J315" s="340">
        <v>96.246728611555497</v>
      </c>
      <c r="K315" s="341" t="str">
        <f t="shared" si="17"/>
        <v>1º registro</v>
      </c>
      <c r="L315" s="342" t="str">
        <f t="shared" si="18"/>
        <v/>
      </c>
      <c r="M315" s="339" t="s">
        <v>1523</v>
      </c>
      <c r="N315" s="343" t="str">
        <f t="shared" si="19"/>
        <v>PIG H | PIG H — BAIXA D45 (CUSTO COMPLETO H COM SELO/CORDA) | DN 10''|46241</v>
      </c>
    </row>
    <row r="316" spans="1:14" x14ac:dyDescent="0.3">
      <c r="A316" s="332"/>
      <c r="B316" s="335" t="s">
        <v>309</v>
      </c>
      <c r="C316" s="336" t="s">
        <v>1520</v>
      </c>
      <c r="D316" s="337">
        <f t="shared" si="16"/>
        <v>152.95529659733299</v>
      </c>
      <c r="E316" s="332"/>
      <c r="F316" s="338">
        <v>46241</v>
      </c>
      <c r="G316" s="339" t="s">
        <v>1520</v>
      </c>
      <c r="H316" s="339" t="s">
        <v>309</v>
      </c>
      <c r="I316" s="339" t="s">
        <v>1522</v>
      </c>
      <c r="J316" s="340">
        <v>152.95529659733299</v>
      </c>
      <c r="K316" s="341" t="str">
        <f t="shared" si="17"/>
        <v>1º registro</v>
      </c>
      <c r="L316" s="342" t="str">
        <f t="shared" si="18"/>
        <v/>
      </c>
      <c r="M316" s="339" t="s">
        <v>1523</v>
      </c>
      <c r="N316" s="343" t="str">
        <f t="shared" si="19"/>
        <v>PIG H | PIG H — BAIXA D45 (CUSTO COMPLETO H) | DN 12''|46241</v>
      </c>
    </row>
    <row r="317" spans="1:14" x14ac:dyDescent="0.3">
      <c r="A317" s="332"/>
      <c r="B317" s="335" t="s">
        <v>310</v>
      </c>
      <c r="C317" s="336" t="s">
        <v>1520</v>
      </c>
      <c r="D317" s="337">
        <f t="shared" si="16"/>
        <v>160.39135937511099</v>
      </c>
      <c r="E317" s="332"/>
      <c r="F317" s="338">
        <v>46241</v>
      </c>
      <c r="G317" s="339" t="s">
        <v>1520</v>
      </c>
      <c r="H317" s="339" t="s">
        <v>310</v>
      </c>
      <c r="I317" s="339" t="s">
        <v>1522</v>
      </c>
      <c r="J317" s="340">
        <v>160.39135937511099</v>
      </c>
      <c r="K317" s="341" t="str">
        <f t="shared" si="17"/>
        <v>1º registro</v>
      </c>
      <c r="L317" s="342" t="str">
        <f t="shared" si="18"/>
        <v/>
      </c>
      <c r="M317" s="339" t="s">
        <v>1523</v>
      </c>
      <c r="N317" s="343" t="str">
        <f t="shared" si="19"/>
        <v>PIG H | PIG H — BAIXA D45 (CUSTO COMPLETO H COM SELO) | DN 12''|46241</v>
      </c>
    </row>
    <row r="318" spans="1:14" x14ac:dyDescent="0.3">
      <c r="A318" s="332"/>
      <c r="B318" s="335" t="s">
        <v>311</v>
      </c>
      <c r="C318" s="336" t="s">
        <v>1520</v>
      </c>
      <c r="D318" s="337">
        <f t="shared" si="16"/>
        <v>167.893581597333</v>
      </c>
      <c r="E318" s="332"/>
      <c r="F318" s="338">
        <v>46241</v>
      </c>
      <c r="G318" s="339" t="s">
        <v>1520</v>
      </c>
      <c r="H318" s="339" t="s">
        <v>311</v>
      </c>
      <c r="I318" s="339" t="s">
        <v>1522</v>
      </c>
      <c r="J318" s="340">
        <v>167.893581597333</v>
      </c>
      <c r="K318" s="341" t="str">
        <f t="shared" si="17"/>
        <v>1º registro</v>
      </c>
      <c r="L318" s="342" t="str">
        <f t="shared" si="18"/>
        <v/>
      </c>
      <c r="M318" s="339" t="s">
        <v>1523</v>
      </c>
      <c r="N318" s="343" t="str">
        <f t="shared" si="19"/>
        <v>PIG H | PIG H — BAIXA D45 (CUSTO COMPLETO H COM SELO/CORDA) | DN 12''|46241</v>
      </c>
    </row>
    <row r="319" spans="1:14" x14ac:dyDescent="0.3">
      <c r="A319" s="332"/>
      <c r="B319" s="335" t="s">
        <v>312</v>
      </c>
      <c r="C319" s="336" t="s">
        <v>1520</v>
      </c>
      <c r="D319" s="337">
        <f t="shared" si="16"/>
        <v>213.42825285066701</v>
      </c>
      <c r="E319" s="332"/>
      <c r="F319" s="338">
        <v>46241</v>
      </c>
      <c r="G319" s="339" t="s">
        <v>1520</v>
      </c>
      <c r="H319" s="339" t="s">
        <v>312</v>
      </c>
      <c r="I319" s="339" t="s">
        <v>1522</v>
      </c>
      <c r="J319" s="340">
        <v>213.42825285066701</v>
      </c>
      <c r="K319" s="341" t="str">
        <f t="shared" si="17"/>
        <v>1º registro</v>
      </c>
      <c r="L319" s="342" t="str">
        <f t="shared" si="18"/>
        <v/>
      </c>
      <c r="M319" s="339" t="s">
        <v>1523</v>
      </c>
      <c r="N319" s="343" t="str">
        <f t="shared" si="19"/>
        <v>PIG H | PIG H — BAIXA D45 (CUSTO COMPLETO H) | DN 14''|46241</v>
      </c>
    </row>
    <row r="320" spans="1:14" x14ac:dyDescent="0.3">
      <c r="A320" s="332"/>
      <c r="B320" s="335" t="s">
        <v>313</v>
      </c>
      <c r="C320" s="336" t="s">
        <v>1520</v>
      </c>
      <c r="D320" s="337">
        <f t="shared" si="16"/>
        <v>225.62580285066699</v>
      </c>
      <c r="E320" s="332"/>
      <c r="F320" s="338">
        <v>46241</v>
      </c>
      <c r="G320" s="339" t="s">
        <v>1520</v>
      </c>
      <c r="H320" s="339" t="s">
        <v>313</v>
      </c>
      <c r="I320" s="339" t="s">
        <v>1522</v>
      </c>
      <c r="J320" s="340">
        <v>225.62580285066699</v>
      </c>
      <c r="K320" s="341" t="str">
        <f t="shared" si="17"/>
        <v>1º registro</v>
      </c>
      <c r="L320" s="342" t="str">
        <f t="shared" si="18"/>
        <v/>
      </c>
      <c r="M320" s="339" t="s">
        <v>1523</v>
      </c>
      <c r="N320" s="343" t="str">
        <f t="shared" si="19"/>
        <v>PIG H | PIG H — BAIXA D45 (CUSTO COMPLETO H COM SELO) | DN 14''|46241</v>
      </c>
    </row>
    <row r="321" spans="1:14" x14ac:dyDescent="0.3">
      <c r="A321" s="332"/>
      <c r="B321" s="335" t="s">
        <v>314</v>
      </c>
      <c r="C321" s="336" t="s">
        <v>1520</v>
      </c>
      <c r="D321" s="337">
        <f t="shared" si="16"/>
        <v>241.80580285066699</v>
      </c>
      <c r="E321" s="332"/>
      <c r="F321" s="338">
        <v>46241</v>
      </c>
      <c r="G321" s="339" t="s">
        <v>1520</v>
      </c>
      <c r="H321" s="339" t="s">
        <v>314</v>
      </c>
      <c r="I321" s="339" t="s">
        <v>1522</v>
      </c>
      <c r="J321" s="340">
        <v>241.80580285066699</v>
      </c>
      <c r="K321" s="341" t="str">
        <f t="shared" si="17"/>
        <v>1º registro</v>
      </c>
      <c r="L321" s="342" t="str">
        <f t="shared" si="18"/>
        <v/>
      </c>
      <c r="M321" s="339" t="s">
        <v>1523</v>
      </c>
      <c r="N321" s="343" t="str">
        <f t="shared" si="19"/>
        <v>PIG H | PIG H — BAIXA D45 (CUSTO COMPLETO H COM SELO/CORDA) | DN 14''|46241</v>
      </c>
    </row>
    <row r="322" spans="1:14" x14ac:dyDescent="0.3">
      <c r="A322" s="332"/>
      <c r="B322" s="335" t="s">
        <v>315</v>
      </c>
      <c r="C322" s="336" t="s">
        <v>1520</v>
      </c>
      <c r="D322" s="337">
        <f t="shared" si="16"/>
        <v>307.742198412444</v>
      </c>
      <c r="E322" s="332"/>
      <c r="F322" s="338">
        <v>46241</v>
      </c>
      <c r="G322" s="339" t="s">
        <v>1520</v>
      </c>
      <c r="H322" s="339" t="s">
        <v>315</v>
      </c>
      <c r="I322" s="339" t="s">
        <v>1522</v>
      </c>
      <c r="J322" s="340">
        <v>307.742198412444</v>
      </c>
      <c r="K322" s="341" t="str">
        <f t="shared" si="17"/>
        <v>1º registro</v>
      </c>
      <c r="L322" s="342" t="str">
        <f t="shared" si="18"/>
        <v/>
      </c>
      <c r="M322" s="339" t="s">
        <v>1523</v>
      </c>
      <c r="N322" s="343" t="str">
        <f t="shared" si="19"/>
        <v>PIG H | PIG H — BAIXA D45 (CUSTO COMPLETO H) | DN 16''|46241</v>
      </c>
    </row>
    <row r="323" spans="1:14" x14ac:dyDescent="0.3">
      <c r="A323" s="332"/>
      <c r="B323" s="335" t="s">
        <v>316</v>
      </c>
      <c r="C323" s="336" t="s">
        <v>1520</v>
      </c>
      <c r="D323" s="337">
        <f t="shared" si="16"/>
        <v>321.55591863466702</v>
      </c>
      <c r="E323" s="332"/>
      <c r="F323" s="338">
        <v>46241</v>
      </c>
      <c r="G323" s="339" t="s">
        <v>1520</v>
      </c>
      <c r="H323" s="339" t="s">
        <v>316</v>
      </c>
      <c r="I323" s="339" t="s">
        <v>1522</v>
      </c>
      <c r="J323" s="340">
        <v>321.55591863466702</v>
      </c>
      <c r="K323" s="341" t="str">
        <f t="shared" si="17"/>
        <v>1º registro</v>
      </c>
      <c r="L323" s="342" t="str">
        <f t="shared" si="18"/>
        <v/>
      </c>
      <c r="M323" s="339" t="s">
        <v>1523</v>
      </c>
      <c r="N323" s="343" t="str">
        <f t="shared" si="19"/>
        <v>PIG H | PIG H — BAIXA D45 (CUSTO COMPLETO H COM SELO) | DN 16''|46241</v>
      </c>
    </row>
    <row r="324" spans="1:14" x14ac:dyDescent="0.3">
      <c r="A324" s="332"/>
      <c r="B324" s="335" t="s">
        <v>317</v>
      </c>
      <c r="C324" s="336" t="s">
        <v>1520</v>
      </c>
      <c r="D324" s="337">
        <f t="shared" si="16"/>
        <v>338.09591863466699</v>
      </c>
      <c r="E324" s="332"/>
      <c r="F324" s="338">
        <v>46241</v>
      </c>
      <c r="G324" s="339" t="s">
        <v>1520</v>
      </c>
      <c r="H324" s="339" t="s">
        <v>317</v>
      </c>
      <c r="I324" s="339" t="s">
        <v>1522</v>
      </c>
      <c r="J324" s="340">
        <v>338.09591863466699</v>
      </c>
      <c r="K324" s="341" t="str">
        <f t="shared" si="17"/>
        <v>1º registro</v>
      </c>
      <c r="L324" s="342" t="str">
        <f t="shared" si="18"/>
        <v/>
      </c>
      <c r="M324" s="339" t="s">
        <v>1523</v>
      </c>
      <c r="N324" s="343" t="str">
        <f t="shared" si="19"/>
        <v>PIG H | PIG H — BAIXA D45 (CUSTO COMPLETO H COM SELO/CORDA) | DN 16''|46241</v>
      </c>
    </row>
    <row r="325" spans="1:14" x14ac:dyDescent="0.3">
      <c r="A325" s="332"/>
      <c r="B325" s="335" t="s">
        <v>318</v>
      </c>
      <c r="C325" s="336" t="s">
        <v>1520</v>
      </c>
      <c r="D325" s="337">
        <f t="shared" si="16"/>
        <v>433.306454720381</v>
      </c>
      <c r="E325" s="332"/>
      <c r="F325" s="338">
        <v>46241</v>
      </c>
      <c r="G325" s="339" t="s">
        <v>1520</v>
      </c>
      <c r="H325" s="339" t="s">
        <v>318</v>
      </c>
      <c r="I325" s="339" t="s">
        <v>1522</v>
      </c>
      <c r="J325" s="340">
        <v>433.306454720381</v>
      </c>
      <c r="K325" s="341" t="str">
        <f t="shared" si="17"/>
        <v>1º registro</v>
      </c>
      <c r="L325" s="342" t="str">
        <f t="shared" si="18"/>
        <v/>
      </c>
      <c r="M325" s="339" t="s">
        <v>1523</v>
      </c>
      <c r="N325" s="343" t="str">
        <f t="shared" si="19"/>
        <v>PIG H | PIG H — BAIXA D45 (CUSTO COMPLETO H) | DN 18''|46241</v>
      </c>
    </row>
    <row r="326" spans="1:14" x14ac:dyDescent="0.3">
      <c r="A326" s="332"/>
      <c r="B326" s="335" t="s">
        <v>319</v>
      </c>
      <c r="C326" s="336" t="s">
        <v>1520</v>
      </c>
      <c r="D326" s="337">
        <f t="shared" si="16"/>
        <v>453.36348710133302</v>
      </c>
      <c r="E326" s="332"/>
      <c r="F326" s="338">
        <v>46241</v>
      </c>
      <c r="G326" s="339" t="s">
        <v>1520</v>
      </c>
      <c r="H326" s="339" t="s">
        <v>319</v>
      </c>
      <c r="I326" s="339" t="s">
        <v>1522</v>
      </c>
      <c r="J326" s="340">
        <v>453.36348710133302</v>
      </c>
      <c r="K326" s="341" t="str">
        <f t="shared" si="17"/>
        <v>1º registro</v>
      </c>
      <c r="L326" s="342" t="str">
        <f t="shared" si="18"/>
        <v/>
      </c>
      <c r="M326" s="339" t="s">
        <v>1523</v>
      </c>
      <c r="N326" s="343" t="str">
        <f t="shared" si="19"/>
        <v>PIG H | PIG H — BAIXA D45 (CUSTO COMPLETO H COM SELO) | DN 18''|46241</v>
      </c>
    </row>
    <row r="327" spans="1:14" x14ac:dyDescent="0.3">
      <c r="A327" s="332"/>
      <c r="B327" s="335" t="s">
        <v>320</v>
      </c>
      <c r="C327" s="336" t="s">
        <v>1520</v>
      </c>
      <c r="D327" s="337">
        <f t="shared" si="16"/>
        <v>459.07682043466701</v>
      </c>
      <c r="E327" s="332"/>
      <c r="F327" s="338">
        <v>46241</v>
      </c>
      <c r="G327" s="339" t="s">
        <v>1520</v>
      </c>
      <c r="H327" s="339" t="s">
        <v>320</v>
      </c>
      <c r="I327" s="339" t="s">
        <v>1522</v>
      </c>
      <c r="J327" s="340">
        <v>459.07682043466701</v>
      </c>
      <c r="K327" s="341" t="str">
        <f t="shared" si="17"/>
        <v>1º registro</v>
      </c>
      <c r="L327" s="342" t="str">
        <f t="shared" si="18"/>
        <v/>
      </c>
      <c r="M327" s="339" t="s">
        <v>1523</v>
      </c>
      <c r="N327" s="343" t="str">
        <f t="shared" si="19"/>
        <v>PIG H | PIG H — BAIXA D45 (CUSTO COMPLETO H COM SELO/CORDA) | DN 18''|46241</v>
      </c>
    </row>
    <row r="328" spans="1:14" x14ac:dyDescent="0.3">
      <c r="A328" s="332"/>
      <c r="B328" s="335" t="s">
        <v>321</v>
      </c>
      <c r="C328" s="336" t="s">
        <v>1520</v>
      </c>
      <c r="D328" s="337">
        <f t="shared" si="16"/>
        <v>579.56713313638102</v>
      </c>
      <c r="E328" s="332"/>
      <c r="F328" s="338">
        <v>46241</v>
      </c>
      <c r="G328" s="339" t="s">
        <v>1520</v>
      </c>
      <c r="H328" s="339" t="s">
        <v>321</v>
      </c>
      <c r="I328" s="339" t="s">
        <v>1522</v>
      </c>
      <c r="J328" s="340">
        <v>579.56713313638102</v>
      </c>
      <c r="K328" s="341" t="str">
        <f t="shared" si="17"/>
        <v>1º registro</v>
      </c>
      <c r="L328" s="342" t="str">
        <f t="shared" si="18"/>
        <v/>
      </c>
      <c r="M328" s="339" t="s">
        <v>1523</v>
      </c>
      <c r="N328" s="343" t="str">
        <f t="shared" si="19"/>
        <v>PIG H | PIG H — BAIXA D45 (CUSTO COMPLETO H) | DN 20''|46241</v>
      </c>
    </row>
    <row r="329" spans="1:14" x14ac:dyDescent="0.3">
      <c r="A329" s="332"/>
      <c r="B329" s="335" t="s">
        <v>322</v>
      </c>
      <c r="C329" s="336" t="s">
        <v>1520</v>
      </c>
      <c r="D329" s="337">
        <f t="shared" si="16"/>
        <v>601.93533251733299</v>
      </c>
      <c r="E329" s="332"/>
      <c r="F329" s="338">
        <v>46241</v>
      </c>
      <c r="G329" s="339" t="s">
        <v>1520</v>
      </c>
      <c r="H329" s="339" t="s">
        <v>322</v>
      </c>
      <c r="I329" s="339" t="s">
        <v>1522</v>
      </c>
      <c r="J329" s="340">
        <v>601.93533251733299</v>
      </c>
      <c r="K329" s="341" t="str">
        <f t="shared" si="17"/>
        <v>1º registro</v>
      </c>
      <c r="L329" s="342" t="str">
        <f t="shared" si="18"/>
        <v/>
      </c>
      <c r="M329" s="339" t="s">
        <v>1523</v>
      </c>
      <c r="N329" s="343" t="str">
        <f t="shared" si="19"/>
        <v>PIG H | PIG H — BAIXA D45 (CUSTO COMPLETO H COM SELO) | DN 20''|46241</v>
      </c>
    </row>
    <row r="330" spans="1:14" x14ac:dyDescent="0.3">
      <c r="A330" s="332"/>
      <c r="B330" s="335" t="s">
        <v>323</v>
      </c>
      <c r="C330" s="336" t="s">
        <v>1520</v>
      </c>
      <c r="D330" s="337">
        <f t="shared" si="16"/>
        <v>623.59311029511105</v>
      </c>
      <c r="E330" s="332"/>
      <c r="F330" s="338">
        <v>46241</v>
      </c>
      <c r="G330" s="339" t="s">
        <v>1520</v>
      </c>
      <c r="H330" s="339" t="s">
        <v>323</v>
      </c>
      <c r="I330" s="339" t="s">
        <v>1522</v>
      </c>
      <c r="J330" s="340">
        <v>623.59311029511105</v>
      </c>
      <c r="K330" s="341" t="str">
        <f t="shared" si="17"/>
        <v>1º registro</v>
      </c>
      <c r="L330" s="342" t="str">
        <f t="shared" si="18"/>
        <v/>
      </c>
      <c r="M330" s="339" t="s">
        <v>1523</v>
      </c>
      <c r="N330" s="343" t="str">
        <f t="shared" si="19"/>
        <v>PIG H | PIG H — BAIXA D45 (CUSTO COMPLETO H COM SELO/CORDA) | DN 20''|46241</v>
      </c>
    </row>
    <row r="331" spans="1:14" x14ac:dyDescent="0.3">
      <c r="A331" s="332"/>
      <c r="B331" s="335" t="s">
        <v>324</v>
      </c>
      <c r="C331" s="336" t="s">
        <v>1520</v>
      </c>
      <c r="D331" s="337">
        <f t="shared" si="16"/>
        <v>773.586459142222</v>
      </c>
      <c r="E331" s="332"/>
      <c r="F331" s="338">
        <v>46241</v>
      </c>
      <c r="G331" s="339" t="s">
        <v>1520</v>
      </c>
      <c r="H331" s="339" t="s">
        <v>324</v>
      </c>
      <c r="I331" s="339" t="s">
        <v>1522</v>
      </c>
      <c r="J331" s="340">
        <v>773.586459142222</v>
      </c>
      <c r="K331" s="341" t="str">
        <f t="shared" si="17"/>
        <v>1º registro</v>
      </c>
      <c r="L331" s="342" t="str">
        <f t="shared" si="18"/>
        <v/>
      </c>
      <c r="M331" s="339" t="s">
        <v>1523</v>
      </c>
      <c r="N331" s="343" t="str">
        <f t="shared" si="19"/>
        <v>PIG H | PIG H — BAIXA D45 (CUSTO COMPLETO H) | DN 22''|46241</v>
      </c>
    </row>
    <row r="332" spans="1:14" x14ac:dyDescent="0.3">
      <c r="A332" s="332"/>
      <c r="B332" s="335" t="s">
        <v>325</v>
      </c>
      <c r="C332" s="336" t="s">
        <v>1520</v>
      </c>
      <c r="D332" s="337">
        <f t="shared" si="16"/>
        <v>795.93280780888904</v>
      </c>
      <c r="E332" s="332"/>
      <c r="F332" s="338">
        <v>46241</v>
      </c>
      <c r="G332" s="339" t="s">
        <v>1520</v>
      </c>
      <c r="H332" s="339" t="s">
        <v>325</v>
      </c>
      <c r="I332" s="339" t="s">
        <v>1522</v>
      </c>
      <c r="J332" s="340">
        <v>795.93280780888904</v>
      </c>
      <c r="K332" s="341" t="str">
        <f t="shared" si="17"/>
        <v>1º registro</v>
      </c>
      <c r="L332" s="342" t="str">
        <f t="shared" si="18"/>
        <v/>
      </c>
      <c r="M332" s="339" t="s">
        <v>1523</v>
      </c>
      <c r="N332" s="343" t="str">
        <f t="shared" si="19"/>
        <v>PIG H | PIG H — BAIXA D45 (CUSTO COMPLETO H COM SELO) | DN 22''|46241</v>
      </c>
    </row>
    <row r="333" spans="1:14" x14ac:dyDescent="0.3">
      <c r="A333" s="332"/>
      <c r="B333" s="335" t="s">
        <v>326</v>
      </c>
      <c r="C333" s="336" t="s">
        <v>1520</v>
      </c>
      <c r="D333" s="337">
        <f t="shared" si="16"/>
        <v>803.135030031111</v>
      </c>
      <c r="E333" s="332"/>
      <c r="F333" s="338">
        <v>46241</v>
      </c>
      <c r="G333" s="339" t="s">
        <v>1520</v>
      </c>
      <c r="H333" s="339" t="s">
        <v>326</v>
      </c>
      <c r="I333" s="339" t="s">
        <v>1522</v>
      </c>
      <c r="J333" s="340">
        <v>803.135030031111</v>
      </c>
      <c r="K333" s="341" t="str">
        <f t="shared" si="17"/>
        <v>1º registro</v>
      </c>
      <c r="L333" s="342" t="str">
        <f t="shared" si="18"/>
        <v/>
      </c>
      <c r="M333" s="339" t="s">
        <v>1523</v>
      </c>
      <c r="N333" s="343" t="str">
        <f t="shared" si="19"/>
        <v>PIG H | PIG H — BAIXA D45 (CUSTO COMPLETO H COM SELO/CORDA) | DN 22''|46241</v>
      </c>
    </row>
    <row r="334" spans="1:14" x14ac:dyDescent="0.3">
      <c r="A334" s="332"/>
      <c r="B334" s="335" t="s">
        <v>327</v>
      </c>
      <c r="C334" s="336" t="s">
        <v>1520</v>
      </c>
      <c r="D334" s="337">
        <f t="shared" si="16"/>
        <v>990.15340124266697</v>
      </c>
      <c r="E334" s="332"/>
      <c r="F334" s="338">
        <v>46241</v>
      </c>
      <c r="G334" s="339" t="s">
        <v>1520</v>
      </c>
      <c r="H334" s="339" t="s">
        <v>327</v>
      </c>
      <c r="I334" s="339" t="s">
        <v>1522</v>
      </c>
      <c r="J334" s="340">
        <v>990.15340124266697</v>
      </c>
      <c r="K334" s="341" t="str">
        <f t="shared" si="17"/>
        <v>1º registro</v>
      </c>
      <c r="L334" s="342" t="str">
        <f t="shared" si="18"/>
        <v/>
      </c>
      <c r="M334" s="339" t="s">
        <v>1523</v>
      </c>
      <c r="N334" s="343" t="str">
        <f t="shared" si="19"/>
        <v>PIG H | PIG H — BAIXA D45 (CUSTO COMPLETO H) | DN 24''|46241</v>
      </c>
    </row>
    <row r="335" spans="1:14" x14ac:dyDescent="0.3">
      <c r="A335" s="332"/>
      <c r="B335" s="335" t="s">
        <v>328</v>
      </c>
      <c r="C335" s="336" t="s">
        <v>1520</v>
      </c>
      <c r="D335" s="337">
        <f t="shared" si="16"/>
        <v>1015.21876990933</v>
      </c>
      <c r="E335" s="332"/>
      <c r="F335" s="338">
        <v>46241</v>
      </c>
      <c r="G335" s="339" t="s">
        <v>1520</v>
      </c>
      <c r="H335" s="339" t="s">
        <v>328</v>
      </c>
      <c r="I335" s="339" t="s">
        <v>1522</v>
      </c>
      <c r="J335" s="340">
        <v>1015.21876990933</v>
      </c>
      <c r="K335" s="341" t="str">
        <f t="shared" si="17"/>
        <v>1º registro</v>
      </c>
      <c r="L335" s="342" t="str">
        <f t="shared" si="18"/>
        <v/>
      </c>
      <c r="M335" s="339" t="s">
        <v>1523</v>
      </c>
      <c r="N335" s="343" t="str">
        <f t="shared" si="19"/>
        <v>PIG H | PIG H — BAIXA D45 (CUSTO COMPLETO H COM SELO) | DN 24''|46241</v>
      </c>
    </row>
    <row r="336" spans="1:14" x14ac:dyDescent="0.3">
      <c r="A336" s="332"/>
      <c r="B336" s="335" t="s">
        <v>329</v>
      </c>
      <c r="C336" s="336" t="s">
        <v>1520</v>
      </c>
      <c r="D336" s="337">
        <f t="shared" si="16"/>
        <v>1022.84099213156</v>
      </c>
      <c r="E336" s="332"/>
      <c r="F336" s="338">
        <v>46241</v>
      </c>
      <c r="G336" s="339" t="s">
        <v>1520</v>
      </c>
      <c r="H336" s="339" t="s">
        <v>329</v>
      </c>
      <c r="I336" s="339" t="s">
        <v>1522</v>
      </c>
      <c r="J336" s="340">
        <v>1022.84099213156</v>
      </c>
      <c r="K336" s="341" t="str">
        <f t="shared" si="17"/>
        <v>1º registro</v>
      </c>
      <c r="L336" s="342" t="str">
        <f t="shared" si="18"/>
        <v/>
      </c>
      <c r="M336" s="339" t="s">
        <v>1523</v>
      </c>
      <c r="N336" s="343" t="str">
        <f t="shared" si="19"/>
        <v>PIG H | PIG H — BAIXA D45 (CUSTO COMPLETO H COM SELO/CORDA) | DN 24''|46241</v>
      </c>
    </row>
    <row r="337" spans="1:14" x14ac:dyDescent="0.3">
      <c r="A337" s="332"/>
      <c r="B337" s="335" t="s">
        <v>330</v>
      </c>
      <c r="C337" s="336" t="s">
        <v>1520</v>
      </c>
      <c r="D337" s="337">
        <f t="shared" si="16"/>
        <v>1236.53311841867</v>
      </c>
      <c r="E337" s="332"/>
      <c r="F337" s="338">
        <v>46241</v>
      </c>
      <c r="G337" s="339" t="s">
        <v>1520</v>
      </c>
      <c r="H337" s="339" t="s">
        <v>330</v>
      </c>
      <c r="I337" s="339" t="s">
        <v>1522</v>
      </c>
      <c r="J337" s="340">
        <v>1236.53311841867</v>
      </c>
      <c r="K337" s="341" t="str">
        <f t="shared" si="17"/>
        <v>1º registro</v>
      </c>
      <c r="L337" s="342" t="str">
        <f t="shared" si="18"/>
        <v/>
      </c>
      <c r="M337" s="339" t="s">
        <v>1523</v>
      </c>
      <c r="N337" s="343" t="str">
        <f t="shared" si="19"/>
        <v>PIG H | PIG H — BAIXA D45 (CUSTO COMPLETO H) | DN 26''|46241</v>
      </c>
    </row>
    <row r="338" spans="1:14" x14ac:dyDescent="0.3">
      <c r="A338" s="332"/>
      <c r="B338" s="335" t="s">
        <v>331</v>
      </c>
      <c r="C338" s="336" t="s">
        <v>1520</v>
      </c>
      <c r="D338" s="337">
        <f t="shared" si="16"/>
        <v>1264.54409208533</v>
      </c>
      <c r="E338" s="332"/>
      <c r="F338" s="338">
        <v>46241</v>
      </c>
      <c r="G338" s="339" t="s">
        <v>1520</v>
      </c>
      <c r="H338" s="339" t="s">
        <v>331</v>
      </c>
      <c r="I338" s="339" t="s">
        <v>1522</v>
      </c>
      <c r="J338" s="340">
        <v>1264.54409208533</v>
      </c>
      <c r="K338" s="341" t="str">
        <f t="shared" si="17"/>
        <v>1º registro</v>
      </c>
      <c r="L338" s="342" t="str">
        <f t="shared" si="18"/>
        <v/>
      </c>
      <c r="M338" s="339" t="s">
        <v>1523</v>
      </c>
      <c r="N338" s="343" t="str">
        <f t="shared" si="19"/>
        <v>PIG H | PIG H — BAIXA D45 (CUSTO COMPLETO H COM SELO) | DN 26''|46241</v>
      </c>
    </row>
    <row r="339" spans="1:14" x14ac:dyDescent="0.3">
      <c r="A339" s="332"/>
      <c r="B339" s="335" t="s">
        <v>332</v>
      </c>
      <c r="C339" s="336" t="s">
        <v>1520</v>
      </c>
      <c r="D339" s="337">
        <f t="shared" si="16"/>
        <v>1295.2440920853301</v>
      </c>
      <c r="E339" s="332"/>
      <c r="F339" s="338">
        <v>46241</v>
      </c>
      <c r="G339" s="339" t="s">
        <v>1520</v>
      </c>
      <c r="H339" s="339" t="s">
        <v>332</v>
      </c>
      <c r="I339" s="339" t="s">
        <v>1522</v>
      </c>
      <c r="J339" s="340">
        <v>1295.2440920853301</v>
      </c>
      <c r="K339" s="341" t="str">
        <f t="shared" si="17"/>
        <v>1º registro</v>
      </c>
      <c r="L339" s="342" t="str">
        <f t="shared" si="18"/>
        <v/>
      </c>
      <c r="M339" s="339" t="s">
        <v>1523</v>
      </c>
      <c r="N339" s="343" t="str">
        <f t="shared" si="19"/>
        <v>PIG H | PIG H — BAIXA D45 (CUSTO COMPLETO H COM SELO/CORDA) | DN 26''|46241</v>
      </c>
    </row>
    <row r="340" spans="1:14" x14ac:dyDescent="0.3">
      <c r="A340" s="332"/>
      <c r="B340" s="335" t="s">
        <v>333</v>
      </c>
      <c r="C340" s="336" t="s">
        <v>1520</v>
      </c>
      <c r="D340" s="337">
        <f t="shared" si="16"/>
        <v>1540.3878361520001</v>
      </c>
      <c r="E340" s="332"/>
      <c r="F340" s="338">
        <v>46241</v>
      </c>
      <c r="G340" s="339" t="s">
        <v>1520</v>
      </c>
      <c r="H340" s="339" t="s">
        <v>333</v>
      </c>
      <c r="I340" s="339" t="s">
        <v>1522</v>
      </c>
      <c r="J340" s="340">
        <v>1540.3878361520001</v>
      </c>
      <c r="K340" s="341" t="str">
        <f t="shared" si="17"/>
        <v>1º registro</v>
      </c>
      <c r="L340" s="342" t="str">
        <f t="shared" si="18"/>
        <v/>
      </c>
      <c r="M340" s="339" t="s">
        <v>1523</v>
      </c>
      <c r="N340" s="343" t="str">
        <f t="shared" si="19"/>
        <v>PIG H | PIG H — BAIXA D45 (CUSTO COMPLETO H) | DN 28''|46241</v>
      </c>
    </row>
    <row r="341" spans="1:14" x14ac:dyDescent="0.3">
      <c r="A341" s="332"/>
      <c r="B341" s="335" t="s">
        <v>334</v>
      </c>
      <c r="C341" s="336" t="s">
        <v>1520</v>
      </c>
      <c r="D341" s="337">
        <f t="shared" si="16"/>
        <v>1575.3121861520001</v>
      </c>
      <c r="E341" s="332"/>
      <c r="F341" s="338">
        <v>46241</v>
      </c>
      <c r="G341" s="339" t="s">
        <v>1520</v>
      </c>
      <c r="H341" s="339" t="s">
        <v>334</v>
      </c>
      <c r="I341" s="339" t="s">
        <v>1522</v>
      </c>
      <c r="J341" s="340">
        <v>1575.3121861520001</v>
      </c>
      <c r="K341" s="341" t="str">
        <f t="shared" si="17"/>
        <v>1º registro</v>
      </c>
      <c r="L341" s="342" t="str">
        <f t="shared" si="18"/>
        <v/>
      </c>
      <c r="M341" s="339" t="s">
        <v>1523</v>
      </c>
      <c r="N341" s="343" t="str">
        <f t="shared" si="19"/>
        <v>PIG H | PIG H — BAIXA D45 (CUSTO COMPLETO H COM SELO) | DN 28''|46241</v>
      </c>
    </row>
    <row r="342" spans="1:14" x14ac:dyDescent="0.3">
      <c r="A342" s="332"/>
      <c r="B342" s="335" t="s">
        <v>335</v>
      </c>
      <c r="C342" s="336" t="s">
        <v>1520</v>
      </c>
      <c r="D342" s="337">
        <f t="shared" ref="D342:D405" si="20">IF($B342="","",IFERROR(INDEX($J$21:$J$1200,MATCH($B342&amp;"|"&amp;TEXT(_xlfn.MAXIFS($F$21:$F$1200,$H$21:$H$1200,$B342,$F$21:$F$1200,"&lt;="&amp;EOMONTH(D$20,0)),"0"),$N$21:$N$1200,0)),"-"))</f>
        <v>1584.6455194853299</v>
      </c>
      <c r="E342" s="332"/>
      <c r="F342" s="338">
        <v>46241</v>
      </c>
      <c r="G342" s="339" t="s">
        <v>1520</v>
      </c>
      <c r="H342" s="339" t="s">
        <v>335</v>
      </c>
      <c r="I342" s="339" t="s">
        <v>1522</v>
      </c>
      <c r="J342" s="340">
        <v>1584.6455194853299</v>
      </c>
      <c r="K342" s="341" t="str">
        <f t="shared" ref="K342:K405" si="21">IF($H342="","",IFERROR(INDEX($J$21:$J$1200,MATCH($H342&amp;"|"&amp;TEXT(_xlfn.MAXIFS($F$21:$F$1200,$H$21:$H$1200,$H342,$F$21:$F$1200,"&lt;"&amp;$F342),"0"),$N$21:$N$1200,0)),"1º registro"))</f>
        <v>1º registro</v>
      </c>
      <c r="L342" s="342" t="str">
        <f t="shared" ref="L342:L405" si="22">IF(OR($H342="",$K342="1º registro"),"",IFERROR(($J342-$K342)/$K342,""))</f>
        <v/>
      </c>
      <c r="M342" s="339" t="s">
        <v>1523</v>
      </c>
      <c r="N342" s="343" t="str">
        <f t="shared" ref="N342:N405" si="23">IF($H342="","",$H342&amp;"|"&amp;TEXT($F342,"0"))</f>
        <v>PIG H | PIG H — BAIXA D45 (CUSTO COMPLETO H COM SELO/CORDA) | DN 28''|46241</v>
      </c>
    </row>
    <row r="343" spans="1:14" x14ac:dyDescent="0.3">
      <c r="A343" s="332"/>
      <c r="B343" s="335" t="s">
        <v>336</v>
      </c>
      <c r="C343" s="336" t="s">
        <v>1520</v>
      </c>
      <c r="D343" s="337">
        <f t="shared" si="20"/>
        <v>1867.9350943760001</v>
      </c>
      <c r="E343" s="332"/>
      <c r="F343" s="338">
        <v>46241</v>
      </c>
      <c r="G343" s="339" t="s">
        <v>1520</v>
      </c>
      <c r="H343" s="339" t="s">
        <v>336</v>
      </c>
      <c r="I343" s="339" t="s">
        <v>1522</v>
      </c>
      <c r="J343" s="340">
        <v>1867.9350943760001</v>
      </c>
      <c r="K343" s="341" t="str">
        <f t="shared" si="21"/>
        <v>1º registro</v>
      </c>
      <c r="L343" s="342" t="str">
        <f t="shared" si="22"/>
        <v/>
      </c>
      <c r="M343" s="339" t="s">
        <v>1523</v>
      </c>
      <c r="N343" s="343" t="str">
        <f t="shared" si="23"/>
        <v>PIG H | PIG H — BAIXA D45 (CUSTO COMPLETO H) | DN 30''|46241</v>
      </c>
    </row>
    <row r="344" spans="1:14" x14ac:dyDescent="0.3">
      <c r="A344" s="332"/>
      <c r="B344" s="335" t="s">
        <v>337</v>
      </c>
      <c r="C344" s="336" t="s">
        <v>1520</v>
      </c>
      <c r="D344" s="337">
        <f t="shared" si="20"/>
        <v>1906.4848043760001</v>
      </c>
      <c r="E344" s="332"/>
      <c r="F344" s="338">
        <v>46241</v>
      </c>
      <c r="G344" s="339" t="s">
        <v>1520</v>
      </c>
      <c r="H344" s="339" t="s">
        <v>337</v>
      </c>
      <c r="I344" s="339" t="s">
        <v>1522</v>
      </c>
      <c r="J344" s="340">
        <v>1906.4848043760001</v>
      </c>
      <c r="K344" s="341" t="str">
        <f t="shared" si="21"/>
        <v>1º registro</v>
      </c>
      <c r="L344" s="342" t="str">
        <f t="shared" si="22"/>
        <v/>
      </c>
      <c r="M344" s="339" t="s">
        <v>1523</v>
      </c>
      <c r="N344" s="343" t="str">
        <f t="shared" si="23"/>
        <v>PIG H | PIG H — BAIXA D45 (CUSTO COMPLETO H COM SELO) | DN 30''|46241</v>
      </c>
    </row>
    <row r="345" spans="1:14" x14ac:dyDescent="0.3">
      <c r="A345" s="332"/>
      <c r="B345" s="335" t="s">
        <v>338</v>
      </c>
      <c r="C345" s="336" t="s">
        <v>1520</v>
      </c>
      <c r="D345" s="337">
        <f t="shared" si="20"/>
        <v>1984.4514710426699</v>
      </c>
      <c r="E345" s="332"/>
      <c r="F345" s="338">
        <v>46241</v>
      </c>
      <c r="G345" s="339" t="s">
        <v>1520</v>
      </c>
      <c r="H345" s="339" t="s">
        <v>338</v>
      </c>
      <c r="I345" s="339" t="s">
        <v>1522</v>
      </c>
      <c r="J345" s="340">
        <v>1984.4514710426699</v>
      </c>
      <c r="K345" s="341" t="str">
        <f t="shared" si="21"/>
        <v>1º registro</v>
      </c>
      <c r="L345" s="342" t="str">
        <f t="shared" si="22"/>
        <v/>
      </c>
      <c r="M345" s="339" t="s">
        <v>1523</v>
      </c>
      <c r="N345" s="343" t="str">
        <f t="shared" si="23"/>
        <v>PIG H | PIG H — BAIXA D45 (CUSTO COMPLETO H COM SELO/CORDA) | DN 30''|46241</v>
      </c>
    </row>
    <row r="346" spans="1:14" x14ac:dyDescent="0.3">
      <c r="A346" s="332"/>
      <c r="B346" s="335" t="s">
        <v>339</v>
      </c>
      <c r="C346" s="336" t="s">
        <v>1520</v>
      </c>
      <c r="D346" s="337">
        <f t="shared" si="20"/>
        <v>2240.3926741280002</v>
      </c>
      <c r="E346" s="332"/>
      <c r="F346" s="338">
        <v>46241</v>
      </c>
      <c r="G346" s="339" t="s">
        <v>1520</v>
      </c>
      <c r="H346" s="339" t="s">
        <v>339</v>
      </c>
      <c r="I346" s="339" t="s">
        <v>1522</v>
      </c>
      <c r="J346" s="340">
        <v>2240.3926741280002</v>
      </c>
      <c r="K346" s="341" t="str">
        <f t="shared" si="21"/>
        <v>1º registro</v>
      </c>
      <c r="L346" s="342" t="str">
        <f t="shared" si="22"/>
        <v/>
      </c>
      <c r="M346" s="339" t="s">
        <v>1523</v>
      </c>
      <c r="N346" s="343" t="str">
        <f t="shared" si="23"/>
        <v>PIG H | PIG H — BAIXA D45 (CUSTO COMPLETO H) | DN 32''|46241</v>
      </c>
    </row>
    <row r="347" spans="1:14" x14ac:dyDescent="0.3">
      <c r="A347" s="332"/>
      <c r="B347" s="335" t="s">
        <v>340</v>
      </c>
      <c r="C347" s="336" t="s">
        <v>1520</v>
      </c>
      <c r="D347" s="337">
        <f t="shared" si="20"/>
        <v>2282.1145741280002</v>
      </c>
      <c r="E347" s="332"/>
      <c r="F347" s="338">
        <v>46241</v>
      </c>
      <c r="G347" s="339" t="s">
        <v>1520</v>
      </c>
      <c r="H347" s="339" t="s">
        <v>340</v>
      </c>
      <c r="I347" s="339" t="s">
        <v>1522</v>
      </c>
      <c r="J347" s="340">
        <v>2282.1145741280002</v>
      </c>
      <c r="K347" s="341" t="str">
        <f t="shared" si="21"/>
        <v>1º registro</v>
      </c>
      <c r="L347" s="342" t="str">
        <f t="shared" si="22"/>
        <v/>
      </c>
      <c r="M347" s="339" t="s">
        <v>1523</v>
      </c>
      <c r="N347" s="343" t="str">
        <f t="shared" si="23"/>
        <v>PIG H | PIG H — BAIXA D45 (CUSTO COMPLETO H COM SELO) | DN 32''|46241</v>
      </c>
    </row>
    <row r="348" spans="1:14" x14ac:dyDescent="0.3">
      <c r="A348" s="332"/>
      <c r="B348" s="335" t="s">
        <v>341</v>
      </c>
      <c r="C348" s="336" t="s">
        <v>1520</v>
      </c>
      <c r="D348" s="337">
        <f t="shared" si="20"/>
        <v>2360.3812407946698</v>
      </c>
      <c r="E348" s="332"/>
      <c r="F348" s="338">
        <v>46241</v>
      </c>
      <c r="G348" s="339" t="s">
        <v>1520</v>
      </c>
      <c r="H348" s="339" t="s">
        <v>341</v>
      </c>
      <c r="I348" s="339" t="s">
        <v>1522</v>
      </c>
      <c r="J348" s="340">
        <v>2360.3812407946698</v>
      </c>
      <c r="K348" s="341" t="str">
        <f t="shared" si="21"/>
        <v>1º registro</v>
      </c>
      <c r="L348" s="342" t="str">
        <f t="shared" si="22"/>
        <v/>
      </c>
      <c r="M348" s="339" t="s">
        <v>1523</v>
      </c>
      <c r="N348" s="343" t="str">
        <f t="shared" si="23"/>
        <v>PIG H | PIG H — BAIXA D45 (CUSTO COMPLETO H COM SELO/CORDA) | DN 32''|46241</v>
      </c>
    </row>
    <row r="349" spans="1:14" x14ac:dyDescent="0.3">
      <c r="A349" s="332"/>
      <c r="B349" s="335" t="s">
        <v>342</v>
      </c>
      <c r="C349" s="336" t="s">
        <v>1520</v>
      </c>
      <c r="D349" s="337">
        <f t="shared" si="20"/>
        <v>2715.644661456</v>
      </c>
      <c r="E349" s="332"/>
      <c r="F349" s="338">
        <v>46241</v>
      </c>
      <c r="G349" s="339" t="s">
        <v>1520</v>
      </c>
      <c r="H349" s="339" t="s">
        <v>342</v>
      </c>
      <c r="I349" s="339" t="s">
        <v>1522</v>
      </c>
      <c r="J349" s="340">
        <v>2715.644661456</v>
      </c>
      <c r="K349" s="341" t="str">
        <f t="shared" si="21"/>
        <v>1º registro</v>
      </c>
      <c r="L349" s="342" t="str">
        <f t="shared" si="22"/>
        <v/>
      </c>
      <c r="M349" s="339" t="s">
        <v>1523</v>
      </c>
      <c r="N349" s="343" t="str">
        <f t="shared" si="23"/>
        <v>PIG H | PIG H — BAIXA D45 (CUSTO COMPLETO H) | DN 34''|46241</v>
      </c>
    </row>
    <row r="350" spans="1:14" x14ac:dyDescent="0.3">
      <c r="A350" s="332"/>
      <c r="B350" s="335" t="s">
        <v>343</v>
      </c>
      <c r="C350" s="336" t="s">
        <v>1520</v>
      </c>
      <c r="D350" s="337">
        <f t="shared" si="20"/>
        <v>2770.991921456</v>
      </c>
      <c r="E350" s="332"/>
      <c r="F350" s="338">
        <v>46241</v>
      </c>
      <c r="G350" s="339" t="s">
        <v>1520</v>
      </c>
      <c r="H350" s="339" t="s">
        <v>343</v>
      </c>
      <c r="I350" s="339" t="s">
        <v>1522</v>
      </c>
      <c r="J350" s="340">
        <v>2770.991921456</v>
      </c>
      <c r="K350" s="341" t="str">
        <f t="shared" si="21"/>
        <v>1º registro</v>
      </c>
      <c r="L350" s="342" t="str">
        <f t="shared" si="22"/>
        <v/>
      </c>
      <c r="M350" s="339" t="s">
        <v>1523</v>
      </c>
      <c r="N350" s="343" t="str">
        <f t="shared" si="23"/>
        <v>PIG H | PIG H — BAIXA D45 (CUSTO COMPLETO H COM SELO) | DN 34''|46241</v>
      </c>
    </row>
    <row r="351" spans="1:14" x14ac:dyDescent="0.3">
      <c r="A351" s="332"/>
      <c r="B351" s="335" t="s">
        <v>344</v>
      </c>
      <c r="C351" s="336" t="s">
        <v>1520</v>
      </c>
      <c r="D351" s="337">
        <f t="shared" si="20"/>
        <v>2784.5585881226698</v>
      </c>
      <c r="E351" s="332"/>
      <c r="F351" s="338">
        <v>46241</v>
      </c>
      <c r="G351" s="339" t="s">
        <v>1520</v>
      </c>
      <c r="H351" s="339" t="s">
        <v>344</v>
      </c>
      <c r="I351" s="339" t="s">
        <v>1522</v>
      </c>
      <c r="J351" s="340">
        <v>2784.5585881226698</v>
      </c>
      <c r="K351" s="341" t="str">
        <f t="shared" si="21"/>
        <v>1º registro</v>
      </c>
      <c r="L351" s="342" t="str">
        <f t="shared" si="22"/>
        <v/>
      </c>
      <c r="M351" s="339" t="s">
        <v>1523</v>
      </c>
      <c r="N351" s="343" t="str">
        <f t="shared" si="23"/>
        <v>PIG H | PIG H — BAIXA D45 (CUSTO COMPLETO H COM SELO/CORDA) | DN 34''|46241</v>
      </c>
    </row>
    <row r="352" spans="1:14" x14ac:dyDescent="0.3">
      <c r="A352" s="332"/>
      <c r="B352" s="335" t="s">
        <v>345</v>
      </c>
      <c r="C352" s="336" t="s">
        <v>1520</v>
      </c>
      <c r="D352" s="337">
        <f t="shared" si="20"/>
        <v>3186.5755040640001</v>
      </c>
      <c r="E352" s="332"/>
      <c r="F352" s="338">
        <v>46241</v>
      </c>
      <c r="G352" s="339" t="s">
        <v>1520</v>
      </c>
      <c r="H352" s="339" t="s">
        <v>345</v>
      </c>
      <c r="I352" s="339" t="s">
        <v>1522</v>
      </c>
      <c r="J352" s="340">
        <v>3186.5755040640001</v>
      </c>
      <c r="K352" s="341" t="str">
        <f t="shared" si="21"/>
        <v>1º registro</v>
      </c>
      <c r="L352" s="342" t="str">
        <f t="shared" si="22"/>
        <v/>
      </c>
      <c r="M352" s="339" t="s">
        <v>1523</v>
      </c>
      <c r="N352" s="343" t="str">
        <f t="shared" si="23"/>
        <v>PIG H | PIG H — BAIXA D45 (CUSTO COMPLETO H) | DN 36''|46241</v>
      </c>
    </row>
    <row r="353" spans="1:14" x14ac:dyDescent="0.3">
      <c r="A353" s="332"/>
      <c r="B353" s="335" t="s">
        <v>346</v>
      </c>
      <c r="C353" s="336" t="s">
        <v>1520</v>
      </c>
      <c r="D353" s="337">
        <f t="shared" si="20"/>
        <v>3245.8653430640002</v>
      </c>
      <c r="E353" s="332"/>
      <c r="F353" s="338">
        <v>46241</v>
      </c>
      <c r="G353" s="339" t="s">
        <v>1520</v>
      </c>
      <c r="H353" s="339" t="s">
        <v>346</v>
      </c>
      <c r="I353" s="339" t="s">
        <v>1522</v>
      </c>
      <c r="J353" s="340">
        <v>3245.8653430640002</v>
      </c>
      <c r="K353" s="341" t="str">
        <f t="shared" si="21"/>
        <v>1º registro</v>
      </c>
      <c r="L353" s="342" t="str">
        <f t="shared" si="22"/>
        <v/>
      </c>
      <c r="M353" s="339" t="s">
        <v>1523</v>
      </c>
      <c r="N353" s="343" t="str">
        <f t="shared" si="23"/>
        <v>PIG H | PIG H — BAIXA D45 (CUSTO COMPLETO H COM SELO) | DN 36''|46241</v>
      </c>
    </row>
    <row r="354" spans="1:14" x14ac:dyDescent="0.3">
      <c r="A354" s="332"/>
      <c r="B354" s="335" t="s">
        <v>347</v>
      </c>
      <c r="C354" s="336" t="s">
        <v>1520</v>
      </c>
      <c r="D354" s="337">
        <f t="shared" si="20"/>
        <v>3259.85200973067</v>
      </c>
      <c r="E354" s="332"/>
      <c r="F354" s="338">
        <v>46241</v>
      </c>
      <c r="G354" s="339" t="s">
        <v>1520</v>
      </c>
      <c r="H354" s="339" t="s">
        <v>347</v>
      </c>
      <c r="I354" s="339" t="s">
        <v>1522</v>
      </c>
      <c r="J354" s="340">
        <v>3259.85200973067</v>
      </c>
      <c r="K354" s="341" t="str">
        <f t="shared" si="21"/>
        <v>1º registro</v>
      </c>
      <c r="L354" s="342" t="str">
        <f t="shared" si="22"/>
        <v/>
      </c>
      <c r="M354" s="339" t="s">
        <v>1523</v>
      </c>
      <c r="N354" s="343" t="str">
        <f t="shared" si="23"/>
        <v>PIG H | PIG H — BAIXA D45 (CUSTO COMPLETO H COM SELO/CORDA) | DN 36''|46241</v>
      </c>
    </row>
    <row r="355" spans="1:14" x14ac:dyDescent="0.3">
      <c r="A355" s="332"/>
      <c r="B355" s="335" t="s">
        <v>348</v>
      </c>
      <c r="C355" s="336" t="s">
        <v>1520</v>
      </c>
      <c r="D355" s="337">
        <f t="shared" si="20"/>
        <v>3751.0695291040001</v>
      </c>
      <c r="E355" s="332"/>
      <c r="F355" s="338">
        <v>46241</v>
      </c>
      <c r="G355" s="339" t="s">
        <v>1520</v>
      </c>
      <c r="H355" s="339" t="s">
        <v>348</v>
      </c>
      <c r="I355" s="339" t="s">
        <v>1522</v>
      </c>
      <c r="J355" s="340">
        <v>3751.0695291040001</v>
      </c>
      <c r="K355" s="341" t="str">
        <f t="shared" si="21"/>
        <v>1º registro</v>
      </c>
      <c r="L355" s="342" t="str">
        <f t="shared" si="22"/>
        <v/>
      </c>
      <c r="M355" s="339" t="s">
        <v>1523</v>
      </c>
      <c r="N355" s="343" t="str">
        <f t="shared" si="23"/>
        <v>PIG H | PIG H — BAIXA D45 (CUSTO COMPLETO H) | DN 38''|46241</v>
      </c>
    </row>
    <row r="356" spans="1:14" x14ac:dyDescent="0.3">
      <c r="A356" s="332"/>
      <c r="B356" s="335" t="s">
        <v>349</v>
      </c>
      <c r="C356" s="336" t="s">
        <v>1520</v>
      </c>
      <c r="D356" s="337">
        <f t="shared" si="20"/>
        <v>3816.3865291040001</v>
      </c>
      <c r="E356" s="332"/>
      <c r="F356" s="338">
        <v>46241</v>
      </c>
      <c r="G356" s="339" t="s">
        <v>1520</v>
      </c>
      <c r="H356" s="339" t="s">
        <v>349</v>
      </c>
      <c r="I356" s="339" t="s">
        <v>1522</v>
      </c>
      <c r="J356" s="340">
        <v>3816.3865291040001</v>
      </c>
      <c r="K356" s="341" t="str">
        <f t="shared" si="21"/>
        <v>1º registro</v>
      </c>
      <c r="L356" s="342" t="str">
        <f t="shared" si="22"/>
        <v/>
      </c>
      <c r="M356" s="339" t="s">
        <v>1523</v>
      </c>
      <c r="N356" s="343" t="str">
        <f t="shared" si="23"/>
        <v>PIG H | PIG H — BAIXA D45 (CUSTO COMPLETO H COM SELO) | DN 38''|46241</v>
      </c>
    </row>
    <row r="357" spans="1:14" x14ac:dyDescent="0.3">
      <c r="A357" s="332"/>
      <c r="B357" s="335" t="s">
        <v>350</v>
      </c>
      <c r="C357" s="336" t="s">
        <v>1520</v>
      </c>
      <c r="D357" s="337">
        <f t="shared" si="20"/>
        <v>3830.7331957706701</v>
      </c>
      <c r="E357" s="332"/>
      <c r="F357" s="338">
        <v>46241</v>
      </c>
      <c r="G357" s="339" t="s">
        <v>1520</v>
      </c>
      <c r="H357" s="339" t="s">
        <v>350</v>
      </c>
      <c r="I357" s="339" t="s">
        <v>1522</v>
      </c>
      <c r="J357" s="340">
        <v>3830.7331957706701</v>
      </c>
      <c r="K357" s="341" t="str">
        <f t="shared" si="21"/>
        <v>1º registro</v>
      </c>
      <c r="L357" s="342" t="str">
        <f t="shared" si="22"/>
        <v/>
      </c>
      <c r="M357" s="339" t="s">
        <v>1523</v>
      </c>
      <c r="N357" s="343" t="str">
        <f t="shared" si="23"/>
        <v>PIG H | PIG H — BAIXA D45 (CUSTO COMPLETO H COM SELO/CORDA) | DN 38''|46241</v>
      </c>
    </row>
    <row r="358" spans="1:14" x14ac:dyDescent="0.3">
      <c r="A358" s="332"/>
      <c r="B358" s="335" t="s">
        <v>351</v>
      </c>
      <c r="C358" s="336" t="s">
        <v>1520</v>
      </c>
      <c r="D358" s="337">
        <f t="shared" si="20"/>
        <v>4332.010822624</v>
      </c>
      <c r="E358" s="332"/>
      <c r="F358" s="338">
        <v>46241</v>
      </c>
      <c r="G358" s="339" t="s">
        <v>1520</v>
      </c>
      <c r="H358" s="339" t="s">
        <v>351</v>
      </c>
      <c r="I358" s="339" t="s">
        <v>1522</v>
      </c>
      <c r="J358" s="340">
        <v>4332.010822624</v>
      </c>
      <c r="K358" s="341" t="str">
        <f t="shared" si="21"/>
        <v>1º registro</v>
      </c>
      <c r="L358" s="342" t="str">
        <f t="shared" si="22"/>
        <v/>
      </c>
      <c r="M358" s="339" t="s">
        <v>1523</v>
      </c>
      <c r="N358" s="343" t="str">
        <f t="shared" si="23"/>
        <v>PIG H | PIG H — BAIXA D45 (CUSTO COMPLETO H) | DN 40''|46241</v>
      </c>
    </row>
    <row r="359" spans="1:14" x14ac:dyDescent="0.3">
      <c r="A359" s="332"/>
      <c r="B359" s="335" t="s">
        <v>352</v>
      </c>
      <c r="C359" s="336" t="s">
        <v>1520</v>
      </c>
      <c r="D359" s="337">
        <f t="shared" si="20"/>
        <v>4400.953182624</v>
      </c>
      <c r="E359" s="332"/>
      <c r="F359" s="338">
        <v>46241</v>
      </c>
      <c r="G359" s="339" t="s">
        <v>1520</v>
      </c>
      <c r="H359" s="339" t="s">
        <v>352</v>
      </c>
      <c r="I359" s="339" t="s">
        <v>1522</v>
      </c>
      <c r="J359" s="340">
        <v>4400.953182624</v>
      </c>
      <c r="K359" s="341" t="str">
        <f t="shared" si="21"/>
        <v>1º registro</v>
      </c>
      <c r="L359" s="342" t="str">
        <f t="shared" si="22"/>
        <v/>
      </c>
      <c r="M359" s="339" t="s">
        <v>1523</v>
      </c>
      <c r="N359" s="343" t="str">
        <f t="shared" si="23"/>
        <v>PIG H | PIG H — BAIXA D45 (CUSTO COMPLETO H COM SELO) | DN 40''|46241</v>
      </c>
    </row>
    <row r="360" spans="1:14" x14ac:dyDescent="0.3">
      <c r="A360" s="332"/>
      <c r="B360" s="335" t="s">
        <v>353</v>
      </c>
      <c r="C360" s="336" t="s">
        <v>1520</v>
      </c>
      <c r="D360" s="337">
        <f t="shared" si="20"/>
        <v>4415.6598492906696</v>
      </c>
      <c r="E360" s="332"/>
      <c r="F360" s="338">
        <v>46241</v>
      </c>
      <c r="G360" s="339" t="s">
        <v>1520</v>
      </c>
      <c r="H360" s="339" t="s">
        <v>353</v>
      </c>
      <c r="I360" s="339" t="s">
        <v>1522</v>
      </c>
      <c r="J360" s="340">
        <v>4415.6598492906696</v>
      </c>
      <c r="K360" s="341" t="str">
        <f t="shared" si="21"/>
        <v>1º registro</v>
      </c>
      <c r="L360" s="342" t="str">
        <f t="shared" si="22"/>
        <v/>
      </c>
      <c r="M360" s="339" t="s">
        <v>1523</v>
      </c>
      <c r="N360" s="343" t="str">
        <f t="shared" si="23"/>
        <v>PIG H | PIG H — BAIXA D45 (CUSTO COMPLETO H COM SELO/CORDA) | DN 40''|46241</v>
      </c>
    </row>
    <row r="361" spans="1:14" x14ac:dyDescent="0.3">
      <c r="A361" s="332"/>
      <c r="B361" s="335" t="s">
        <v>354</v>
      </c>
      <c r="C361" s="336" t="s">
        <v>1520</v>
      </c>
      <c r="D361" s="337">
        <f t="shared" si="20"/>
        <v>4972.2839528799996</v>
      </c>
      <c r="E361" s="332"/>
      <c r="F361" s="338">
        <v>46241</v>
      </c>
      <c r="G361" s="339" t="s">
        <v>1520</v>
      </c>
      <c r="H361" s="339" t="s">
        <v>354</v>
      </c>
      <c r="I361" s="339" t="s">
        <v>1522</v>
      </c>
      <c r="J361" s="340">
        <v>4972.2839528799996</v>
      </c>
      <c r="K361" s="341" t="str">
        <f t="shared" si="21"/>
        <v>1º registro</v>
      </c>
      <c r="L361" s="342" t="str">
        <f t="shared" si="22"/>
        <v/>
      </c>
      <c r="M361" s="339" t="s">
        <v>1523</v>
      </c>
      <c r="N361" s="343" t="str">
        <f t="shared" si="23"/>
        <v>PIG H | PIG H — BAIXA D45 (CUSTO COMPLETO H) | DN 42''|46241</v>
      </c>
    </row>
    <row r="362" spans="1:14" x14ac:dyDescent="0.3">
      <c r="A362" s="332"/>
      <c r="B362" s="335" t="s">
        <v>355</v>
      </c>
      <c r="C362" s="336" t="s">
        <v>1520</v>
      </c>
      <c r="D362" s="337">
        <f t="shared" si="20"/>
        <v>5044.9423068799997</v>
      </c>
      <c r="E362" s="332"/>
      <c r="F362" s="338">
        <v>46241</v>
      </c>
      <c r="G362" s="339" t="s">
        <v>1520</v>
      </c>
      <c r="H362" s="339" t="s">
        <v>355</v>
      </c>
      <c r="I362" s="339" t="s">
        <v>1522</v>
      </c>
      <c r="J362" s="340">
        <v>5044.9423068799997</v>
      </c>
      <c r="K362" s="341" t="str">
        <f t="shared" si="21"/>
        <v>1º registro</v>
      </c>
      <c r="L362" s="342" t="str">
        <f t="shared" si="22"/>
        <v/>
      </c>
      <c r="M362" s="339" t="s">
        <v>1523</v>
      </c>
      <c r="N362" s="343" t="str">
        <f t="shared" si="23"/>
        <v>PIG H | PIG H — BAIXA D45 (CUSTO COMPLETO H COM SELO) | DN 42''|46241</v>
      </c>
    </row>
    <row r="363" spans="1:14" x14ac:dyDescent="0.3">
      <c r="A363" s="332"/>
      <c r="B363" s="335" t="s">
        <v>356</v>
      </c>
      <c r="C363" s="336" t="s">
        <v>1520</v>
      </c>
      <c r="D363" s="337">
        <f t="shared" si="20"/>
        <v>5059.8889735466701</v>
      </c>
      <c r="E363" s="332"/>
      <c r="F363" s="338">
        <v>46241</v>
      </c>
      <c r="G363" s="339" t="s">
        <v>1520</v>
      </c>
      <c r="H363" s="339" t="s">
        <v>356</v>
      </c>
      <c r="I363" s="339" t="s">
        <v>1522</v>
      </c>
      <c r="J363" s="340">
        <v>5059.8889735466701</v>
      </c>
      <c r="K363" s="341" t="str">
        <f t="shared" si="21"/>
        <v>1º registro</v>
      </c>
      <c r="L363" s="342" t="str">
        <f t="shared" si="22"/>
        <v/>
      </c>
      <c r="M363" s="339" t="s">
        <v>1523</v>
      </c>
      <c r="N363" s="343" t="str">
        <f t="shared" si="23"/>
        <v>PIG H | PIG H — BAIXA D45 (CUSTO COMPLETO H COM SELO/CORDA) | DN 42''|46241</v>
      </c>
    </row>
    <row r="364" spans="1:14" x14ac:dyDescent="0.3">
      <c r="A364" s="332"/>
      <c r="B364" s="335" t="s">
        <v>357</v>
      </c>
      <c r="C364" s="336" t="s">
        <v>1520</v>
      </c>
      <c r="D364" s="337">
        <f t="shared" si="20"/>
        <v>5674.7730059200003</v>
      </c>
      <c r="E364" s="332"/>
      <c r="F364" s="338">
        <v>46241</v>
      </c>
      <c r="G364" s="339" t="s">
        <v>1520</v>
      </c>
      <c r="H364" s="339" t="s">
        <v>357</v>
      </c>
      <c r="I364" s="339" t="s">
        <v>1522</v>
      </c>
      <c r="J364" s="340">
        <v>5674.7730059200003</v>
      </c>
      <c r="K364" s="341" t="str">
        <f t="shared" si="21"/>
        <v>1º registro</v>
      </c>
      <c r="L364" s="342" t="str">
        <f t="shared" si="22"/>
        <v/>
      </c>
      <c r="M364" s="339" t="s">
        <v>1523</v>
      </c>
      <c r="N364" s="343" t="str">
        <f t="shared" si="23"/>
        <v>PIG H | PIG H — BAIXA D45 (CUSTO COMPLETO H) | DN 44''|46241</v>
      </c>
    </row>
    <row r="365" spans="1:14" x14ac:dyDescent="0.3">
      <c r="A365" s="332"/>
      <c r="B365" s="335" t="s">
        <v>358</v>
      </c>
      <c r="C365" s="336" t="s">
        <v>1520</v>
      </c>
      <c r="D365" s="337">
        <f t="shared" si="20"/>
        <v>5752.3255959199996</v>
      </c>
      <c r="E365" s="332"/>
      <c r="F365" s="338">
        <v>46241</v>
      </c>
      <c r="G365" s="339" t="s">
        <v>1520</v>
      </c>
      <c r="H365" s="339" t="s">
        <v>358</v>
      </c>
      <c r="I365" s="339" t="s">
        <v>1522</v>
      </c>
      <c r="J365" s="340">
        <v>5752.3255959199996</v>
      </c>
      <c r="K365" s="341" t="str">
        <f t="shared" si="21"/>
        <v>1º registro</v>
      </c>
      <c r="L365" s="342" t="str">
        <f t="shared" si="22"/>
        <v/>
      </c>
      <c r="M365" s="339" t="s">
        <v>1523</v>
      </c>
      <c r="N365" s="343" t="str">
        <f t="shared" si="23"/>
        <v>PIG H | PIG H — BAIXA D45 (CUSTO COMPLETO H COM SELO) | DN 44''|46241</v>
      </c>
    </row>
    <row r="366" spans="1:14" x14ac:dyDescent="0.3">
      <c r="A366" s="332"/>
      <c r="B366" s="335" t="s">
        <v>359</v>
      </c>
      <c r="C366" s="336" t="s">
        <v>1520</v>
      </c>
      <c r="D366" s="337">
        <f t="shared" si="20"/>
        <v>5767.3922625866699</v>
      </c>
      <c r="E366" s="332"/>
      <c r="F366" s="338">
        <v>46241</v>
      </c>
      <c r="G366" s="339" t="s">
        <v>1520</v>
      </c>
      <c r="H366" s="339" t="s">
        <v>359</v>
      </c>
      <c r="I366" s="339" t="s">
        <v>1522</v>
      </c>
      <c r="J366" s="340">
        <v>5767.3922625866699</v>
      </c>
      <c r="K366" s="341" t="str">
        <f t="shared" si="21"/>
        <v>1º registro</v>
      </c>
      <c r="L366" s="342" t="str">
        <f t="shared" si="22"/>
        <v/>
      </c>
      <c r="M366" s="339" t="s">
        <v>1523</v>
      </c>
      <c r="N366" s="343" t="str">
        <f t="shared" si="23"/>
        <v>PIG H | PIG H — BAIXA D45 (CUSTO COMPLETO H COM SELO/CORDA) | DN 44''|46241</v>
      </c>
    </row>
    <row r="367" spans="1:14" x14ac:dyDescent="0.3">
      <c r="A367" s="332"/>
      <c r="B367" s="335" t="s">
        <v>360</v>
      </c>
      <c r="C367" s="336" t="s">
        <v>1520</v>
      </c>
      <c r="D367" s="337">
        <f t="shared" si="20"/>
        <v>2.2263981066666698</v>
      </c>
      <c r="E367" s="332"/>
      <c r="F367" s="338">
        <v>46241</v>
      </c>
      <c r="G367" s="339" t="s">
        <v>1520</v>
      </c>
      <c r="H367" s="339" t="s">
        <v>360</v>
      </c>
      <c r="I367" s="339" t="s">
        <v>1522</v>
      </c>
      <c r="J367" s="340">
        <v>2.2263981066666698</v>
      </c>
      <c r="K367" s="341" t="str">
        <f t="shared" si="21"/>
        <v>1º registro</v>
      </c>
      <c r="L367" s="342" t="str">
        <f t="shared" si="22"/>
        <v/>
      </c>
      <c r="M367" s="339" t="s">
        <v>1523</v>
      </c>
      <c r="N367" s="343" t="str">
        <f t="shared" si="23"/>
        <v>PIG H | PIG H — BAIXA D60 (CUSTO COMPLETO H) | DN 1''|46241</v>
      </c>
    </row>
    <row r="368" spans="1:14" x14ac:dyDescent="0.3">
      <c r="A368" s="332"/>
      <c r="B368" s="335" t="s">
        <v>362</v>
      </c>
      <c r="C368" s="336" t="s">
        <v>1520</v>
      </c>
      <c r="D368" s="337">
        <f t="shared" si="20"/>
        <v>3.5513178209523799</v>
      </c>
      <c r="E368" s="332"/>
      <c r="F368" s="338">
        <v>46241</v>
      </c>
      <c r="G368" s="339" t="s">
        <v>1520</v>
      </c>
      <c r="H368" s="339" t="s">
        <v>362</v>
      </c>
      <c r="I368" s="339" t="s">
        <v>1522</v>
      </c>
      <c r="J368" s="340">
        <v>3.5513178209523799</v>
      </c>
      <c r="K368" s="341" t="str">
        <f t="shared" si="21"/>
        <v>1º registro</v>
      </c>
      <c r="L368" s="342" t="str">
        <f t="shared" si="22"/>
        <v/>
      </c>
      <c r="M368" s="339" t="s">
        <v>1523</v>
      </c>
      <c r="N368" s="343" t="str">
        <f t="shared" si="23"/>
        <v>PIG H | PIG H — BAIXA D60 (CUSTO COMPLETO H COM SELO) | DN 1''|46241</v>
      </c>
    </row>
    <row r="369" spans="1:14" x14ac:dyDescent="0.3">
      <c r="A369" s="332"/>
      <c r="B369" s="335" t="s">
        <v>364</v>
      </c>
      <c r="C369" s="336" t="s">
        <v>1520</v>
      </c>
      <c r="D369" s="337">
        <f t="shared" si="20"/>
        <v>22.470365439999998</v>
      </c>
      <c r="E369" s="332"/>
      <c r="F369" s="338">
        <v>46241</v>
      </c>
      <c r="G369" s="339" t="s">
        <v>1520</v>
      </c>
      <c r="H369" s="339" t="s">
        <v>364</v>
      </c>
      <c r="I369" s="339" t="s">
        <v>1522</v>
      </c>
      <c r="J369" s="340">
        <v>22.470365439999998</v>
      </c>
      <c r="K369" s="341" t="str">
        <f t="shared" si="21"/>
        <v>1º registro</v>
      </c>
      <c r="L369" s="342" t="str">
        <f t="shared" si="22"/>
        <v/>
      </c>
      <c r="M369" s="339" t="s">
        <v>1523</v>
      </c>
      <c r="N369" s="343" t="str">
        <f t="shared" si="23"/>
        <v>PIG H | PIG H — BAIXA D60 (CUSTO COMPLETO H COM SELO/CORDA) | DN 1''|46241</v>
      </c>
    </row>
    <row r="370" spans="1:14" x14ac:dyDescent="0.3">
      <c r="A370" s="332"/>
      <c r="B370" s="335" t="s">
        <v>366</v>
      </c>
      <c r="C370" s="336" t="s">
        <v>1520</v>
      </c>
      <c r="D370" s="337">
        <f t="shared" si="20"/>
        <v>3.84484889066667</v>
      </c>
      <c r="E370" s="332"/>
      <c r="F370" s="338">
        <v>46241</v>
      </c>
      <c r="G370" s="339" t="s">
        <v>1520</v>
      </c>
      <c r="H370" s="339" t="s">
        <v>366</v>
      </c>
      <c r="I370" s="339" t="s">
        <v>1522</v>
      </c>
      <c r="J370" s="340">
        <v>3.84484889066667</v>
      </c>
      <c r="K370" s="341" t="str">
        <f t="shared" si="21"/>
        <v>1º registro</v>
      </c>
      <c r="L370" s="342" t="str">
        <f t="shared" si="22"/>
        <v/>
      </c>
      <c r="M370" s="339" t="s">
        <v>1523</v>
      </c>
      <c r="N370" s="343" t="str">
        <f t="shared" si="23"/>
        <v>PIG H | PIG H — BAIXA D60 (CUSTO COMPLETO H) | DN 2''|46241</v>
      </c>
    </row>
    <row r="371" spans="1:14" x14ac:dyDescent="0.3">
      <c r="A371" s="332"/>
      <c r="B371" s="335" t="s">
        <v>367</v>
      </c>
      <c r="C371" s="336" t="s">
        <v>1520</v>
      </c>
      <c r="D371" s="337">
        <f t="shared" si="20"/>
        <v>5.3510366049523803</v>
      </c>
      <c r="E371" s="332"/>
      <c r="F371" s="338">
        <v>46241</v>
      </c>
      <c r="G371" s="339" t="s">
        <v>1520</v>
      </c>
      <c r="H371" s="339" t="s">
        <v>367</v>
      </c>
      <c r="I371" s="339" t="s">
        <v>1522</v>
      </c>
      <c r="J371" s="340">
        <v>5.3510366049523803</v>
      </c>
      <c r="K371" s="341" t="str">
        <f t="shared" si="21"/>
        <v>1º registro</v>
      </c>
      <c r="L371" s="342" t="str">
        <f t="shared" si="22"/>
        <v/>
      </c>
      <c r="M371" s="339" t="s">
        <v>1523</v>
      </c>
      <c r="N371" s="343" t="str">
        <f t="shared" si="23"/>
        <v>PIG H | PIG H — BAIXA D60 (CUSTO COMPLETO H COM SELO) | DN 2''|46241</v>
      </c>
    </row>
    <row r="372" spans="1:14" x14ac:dyDescent="0.3">
      <c r="A372" s="332"/>
      <c r="B372" s="335" t="s">
        <v>368</v>
      </c>
      <c r="C372" s="336" t="s">
        <v>1520</v>
      </c>
      <c r="D372" s="337">
        <f t="shared" si="20"/>
        <v>5.7000842240000003</v>
      </c>
      <c r="E372" s="332"/>
      <c r="F372" s="338">
        <v>46241</v>
      </c>
      <c r="G372" s="339" t="s">
        <v>1520</v>
      </c>
      <c r="H372" s="339" t="s">
        <v>368</v>
      </c>
      <c r="I372" s="339" t="s">
        <v>1522</v>
      </c>
      <c r="J372" s="340">
        <v>5.7000842240000003</v>
      </c>
      <c r="K372" s="341" t="str">
        <f t="shared" si="21"/>
        <v>1º registro</v>
      </c>
      <c r="L372" s="342" t="str">
        <f t="shared" si="22"/>
        <v/>
      </c>
      <c r="M372" s="339" t="s">
        <v>1523</v>
      </c>
      <c r="N372" s="343" t="str">
        <f t="shared" si="23"/>
        <v>PIG H | PIG H — BAIXA D60 (CUSTO COMPLETO H COM SELO/CORDA) | DN 2''|46241</v>
      </c>
    </row>
    <row r="373" spans="1:14" x14ac:dyDescent="0.3">
      <c r="A373" s="332"/>
      <c r="B373" s="335" t="s">
        <v>369</v>
      </c>
      <c r="C373" s="336" t="s">
        <v>1520</v>
      </c>
      <c r="D373" s="337">
        <f t="shared" si="20"/>
        <v>4.8078079377777803</v>
      </c>
      <c r="E373" s="332"/>
      <c r="F373" s="338">
        <v>46241</v>
      </c>
      <c r="G373" s="339" t="s">
        <v>1520</v>
      </c>
      <c r="H373" s="339" t="s">
        <v>369</v>
      </c>
      <c r="I373" s="339" t="s">
        <v>1522</v>
      </c>
      <c r="J373" s="340">
        <v>4.8078079377777803</v>
      </c>
      <c r="K373" s="341" t="str">
        <f t="shared" si="21"/>
        <v>1º registro</v>
      </c>
      <c r="L373" s="342" t="str">
        <f t="shared" si="22"/>
        <v/>
      </c>
      <c r="M373" s="339" t="s">
        <v>1523</v>
      </c>
      <c r="N373" s="343" t="str">
        <f t="shared" si="23"/>
        <v>PIG H | PIG H — BAIXA D60 (CUSTO COMPLETO H) | DN 3''|46241</v>
      </c>
    </row>
    <row r="374" spans="1:14" x14ac:dyDescent="0.3">
      <c r="A374" s="332"/>
      <c r="B374" s="335" t="s">
        <v>370</v>
      </c>
      <c r="C374" s="336" t="s">
        <v>1520</v>
      </c>
      <c r="D374" s="337">
        <f t="shared" si="20"/>
        <v>6.5765334933333301</v>
      </c>
      <c r="E374" s="332"/>
      <c r="F374" s="338">
        <v>46241</v>
      </c>
      <c r="G374" s="339" t="s">
        <v>1520</v>
      </c>
      <c r="H374" s="339" t="s">
        <v>370</v>
      </c>
      <c r="I374" s="339" t="s">
        <v>1522</v>
      </c>
      <c r="J374" s="340">
        <v>6.5765334933333301</v>
      </c>
      <c r="K374" s="341" t="str">
        <f t="shared" si="21"/>
        <v>1º registro</v>
      </c>
      <c r="L374" s="342" t="str">
        <f t="shared" si="22"/>
        <v/>
      </c>
      <c r="M374" s="339" t="s">
        <v>1523</v>
      </c>
      <c r="N374" s="343" t="str">
        <f t="shared" si="23"/>
        <v>PIG H | PIG H — BAIXA D60 (CUSTO COMPLETO H COM SELO) | DN 3''|46241</v>
      </c>
    </row>
    <row r="375" spans="1:14" x14ac:dyDescent="0.3">
      <c r="A375" s="332"/>
      <c r="B375" s="335" t="s">
        <v>371</v>
      </c>
      <c r="C375" s="336" t="s">
        <v>1520</v>
      </c>
      <c r="D375" s="337">
        <f t="shared" si="20"/>
        <v>5.9032001599999999</v>
      </c>
      <c r="E375" s="332"/>
      <c r="F375" s="338">
        <v>46241</v>
      </c>
      <c r="G375" s="339" t="s">
        <v>1520</v>
      </c>
      <c r="H375" s="339" t="s">
        <v>371</v>
      </c>
      <c r="I375" s="339" t="s">
        <v>1522</v>
      </c>
      <c r="J375" s="340">
        <v>5.9032001599999999</v>
      </c>
      <c r="K375" s="341" t="str">
        <f t="shared" si="21"/>
        <v>1º registro</v>
      </c>
      <c r="L375" s="342" t="str">
        <f t="shared" si="22"/>
        <v/>
      </c>
      <c r="M375" s="339" t="s">
        <v>1523</v>
      </c>
      <c r="N375" s="343" t="str">
        <f t="shared" si="23"/>
        <v>PIG H | PIG H — BAIXA D60 (CUSTO COMPLETO H COM SELO/CORDA) | DN 3''|46241</v>
      </c>
    </row>
    <row r="376" spans="1:14" x14ac:dyDescent="0.3">
      <c r="A376" s="332"/>
      <c r="B376" s="335" t="s">
        <v>372</v>
      </c>
      <c r="C376" s="336" t="s">
        <v>1520</v>
      </c>
      <c r="D376" s="337">
        <f t="shared" si="20"/>
        <v>13.1236456337778</v>
      </c>
      <c r="E376" s="332"/>
      <c r="F376" s="338">
        <v>46241</v>
      </c>
      <c r="G376" s="339" t="s">
        <v>1520</v>
      </c>
      <c r="H376" s="339" t="s">
        <v>372</v>
      </c>
      <c r="I376" s="339" t="s">
        <v>1522</v>
      </c>
      <c r="J376" s="340">
        <v>13.1236456337778</v>
      </c>
      <c r="K376" s="341" t="str">
        <f t="shared" si="21"/>
        <v>1º registro</v>
      </c>
      <c r="L376" s="342" t="str">
        <f t="shared" si="22"/>
        <v/>
      </c>
      <c r="M376" s="339" t="s">
        <v>1523</v>
      </c>
      <c r="N376" s="343" t="str">
        <f t="shared" si="23"/>
        <v>PIG H | PIG H — BAIXA D60 (CUSTO COMPLETO H) | DN 4''|46241</v>
      </c>
    </row>
    <row r="377" spans="1:14" x14ac:dyDescent="0.3">
      <c r="A377" s="332"/>
      <c r="B377" s="335" t="s">
        <v>373</v>
      </c>
      <c r="C377" s="336" t="s">
        <v>1520</v>
      </c>
      <c r="D377" s="337">
        <f t="shared" si="20"/>
        <v>15.164273189333301</v>
      </c>
      <c r="E377" s="332"/>
      <c r="F377" s="338">
        <v>46241</v>
      </c>
      <c r="G377" s="339" t="s">
        <v>1520</v>
      </c>
      <c r="H377" s="339" t="s">
        <v>373</v>
      </c>
      <c r="I377" s="339" t="s">
        <v>1522</v>
      </c>
      <c r="J377" s="340">
        <v>15.164273189333301</v>
      </c>
      <c r="K377" s="341" t="str">
        <f t="shared" si="21"/>
        <v>1º registro</v>
      </c>
      <c r="L377" s="342" t="str">
        <f t="shared" si="22"/>
        <v/>
      </c>
      <c r="M377" s="339" t="s">
        <v>1523</v>
      </c>
      <c r="N377" s="343" t="str">
        <f t="shared" si="23"/>
        <v>PIG H | PIG H — BAIXA D60 (CUSTO COMPLETO H COM SELO) | DN 4''|46241</v>
      </c>
    </row>
    <row r="378" spans="1:14" x14ac:dyDescent="0.3">
      <c r="A378" s="332"/>
      <c r="B378" s="335" t="s">
        <v>374</v>
      </c>
      <c r="C378" s="336" t="s">
        <v>1520</v>
      </c>
      <c r="D378" s="337">
        <f t="shared" si="20"/>
        <v>16.117606522666701</v>
      </c>
      <c r="E378" s="332"/>
      <c r="F378" s="338">
        <v>46241</v>
      </c>
      <c r="G378" s="339" t="s">
        <v>1520</v>
      </c>
      <c r="H378" s="339" t="s">
        <v>374</v>
      </c>
      <c r="I378" s="339" t="s">
        <v>1522</v>
      </c>
      <c r="J378" s="340">
        <v>16.117606522666701</v>
      </c>
      <c r="K378" s="341" t="str">
        <f t="shared" si="21"/>
        <v>1º registro</v>
      </c>
      <c r="L378" s="342" t="str">
        <f t="shared" si="22"/>
        <v/>
      </c>
      <c r="M378" s="339" t="s">
        <v>1523</v>
      </c>
      <c r="N378" s="343" t="str">
        <f t="shared" si="23"/>
        <v>PIG H | PIG H — BAIXA D60 (CUSTO COMPLETO H COM SELO/CORDA) | DN 4''|46241</v>
      </c>
    </row>
    <row r="379" spans="1:14" x14ac:dyDescent="0.3">
      <c r="A379" s="332"/>
      <c r="B379" s="335" t="s">
        <v>375</v>
      </c>
      <c r="C379" s="336" t="s">
        <v>1520</v>
      </c>
      <c r="D379" s="337">
        <f t="shared" si="20"/>
        <v>31.257077473777802</v>
      </c>
      <c r="E379" s="332"/>
      <c r="F379" s="338">
        <v>46241</v>
      </c>
      <c r="G379" s="339" t="s">
        <v>1520</v>
      </c>
      <c r="H379" s="339" t="s">
        <v>375</v>
      </c>
      <c r="I379" s="339" t="s">
        <v>1522</v>
      </c>
      <c r="J379" s="340">
        <v>31.257077473777802</v>
      </c>
      <c r="K379" s="341" t="str">
        <f t="shared" si="21"/>
        <v>1º registro</v>
      </c>
      <c r="L379" s="342" t="str">
        <f t="shared" si="22"/>
        <v/>
      </c>
      <c r="M379" s="339" t="s">
        <v>1523</v>
      </c>
      <c r="N379" s="343" t="str">
        <f t="shared" si="23"/>
        <v>PIG H | PIG H — BAIXA D60 (CUSTO COMPLETO H) | DN 6''|46241</v>
      </c>
    </row>
    <row r="380" spans="1:14" x14ac:dyDescent="0.3">
      <c r="A380" s="332"/>
      <c r="B380" s="335" t="s">
        <v>376</v>
      </c>
      <c r="C380" s="336" t="s">
        <v>1520</v>
      </c>
      <c r="D380" s="337">
        <f t="shared" si="20"/>
        <v>33.977460029333301</v>
      </c>
      <c r="E380" s="332"/>
      <c r="F380" s="338">
        <v>46241</v>
      </c>
      <c r="G380" s="339" t="s">
        <v>1520</v>
      </c>
      <c r="H380" s="339" t="s">
        <v>376</v>
      </c>
      <c r="I380" s="339" t="s">
        <v>1522</v>
      </c>
      <c r="J380" s="340">
        <v>33.977460029333301</v>
      </c>
      <c r="K380" s="341" t="str">
        <f t="shared" si="21"/>
        <v>1º registro</v>
      </c>
      <c r="L380" s="342" t="str">
        <f t="shared" si="22"/>
        <v/>
      </c>
      <c r="M380" s="339" t="s">
        <v>1523</v>
      </c>
      <c r="N380" s="343" t="str">
        <f t="shared" si="23"/>
        <v>PIG H | PIG H — BAIXA D60 (CUSTO COMPLETO H COM SELO) | DN 6''|46241</v>
      </c>
    </row>
    <row r="381" spans="1:14" x14ac:dyDescent="0.3">
      <c r="A381" s="332"/>
      <c r="B381" s="335" t="s">
        <v>377</v>
      </c>
      <c r="C381" s="336" t="s">
        <v>1520</v>
      </c>
      <c r="D381" s="337">
        <f t="shared" si="20"/>
        <v>37.864126696</v>
      </c>
      <c r="E381" s="332"/>
      <c r="F381" s="338">
        <v>46241</v>
      </c>
      <c r="G381" s="339" t="s">
        <v>1520</v>
      </c>
      <c r="H381" s="339" t="s">
        <v>377</v>
      </c>
      <c r="I381" s="339" t="s">
        <v>1522</v>
      </c>
      <c r="J381" s="340">
        <v>37.864126696</v>
      </c>
      <c r="K381" s="341" t="str">
        <f t="shared" si="21"/>
        <v>1º registro</v>
      </c>
      <c r="L381" s="342" t="str">
        <f t="shared" si="22"/>
        <v/>
      </c>
      <c r="M381" s="339" t="s">
        <v>1523</v>
      </c>
      <c r="N381" s="343" t="str">
        <f t="shared" si="23"/>
        <v>PIG H | PIG H — BAIXA D60 (CUSTO COMPLETO H COM SELO/CORDA) | DN 6''|46241</v>
      </c>
    </row>
    <row r="382" spans="1:14" x14ac:dyDescent="0.3">
      <c r="A382" s="332"/>
      <c r="B382" s="335" t="s">
        <v>378</v>
      </c>
      <c r="C382" s="336" t="s">
        <v>1520</v>
      </c>
      <c r="D382" s="337">
        <f t="shared" si="20"/>
        <v>14.7776383333333</v>
      </c>
      <c r="E382" s="332"/>
      <c r="F382" s="338">
        <v>46241</v>
      </c>
      <c r="G382" s="339" t="s">
        <v>1520</v>
      </c>
      <c r="H382" s="339" t="s">
        <v>378</v>
      </c>
      <c r="I382" s="339" t="s">
        <v>1522</v>
      </c>
      <c r="J382" s="340">
        <v>14.7776383333333</v>
      </c>
      <c r="K382" s="341" t="str">
        <f t="shared" si="21"/>
        <v>1º registro</v>
      </c>
      <c r="L382" s="342" t="str">
        <f t="shared" si="22"/>
        <v/>
      </c>
      <c r="M382" s="339" t="s">
        <v>1523</v>
      </c>
      <c r="N382" s="343" t="str">
        <f t="shared" si="23"/>
        <v>PIG HS | PIG HS — MÉDIA (140-160 KG/M³) | DN 2''|46241</v>
      </c>
    </row>
    <row r="383" spans="1:14" x14ac:dyDescent="0.3">
      <c r="A383" s="332"/>
      <c r="B383" s="335" t="s">
        <v>381</v>
      </c>
      <c r="C383" s="336" t="s">
        <v>1520</v>
      </c>
      <c r="D383" s="337">
        <f t="shared" si="20"/>
        <v>52.728069333333302</v>
      </c>
      <c r="E383" s="332"/>
      <c r="F383" s="338">
        <v>46241</v>
      </c>
      <c r="G383" s="339" t="s">
        <v>1520</v>
      </c>
      <c r="H383" s="339" t="s">
        <v>381</v>
      </c>
      <c r="I383" s="339" t="s">
        <v>1522</v>
      </c>
      <c r="J383" s="340">
        <v>52.728069333333302</v>
      </c>
      <c r="K383" s="341" t="str">
        <f t="shared" si="21"/>
        <v>1º registro</v>
      </c>
      <c r="L383" s="342" t="str">
        <f t="shared" si="22"/>
        <v/>
      </c>
      <c r="M383" s="339" t="s">
        <v>1523</v>
      </c>
      <c r="N383" s="343" t="str">
        <f t="shared" si="23"/>
        <v>PIG HS | PIG HS — MÉDIA (140-160 KG/M³) | DN 3''|46241</v>
      </c>
    </row>
    <row r="384" spans="1:14" x14ac:dyDescent="0.3">
      <c r="A384" s="332"/>
      <c r="B384" s="335" t="s">
        <v>382</v>
      </c>
      <c r="C384" s="336" t="s">
        <v>1520</v>
      </c>
      <c r="D384" s="337">
        <f t="shared" si="20"/>
        <v>55.120294333333298</v>
      </c>
      <c r="E384" s="332"/>
      <c r="F384" s="338">
        <v>46241</v>
      </c>
      <c r="G384" s="339" t="s">
        <v>1520</v>
      </c>
      <c r="H384" s="339" t="s">
        <v>382</v>
      </c>
      <c r="I384" s="339" t="s">
        <v>1522</v>
      </c>
      <c r="J384" s="340">
        <v>55.120294333333298</v>
      </c>
      <c r="K384" s="341" t="str">
        <f t="shared" si="21"/>
        <v>1º registro</v>
      </c>
      <c r="L384" s="342" t="str">
        <f t="shared" si="22"/>
        <v/>
      </c>
      <c r="M384" s="339" t="s">
        <v>1523</v>
      </c>
      <c r="N384" s="343" t="str">
        <f t="shared" si="23"/>
        <v>PIG HS | PIG HS — MÉDIA (140-160 KG/M³) | DN 4''|46241</v>
      </c>
    </row>
    <row r="385" spans="1:14" x14ac:dyDescent="0.3">
      <c r="A385" s="332"/>
      <c r="B385" s="335" t="s">
        <v>383</v>
      </c>
      <c r="C385" s="336" t="s">
        <v>1520</v>
      </c>
      <c r="D385" s="337">
        <f t="shared" si="20"/>
        <v>54.331581222222198</v>
      </c>
      <c r="E385" s="332"/>
      <c r="F385" s="338">
        <v>46241</v>
      </c>
      <c r="G385" s="339" t="s">
        <v>1520</v>
      </c>
      <c r="H385" s="339" t="s">
        <v>383</v>
      </c>
      <c r="I385" s="339" t="s">
        <v>1522</v>
      </c>
      <c r="J385" s="340">
        <v>54.331581222222198</v>
      </c>
      <c r="K385" s="341" t="str">
        <f t="shared" si="21"/>
        <v>1º registro</v>
      </c>
      <c r="L385" s="342" t="str">
        <f t="shared" si="22"/>
        <v/>
      </c>
      <c r="M385" s="339" t="s">
        <v>1523</v>
      </c>
      <c r="N385" s="343" t="str">
        <f t="shared" si="23"/>
        <v>PIG HS | PIG HS — MÉDIA (140-160 KG/M³) | DN 6''|46241</v>
      </c>
    </row>
    <row r="386" spans="1:14" x14ac:dyDescent="0.3">
      <c r="A386" s="332"/>
      <c r="B386" s="335" t="s">
        <v>384</v>
      </c>
      <c r="C386" s="336" t="s">
        <v>1520</v>
      </c>
      <c r="D386" s="337">
        <f t="shared" si="20"/>
        <v>47.582444666666703</v>
      </c>
      <c r="E386" s="332"/>
      <c r="F386" s="338">
        <v>46241</v>
      </c>
      <c r="G386" s="339" t="s">
        <v>1520</v>
      </c>
      <c r="H386" s="339" t="s">
        <v>384</v>
      </c>
      <c r="I386" s="339" t="s">
        <v>1522</v>
      </c>
      <c r="J386" s="340">
        <v>47.582444666666703</v>
      </c>
      <c r="K386" s="341" t="str">
        <f t="shared" si="21"/>
        <v>1º registro</v>
      </c>
      <c r="L386" s="342" t="str">
        <f t="shared" si="22"/>
        <v/>
      </c>
      <c r="M386" s="339" t="s">
        <v>1523</v>
      </c>
      <c r="N386" s="343" t="str">
        <f t="shared" si="23"/>
        <v>PIG HS | PIG HS — MÉDIA (140-160 KG/M³) | DN 7''|46241</v>
      </c>
    </row>
    <row r="387" spans="1:14" x14ac:dyDescent="0.3">
      <c r="A387" s="332"/>
      <c r="B387" s="335" t="s">
        <v>385</v>
      </c>
      <c r="C387" s="336" t="s">
        <v>1520</v>
      </c>
      <c r="D387" s="337">
        <f t="shared" si="20"/>
        <v>82.063894666666698</v>
      </c>
      <c r="E387" s="332"/>
      <c r="F387" s="338">
        <v>46241</v>
      </c>
      <c r="G387" s="339" t="s">
        <v>1520</v>
      </c>
      <c r="H387" s="339" t="s">
        <v>385</v>
      </c>
      <c r="I387" s="339" t="s">
        <v>1522</v>
      </c>
      <c r="J387" s="340">
        <v>82.063894666666698</v>
      </c>
      <c r="K387" s="341" t="str">
        <f t="shared" si="21"/>
        <v>1º registro</v>
      </c>
      <c r="L387" s="342" t="str">
        <f t="shared" si="22"/>
        <v/>
      </c>
      <c r="M387" s="339" t="s">
        <v>1523</v>
      </c>
      <c r="N387" s="343" t="str">
        <f t="shared" si="23"/>
        <v>PIG HS | PIG HS — MÉDIA (140-160 KG/M³) | DN 8''|46241</v>
      </c>
    </row>
    <row r="388" spans="1:14" x14ac:dyDescent="0.3">
      <c r="A388" s="332"/>
      <c r="B388" s="335" t="s">
        <v>386</v>
      </c>
      <c r="C388" s="336" t="s">
        <v>1520</v>
      </c>
      <c r="D388" s="337">
        <f t="shared" si="20"/>
        <v>129.98415900000001</v>
      </c>
      <c r="E388" s="332"/>
      <c r="F388" s="338">
        <v>46241</v>
      </c>
      <c r="G388" s="339" t="s">
        <v>1520</v>
      </c>
      <c r="H388" s="339" t="s">
        <v>386</v>
      </c>
      <c r="I388" s="339" t="s">
        <v>1522</v>
      </c>
      <c r="J388" s="340">
        <v>129.98415900000001</v>
      </c>
      <c r="K388" s="341" t="str">
        <f t="shared" si="21"/>
        <v>1º registro</v>
      </c>
      <c r="L388" s="342" t="str">
        <f t="shared" si="22"/>
        <v/>
      </c>
      <c r="M388" s="339" t="s">
        <v>1523</v>
      </c>
      <c r="N388" s="343" t="str">
        <f t="shared" si="23"/>
        <v>PIG HS | PIG HS — MÉDIA (140-160 KG/M³) | DN 10''|46241</v>
      </c>
    </row>
    <row r="389" spans="1:14" x14ac:dyDescent="0.3">
      <c r="A389" s="332"/>
      <c r="B389" s="335" t="s">
        <v>387</v>
      </c>
      <c r="C389" s="336" t="s">
        <v>1520</v>
      </c>
      <c r="D389" s="337">
        <f t="shared" si="20"/>
        <v>184.830558</v>
      </c>
      <c r="E389" s="332"/>
      <c r="F389" s="338">
        <v>46241</v>
      </c>
      <c r="G389" s="339" t="s">
        <v>1520</v>
      </c>
      <c r="H389" s="339" t="s">
        <v>387</v>
      </c>
      <c r="I389" s="339" t="s">
        <v>1522</v>
      </c>
      <c r="J389" s="340">
        <v>184.830558</v>
      </c>
      <c r="K389" s="341" t="str">
        <f t="shared" si="21"/>
        <v>1º registro</v>
      </c>
      <c r="L389" s="342" t="str">
        <f t="shared" si="22"/>
        <v/>
      </c>
      <c r="M389" s="339" t="s">
        <v>1523</v>
      </c>
      <c r="N389" s="343" t="str">
        <f t="shared" si="23"/>
        <v>PIG HS | PIG HS — MÉDIA (140-160 KG/M³) | DN 12''|46241</v>
      </c>
    </row>
    <row r="390" spans="1:14" x14ac:dyDescent="0.3">
      <c r="A390" s="332"/>
      <c r="B390" s="335" t="s">
        <v>388</v>
      </c>
      <c r="C390" s="336" t="s">
        <v>1520</v>
      </c>
      <c r="D390" s="337">
        <f t="shared" si="20"/>
        <v>251.40694199999999</v>
      </c>
      <c r="E390" s="332"/>
      <c r="F390" s="338">
        <v>46241</v>
      </c>
      <c r="G390" s="339" t="s">
        <v>1520</v>
      </c>
      <c r="H390" s="339" t="s">
        <v>388</v>
      </c>
      <c r="I390" s="339" t="s">
        <v>1522</v>
      </c>
      <c r="J390" s="340">
        <v>251.40694199999999</v>
      </c>
      <c r="K390" s="341" t="str">
        <f t="shared" si="21"/>
        <v>1º registro</v>
      </c>
      <c r="L390" s="342" t="str">
        <f t="shared" si="22"/>
        <v/>
      </c>
      <c r="M390" s="339" t="s">
        <v>1523</v>
      </c>
      <c r="N390" s="343" t="str">
        <f t="shared" si="23"/>
        <v>PIG HS | PIG HS — MÉDIA (140-160 KG/M³) | DN 14''|46241</v>
      </c>
    </row>
    <row r="391" spans="1:14" x14ac:dyDescent="0.3">
      <c r="A391" s="332"/>
      <c r="B391" s="335" t="s">
        <v>389</v>
      </c>
      <c r="C391" s="336" t="s">
        <v>1520</v>
      </c>
      <c r="D391" s="337">
        <f t="shared" si="20"/>
        <v>361.01467100000002</v>
      </c>
      <c r="E391" s="332"/>
      <c r="F391" s="338">
        <v>46241</v>
      </c>
      <c r="G391" s="339" t="s">
        <v>1520</v>
      </c>
      <c r="H391" s="339" t="s">
        <v>389</v>
      </c>
      <c r="I391" s="339" t="s">
        <v>1522</v>
      </c>
      <c r="J391" s="340">
        <v>361.01467100000002</v>
      </c>
      <c r="K391" s="341" t="str">
        <f t="shared" si="21"/>
        <v>1º registro</v>
      </c>
      <c r="L391" s="342" t="str">
        <f t="shared" si="22"/>
        <v/>
      </c>
      <c r="M391" s="339" t="s">
        <v>1523</v>
      </c>
      <c r="N391" s="343" t="str">
        <f t="shared" si="23"/>
        <v>PIG HS | PIG HS — MÉDIA (140-160 KG/M³) | DN 16''|46241</v>
      </c>
    </row>
    <row r="392" spans="1:14" x14ac:dyDescent="0.3">
      <c r="A392" s="332"/>
      <c r="B392" s="335" t="s">
        <v>390</v>
      </c>
      <c r="C392" s="336" t="s">
        <v>1520</v>
      </c>
      <c r="D392" s="337">
        <f t="shared" si="20"/>
        <v>544.75781199999994</v>
      </c>
      <c r="E392" s="332"/>
      <c r="F392" s="338">
        <v>46241</v>
      </c>
      <c r="G392" s="339" t="s">
        <v>1520</v>
      </c>
      <c r="H392" s="339" t="s">
        <v>390</v>
      </c>
      <c r="I392" s="339" t="s">
        <v>1522</v>
      </c>
      <c r="J392" s="340">
        <v>544.75781199999994</v>
      </c>
      <c r="K392" s="341" t="str">
        <f t="shared" si="21"/>
        <v>1º registro</v>
      </c>
      <c r="L392" s="342" t="str">
        <f t="shared" si="22"/>
        <v/>
      </c>
      <c r="M392" s="339" t="s">
        <v>1523</v>
      </c>
      <c r="N392" s="343" t="str">
        <f t="shared" si="23"/>
        <v>PIG HS | PIG HS — MÉDIA (140-160 KG/M³) | DN 18''|46241</v>
      </c>
    </row>
    <row r="393" spans="1:14" x14ac:dyDescent="0.3">
      <c r="A393" s="332"/>
      <c r="B393" s="335" t="s">
        <v>391</v>
      </c>
      <c r="C393" s="336" t="s">
        <v>1520</v>
      </c>
      <c r="D393" s="337">
        <f t="shared" si="20"/>
        <v>718.92388400000004</v>
      </c>
      <c r="E393" s="332"/>
      <c r="F393" s="338">
        <v>46241</v>
      </c>
      <c r="G393" s="339" t="s">
        <v>1520</v>
      </c>
      <c r="H393" s="339" t="s">
        <v>391</v>
      </c>
      <c r="I393" s="339" t="s">
        <v>1522</v>
      </c>
      <c r="J393" s="340">
        <v>718.92388400000004</v>
      </c>
      <c r="K393" s="341" t="str">
        <f t="shared" si="21"/>
        <v>1º registro</v>
      </c>
      <c r="L393" s="342" t="str">
        <f t="shared" si="22"/>
        <v/>
      </c>
      <c r="M393" s="339" t="s">
        <v>1523</v>
      </c>
      <c r="N393" s="343" t="str">
        <f t="shared" si="23"/>
        <v>PIG HS | PIG HS — MÉDIA (140-160 KG/M³) | DN 20''|46241</v>
      </c>
    </row>
    <row r="394" spans="1:14" x14ac:dyDescent="0.3">
      <c r="A394" s="332"/>
      <c r="B394" s="335" t="s">
        <v>392</v>
      </c>
      <c r="C394" s="336" t="s">
        <v>1520</v>
      </c>
      <c r="D394" s="337">
        <f t="shared" si="20"/>
        <v>988.25105099999996</v>
      </c>
      <c r="E394" s="332"/>
      <c r="F394" s="338">
        <v>46241</v>
      </c>
      <c r="G394" s="339" t="s">
        <v>1520</v>
      </c>
      <c r="H394" s="339" t="s">
        <v>392</v>
      </c>
      <c r="I394" s="339" t="s">
        <v>1522</v>
      </c>
      <c r="J394" s="340">
        <v>988.25105099999996</v>
      </c>
      <c r="K394" s="341" t="str">
        <f t="shared" si="21"/>
        <v>1º registro</v>
      </c>
      <c r="L394" s="342" t="str">
        <f t="shared" si="22"/>
        <v/>
      </c>
      <c r="M394" s="339" t="s">
        <v>1523</v>
      </c>
      <c r="N394" s="343" t="str">
        <f t="shared" si="23"/>
        <v>PIG HS | PIG HS — MÉDIA (140-160 KG/M³) | DN 22''|46241</v>
      </c>
    </row>
    <row r="395" spans="1:14" x14ac:dyDescent="0.3">
      <c r="A395" s="332"/>
      <c r="B395" s="335" t="s">
        <v>393</v>
      </c>
      <c r="C395" s="336" t="s">
        <v>1520</v>
      </c>
      <c r="D395" s="337">
        <f t="shared" si="20"/>
        <v>1128.5101363333299</v>
      </c>
      <c r="E395" s="332"/>
      <c r="F395" s="338">
        <v>46241</v>
      </c>
      <c r="G395" s="339" t="s">
        <v>1520</v>
      </c>
      <c r="H395" s="339" t="s">
        <v>393</v>
      </c>
      <c r="I395" s="339" t="s">
        <v>1522</v>
      </c>
      <c r="J395" s="340">
        <v>1128.5101363333299</v>
      </c>
      <c r="K395" s="341" t="str">
        <f t="shared" si="21"/>
        <v>1º registro</v>
      </c>
      <c r="L395" s="342" t="str">
        <f t="shared" si="22"/>
        <v/>
      </c>
      <c r="M395" s="339" t="s">
        <v>1523</v>
      </c>
      <c r="N395" s="343" t="str">
        <f t="shared" si="23"/>
        <v>PIG HS | PIG HS — MÉDIA (140-160 KG/M³) | DN 24''|46241</v>
      </c>
    </row>
    <row r="396" spans="1:14" x14ac:dyDescent="0.3">
      <c r="A396" s="332"/>
      <c r="B396" s="335" t="s">
        <v>394</v>
      </c>
      <c r="C396" s="336" t="s">
        <v>1520</v>
      </c>
      <c r="D396" s="337">
        <f t="shared" si="20"/>
        <v>1367.7504733333301</v>
      </c>
      <c r="E396" s="332"/>
      <c r="F396" s="338">
        <v>46241</v>
      </c>
      <c r="G396" s="339" t="s">
        <v>1520</v>
      </c>
      <c r="H396" s="339" t="s">
        <v>394</v>
      </c>
      <c r="I396" s="339" t="s">
        <v>1522</v>
      </c>
      <c r="J396" s="340">
        <v>1367.7504733333301</v>
      </c>
      <c r="K396" s="341" t="str">
        <f t="shared" si="21"/>
        <v>1º registro</v>
      </c>
      <c r="L396" s="342" t="str">
        <f t="shared" si="22"/>
        <v/>
      </c>
      <c r="M396" s="339" t="s">
        <v>1523</v>
      </c>
      <c r="N396" s="343" t="str">
        <f t="shared" si="23"/>
        <v>PIG HS | PIG HS — MÉDIA (140-160 KG/M³) | DN 26''|46241</v>
      </c>
    </row>
    <row r="397" spans="1:14" x14ac:dyDescent="0.3">
      <c r="A397" s="332"/>
      <c r="B397" s="335" t="s">
        <v>395</v>
      </c>
      <c r="C397" s="336" t="s">
        <v>1520</v>
      </c>
      <c r="D397" s="337">
        <f t="shared" si="20"/>
        <v>1578.32983333333</v>
      </c>
      <c r="E397" s="332"/>
      <c r="F397" s="338">
        <v>46241</v>
      </c>
      <c r="G397" s="339" t="s">
        <v>1520</v>
      </c>
      <c r="H397" s="339" t="s">
        <v>395</v>
      </c>
      <c r="I397" s="339" t="s">
        <v>1522</v>
      </c>
      <c r="J397" s="340">
        <v>1578.32983333333</v>
      </c>
      <c r="K397" s="341" t="str">
        <f t="shared" si="21"/>
        <v>1º registro</v>
      </c>
      <c r="L397" s="342" t="str">
        <f t="shared" si="22"/>
        <v/>
      </c>
      <c r="M397" s="339" t="s">
        <v>1523</v>
      </c>
      <c r="N397" s="343" t="str">
        <f t="shared" si="23"/>
        <v>PIG HS | PIG HS — MÉDIA (140-160 KG/M³) | DN 28''|46241</v>
      </c>
    </row>
    <row r="398" spans="1:14" x14ac:dyDescent="0.3">
      <c r="A398" s="332"/>
      <c r="B398" s="335" t="s">
        <v>396</v>
      </c>
      <c r="C398" s="336" t="s">
        <v>1520</v>
      </c>
      <c r="D398" s="337">
        <f t="shared" si="20"/>
        <v>2318.5231473333301</v>
      </c>
      <c r="E398" s="332"/>
      <c r="F398" s="338">
        <v>46241</v>
      </c>
      <c r="G398" s="339" t="s">
        <v>1520</v>
      </c>
      <c r="H398" s="339" t="s">
        <v>396</v>
      </c>
      <c r="I398" s="339" t="s">
        <v>1522</v>
      </c>
      <c r="J398" s="340">
        <v>2318.5231473333301</v>
      </c>
      <c r="K398" s="341" t="str">
        <f t="shared" si="21"/>
        <v>1º registro</v>
      </c>
      <c r="L398" s="342" t="str">
        <f t="shared" si="22"/>
        <v/>
      </c>
      <c r="M398" s="339" t="s">
        <v>1523</v>
      </c>
      <c r="N398" s="343" t="str">
        <f t="shared" si="23"/>
        <v>PIG HS | PIG HS — MÉDIA (140-160 KG/M³) | DN 30''|46241</v>
      </c>
    </row>
    <row r="399" spans="1:14" x14ac:dyDescent="0.3">
      <c r="A399" s="332"/>
      <c r="B399" s="335" t="s">
        <v>397</v>
      </c>
      <c r="C399" s="336" t="s">
        <v>1520</v>
      </c>
      <c r="D399" s="337">
        <f t="shared" si="20"/>
        <v>2617.4419223333298</v>
      </c>
      <c r="E399" s="332"/>
      <c r="F399" s="338">
        <v>46241</v>
      </c>
      <c r="G399" s="339" t="s">
        <v>1520</v>
      </c>
      <c r="H399" s="339" t="s">
        <v>397</v>
      </c>
      <c r="I399" s="339" t="s">
        <v>1522</v>
      </c>
      <c r="J399" s="340">
        <v>2617.4419223333298</v>
      </c>
      <c r="K399" s="341" t="str">
        <f t="shared" si="21"/>
        <v>1º registro</v>
      </c>
      <c r="L399" s="342" t="str">
        <f t="shared" si="22"/>
        <v/>
      </c>
      <c r="M399" s="339" t="s">
        <v>1523</v>
      </c>
      <c r="N399" s="343" t="str">
        <f t="shared" si="23"/>
        <v>PIG HS | PIG HS — MÉDIA (140-160 KG/M³) | DN 32''|46241</v>
      </c>
    </row>
    <row r="400" spans="1:14" x14ac:dyDescent="0.3">
      <c r="A400" s="332"/>
      <c r="B400" s="335" t="s">
        <v>398</v>
      </c>
      <c r="C400" s="336" t="s">
        <v>1520</v>
      </c>
      <c r="D400" s="337">
        <f t="shared" si="20"/>
        <v>2946.7890373333298</v>
      </c>
      <c r="E400" s="332"/>
      <c r="F400" s="338">
        <v>46241</v>
      </c>
      <c r="G400" s="339" t="s">
        <v>1520</v>
      </c>
      <c r="H400" s="339" t="s">
        <v>398</v>
      </c>
      <c r="I400" s="339" t="s">
        <v>1522</v>
      </c>
      <c r="J400" s="340">
        <v>2946.7890373333298</v>
      </c>
      <c r="K400" s="341" t="str">
        <f t="shared" si="21"/>
        <v>1º registro</v>
      </c>
      <c r="L400" s="342" t="str">
        <f t="shared" si="22"/>
        <v/>
      </c>
      <c r="M400" s="339" t="s">
        <v>1523</v>
      </c>
      <c r="N400" s="343" t="str">
        <f t="shared" si="23"/>
        <v>PIG HS | PIG HS — MÉDIA (140-160 KG/M³) | DN 34''|46241</v>
      </c>
    </row>
    <row r="401" spans="2:14" x14ac:dyDescent="0.3">
      <c r="B401" s="335" t="s">
        <v>399</v>
      </c>
      <c r="C401" s="336" t="s">
        <v>1520</v>
      </c>
      <c r="D401" s="337">
        <f t="shared" si="20"/>
        <v>3505.7509823333298</v>
      </c>
      <c r="F401" s="338">
        <v>46241</v>
      </c>
      <c r="G401" s="339" t="s">
        <v>1520</v>
      </c>
      <c r="H401" s="339" t="s">
        <v>399</v>
      </c>
      <c r="I401" s="339" t="s">
        <v>1522</v>
      </c>
      <c r="J401" s="340">
        <v>3505.7509823333298</v>
      </c>
      <c r="K401" s="341" t="str">
        <f t="shared" si="21"/>
        <v>1º registro</v>
      </c>
      <c r="L401" s="342" t="str">
        <f t="shared" si="22"/>
        <v/>
      </c>
      <c r="M401" s="339" t="s">
        <v>1523</v>
      </c>
      <c r="N401" s="343" t="str">
        <f t="shared" si="23"/>
        <v>PIG HS | PIG HS — MÉDIA (140-160 KG/M³) | DN 36''|46241</v>
      </c>
    </row>
    <row r="402" spans="2:14" x14ac:dyDescent="0.3">
      <c r="B402" s="335" t="s">
        <v>400</v>
      </c>
      <c r="C402" s="336" t="s">
        <v>1520</v>
      </c>
      <c r="D402" s="337">
        <f t="shared" si="20"/>
        <v>4323.8095123333296</v>
      </c>
      <c r="F402" s="338">
        <v>46241</v>
      </c>
      <c r="G402" s="339" t="s">
        <v>1520</v>
      </c>
      <c r="H402" s="339" t="s">
        <v>400</v>
      </c>
      <c r="I402" s="339" t="s">
        <v>1522</v>
      </c>
      <c r="J402" s="340">
        <v>4323.8095123333296</v>
      </c>
      <c r="K402" s="341" t="str">
        <f t="shared" si="21"/>
        <v>1º registro</v>
      </c>
      <c r="L402" s="342" t="str">
        <f t="shared" si="22"/>
        <v/>
      </c>
      <c r="M402" s="339" t="s">
        <v>1523</v>
      </c>
      <c r="N402" s="343" t="str">
        <f t="shared" si="23"/>
        <v>PIG HS | PIG HS — MÉDIA (140-160 KG/M³) | DN 38''|46241</v>
      </c>
    </row>
    <row r="403" spans="2:14" x14ac:dyDescent="0.3">
      <c r="B403" s="335" t="s">
        <v>401</v>
      </c>
      <c r="C403" s="336" t="s">
        <v>1520</v>
      </c>
      <c r="D403" s="337">
        <f t="shared" si="20"/>
        <v>4632.90828733333</v>
      </c>
      <c r="F403" s="338">
        <v>46241</v>
      </c>
      <c r="G403" s="339" t="s">
        <v>1520</v>
      </c>
      <c r="H403" s="339" t="s">
        <v>401</v>
      </c>
      <c r="I403" s="339" t="s">
        <v>1522</v>
      </c>
      <c r="J403" s="340">
        <v>4632.90828733333</v>
      </c>
      <c r="K403" s="341" t="str">
        <f t="shared" si="21"/>
        <v>1º registro</v>
      </c>
      <c r="L403" s="342" t="str">
        <f t="shared" si="22"/>
        <v/>
      </c>
      <c r="M403" s="339" t="s">
        <v>1523</v>
      </c>
      <c r="N403" s="343" t="str">
        <f t="shared" si="23"/>
        <v>PIG HS | PIG HS — MÉDIA (140-160 KG/M³) | DN 40''|46241</v>
      </c>
    </row>
    <row r="404" spans="2:14" x14ac:dyDescent="0.3">
      <c r="B404" s="335" t="s">
        <v>402</v>
      </c>
      <c r="C404" s="336" t="s">
        <v>1520</v>
      </c>
      <c r="D404" s="337">
        <f t="shared" si="20"/>
        <v>5218.8610103333303</v>
      </c>
      <c r="F404" s="338">
        <v>46241</v>
      </c>
      <c r="G404" s="339" t="s">
        <v>1520</v>
      </c>
      <c r="H404" s="339" t="s">
        <v>402</v>
      </c>
      <c r="I404" s="339" t="s">
        <v>1522</v>
      </c>
      <c r="J404" s="340">
        <v>5218.8610103333303</v>
      </c>
      <c r="K404" s="341" t="str">
        <f t="shared" si="21"/>
        <v>1º registro</v>
      </c>
      <c r="L404" s="342" t="str">
        <f t="shared" si="22"/>
        <v/>
      </c>
      <c r="M404" s="339" t="s">
        <v>1523</v>
      </c>
      <c r="N404" s="343" t="str">
        <f t="shared" si="23"/>
        <v>PIG HS | PIG HS — MÉDIA (140-160 KG/M³) | DN 42''|46241</v>
      </c>
    </row>
    <row r="405" spans="2:14" x14ac:dyDescent="0.3">
      <c r="B405" s="335" t="s">
        <v>403</v>
      </c>
      <c r="C405" s="336" t="s">
        <v>1520</v>
      </c>
      <c r="D405" s="337">
        <f t="shared" si="20"/>
        <v>6108.4916873333304</v>
      </c>
      <c r="F405" s="338">
        <v>46241</v>
      </c>
      <c r="G405" s="339" t="s">
        <v>1520</v>
      </c>
      <c r="H405" s="339" t="s">
        <v>403</v>
      </c>
      <c r="I405" s="339" t="s">
        <v>1522</v>
      </c>
      <c r="J405" s="340">
        <v>6108.4916873333304</v>
      </c>
      <c r="K405" s="341" t="str">
        <f t="shared" si="21"/>
        <v>1º registro</v>
      </c>
      <c r="L405" s="342" t="str">
        <f t="shared" si="22"/>
        <v/>
      </c>
      <c r="M405" s="339" t="s">
        <v>1523</v>
      </c>
      <c r="N405" s="343" t="str">
        <f t="shared" si="23"/>
        <v>PIG HS | PIG HS — MÉDIA (140-160 KG/M³) | DN 44''|46241</v>
      </c>
    </row>
    <row r="406" spans="2:14" x14ac:dyDescent="0.3">
      <c r="B406" s="335" t="s">
        <v>404</v>
      </c>
      <c r="C406" s="336" t="s">
        <v>1520</v>
      </c>
      <c r="D406" s="337">
        <f t="shared" ref="D406:D469" si="24">IF($B406="","",IFERROR(INDEX($J$21:$J$1200,MATCH($B406&amp;"|"&amp;TEXT(_xlfn.MAXIFS($F$21:$F$1200,$H$21:$H$1200,$B406,$F$21:$F$1200,"&lt;="&amp;EOMONTH(D$20,0)),"0"),$N$21:$N$1200,0)),"-"))</f>
        <v>15.0423183333333</v>
      </c>
      <c r="F406" s="338">
        <v>46241</v>
      </c>
      <c r="G406" s="339" t="s">
        <v>1520</v>
      </c>
      <c r="H406" s="339" t="s">
        <v>404</v>
      </c>
      <c r="I406" s="339" t="s">
        <v>1522</v>
      </c>
      <c r="J406" s="340">
        <v>15.0423183333333</v>
      </c>
      <c r="K406" s="341" t="str">
        <f t="shared" ref="K406:K469" si="25">IF($H406="","",IFERROR(INDEX($J$21:$J$1200,MATCH($H406&amp;"|"&amp;TEXT(_xlfn.MAXIFS($F$21:$F$1200,$H$21:$H$1200,$H406,$F$21:$F$1200,"&lt;"&amp;$F406),"0"),$N$21:$N$1200,0)),"1º registro"))</f>
        <v>1º registro</v>
      </c>
      <c r="L406" s="342" t="str">
        <f t="shared" ref="L406:L469" si="26">IF(OR($H406="",$K406="1º registro"),"",IFERROR(($J406-$K406)/$K406,""))</f>
        <v/>
      </c>
      <c r="M406" s="339" t="s">
        <v>1523</v>
      </c>
      <c r="N406" s="343" t="str">
        <f t="shared" ref="N406:N469" si="27">IF($H406="","",$H406&amp;"|"&amp;TEXT($F406,"0"))</f>
        <v>PIG HS | PIG HS — ALTA (170-190 KG/M³) | DN 2''|46241</v>
      </c>
    </row>
    <row r="407" spans="2:14" x14ac:dyDescent="0.3">
      <c r="B407" s="335" t="s">
        <v>406</v>
      </c>
      <c r="C407" s="336" t="s">
        <v>1520</v>
      </c>
      <c r="D407" s="337">
        <f t="shared" si="24"/>
        <v>16.885269333333301</v>
      </c>
      <c r="F407" s="338">
        <v>46241</v>
      </c>
      <c r="G407" s="339" t="s">
        <v>1520</v>
      </c>
      <c r="H407" s="339" t="s">
        <v>406</v>
      </c>
      <c r="I407" s="339" t="s">
        <v>1522</v>
      </c>
      <c r="J407" s="340">
        <v>16.885269333333301</v>
      </c>
      <c r="K407" s="341" t="str">
        <f t="shared" si="25"/>
        <v>1º registro</v>
      </c>
      <c r="L407" s="342" t="str">
        <f t="shared" si="26"/>
        <v/>
      </c>
      <c r="M407" s="339" t="s">
        <v>1523</v>
      </c>
      <c r="N407" s="343" t="str">
        <f t="shared" si="27"/>
        <v>PIG HS | PIG HS — ALTA (170-190 KG/M³) | DN 3''|46241</v>
      </c>
    </row>
    <row r="408" spans="2:14" x14ac:dyDescent="0.3">
      <c r="B408" s="335" t="s">
        <v>407</v>
      </c>
      <c r="C408" s="336" t="s">
        <v>1520</v>
      </c>
      <c r="D408" s="337">
        <f t="shared" si="24"/>
        <v>45.7927343333333</v>
      </c>
      <c r="F408" s="338">
        <v>46241</v>
      </c>
      <c r="G408" s="339" t="s">
        <v>1520</v>
      </c>
      <c r="H408" s="339" t="s">
        <v>407</v>
      </c>
      <c r="I408" s="339" t="s">
        <v>1522</v>
      </c>
      <c r="J408" s="340">
        <v>45.7927343333333</v>
      </c>
      <c r="K408" s="341" t="str">
        <f t="shared" si="25"/>
        <v>1º registro</v>
      </c>
      <c r="L408" s="342" t="str">
        <f t="shared" si="26"/>
        <v/>
      </c>
      <c r="M408" s="339" t="s">
        <v>1523</v>
      </c>
      <c r="N408" s="343" t="str">
        <f t="shared" si="27"/>
        <v>PIG HS | PIG HS — ALTA (170-190 KG/M³) | DN 4''|46241</v>
      </c>
    </row>
    <row r="409" spans="2:14" x14ac:dyDescent="0.3">
      <c r="B409" s="335" t="s">
        <v>408</v>
      </c>
      <c r="C409" s="336" t="s">
        <v>1520</v>
      </c>
      <c r="D409" s="337">
        <f t="shared" si="24"/>
        <v>45.921892333333297</v>
      </c>
      <c r="F409" s="338">
        <v>46241</v>
      </c>
      <c r="G409" s="339" t="s">
        <v>1520</v>
      </c>
      <c r="H409" s="339" t="s">
        <v>408</v>
      </c>
      <c r="I409" s="339" t="s">
        <v>1522</v>
      </c>
      <c r="J409" s="340">
        <v>45.921892333333297</v>
      </c>
      <c r="K409" s="341" t="str">
        <f t="shared" si="25"/>
        <v>1º registro</v>
      </c>
      <c r="L409" s="342" t="str">
        <f t="shared" si="26"/>
        <v/>
      </c>
      <c r="M409" s="339" t="s">
        <v>1523</v>
      </c>
      <c r="N409" s="343" t="str">
        <f t="shared" si="27"/>
        <v>PIG HS | PIG HS — ALTA (170-190 KG/M³) | DN 6''|46241</v>
      </c>
    </row>
    <row r="410" spans="2:14" x14ac:dyDescent="0.3">
      <c r="B410" s="335" t="s">
        <v>409</v>
      </c>
      <c r="C410" s="336" t="s">
        <v>1520</v>
      </c>
      <c r="D410" s="337">
        <f t="shared" si="24"/>
        <v>53.385044666666701</v>
      </c>
      <c r="F410" s="338">
        <v>46241</v>
      </c>
      <c r="G410" s="339" t="s">
        <v>1520</v>
      </c>
      <c r="H410" s="339" t="s">
        <v>409</v>
      </c>
      <c r="I410" s="339" t="s">
        <v>1522</v>
      </c>
      <c r="J410" s="340">
        <v>53.385044666666701</v>
      </c>
      <c r="K410" s="341" t="str">
        <f t="shared" si="25"/>
        <v>1º registro</v>
      </c>
      <c r="L410" s="342" t="str">
        <f t="shared" si="26"/>
        <v/>
      </c>
      <c r="M410" s="339" t="s">
        <v>1523</v>
      </c>
      <c r="N410" s="343" t="str">
        <f t="shared" si="27"/>
        <v>PIG HS | PIG HS — ALTA (170-190 KG/M³) | DN 7''|46241</v>
      </c>
    </row>
    <row r="411" spans="2:14" x14ac:dyDescent="0.3">
      <c r="B411" s="335" t="s">
        <v>410</v>
      </c>
      <c r="C411" s="336" t="s">
        <v>1520</v>
      </c>
      <c r="D411" s="337">
        <f t="shared" si="24"/>
        <v>90.757614666666697</v>
      </c>
      <c r="F411" s="338">
        <v>46241</v>
      </c>
      <c r="G411" s="339" t="s">
        <v>1520</v>
      </c>
      <c r="H411" s="339" t="s">
        <v>410</v>
      </c>
      <c r="I411" s="339" t="s">
        <v>1522</v>
      </c>
      <c r="J411" s="340">
        <v>90.757614666666697</v>
      </c>
      <c r="K411" s="341" t="str">
        <f t="shared" si="25"/>
        <v>1º registro</v>
      </c>
      <c r="L411" s="342" t="str">
        <f t="shared" si="26"/>
        <v/>
      </c>
      <c r="M411" s="339" t="s">
        <v>1523</v>
      </c>
      <c r="N411" s="343" t="str">
        <f t="shared" si="27"/>
        <v>PIG HS | PIG HS — ALTA (170-190 KG/M³) | DN 8''|46241</v>
      </c>
    </row>
    <row r="412" spans="2:14" x14ac:dyDescent="0.3">
      <c r="B412" s="335" t="s">
        <v>411</v>
      </c>
      <c r="C412" s="336" t="s">
        <v>1520</v>
      </c>
      <c r="D412" s="337">
        <f t="shared" si="24"/>
        <v>146.43503899999999</v>
      </c>
      <c r="F412" s="338">
        <v>46241</v>
      </c>
      <c r="G412" s="339" t="s">
        <v>1520</v>
      </c>
      <c r="H412" s="339" t="s">
        <v>411</v>
      </c>
      <c r="I412" s="339" t="s">
        <v>1522</v>
      </c>
      <c r="J412" s="340">
        <v>146.43503899999999</v>
      </c>
      <c r="K412" s="341" t="str">
        <f t="shared" si="25"/>
        <v>1º registro</v>
      </c>
      <c r="L412" s="342" t="str">
        <f t="shared" si="26"/>
        <v/>
      </c>
      <c r="M412" s="339" t="s">
        <v>1523</v>
      </c>
      <c r="N412" s="343" t="str">
        <f t="shared" si="27"/>
        <v>PIG HS | PIG HS — ALTA (170-190 KG/M³) | DN 10''|46241</v>
      </c>
    </row>
    <row r="413" spans="2:14" x14ac:dyDescent="0.3">
      <c r="B413" s="335" t="s">
        <v>412</v>
      </c>
      <c r="C413" s="336" t="s">
        <v>1520</v>
      </c>
      <c r="D413" s="337">
        <f t="shared" si="24"/>
        <v>211.909358</v>
      </c>
      <c r="F413" s="338">
        <v>46241</v>
      </c>
      <c r="G413" s="339" t="s">
        <v>1520</v>
      </c>
      <c r="H413" s="339" t="s">
        <v>412</v>
      </c>
      <c r="I413" s="339" t="s">
        <v>1522</v>
      </c>
      <c r="J413" s="340">
        <v>211.909358</v>
      </c>
      <c r="K413" s="341" t="str">
        <f t="shared" si="25"/>
        <v>1º registro</v>
      </c>
      <c r="L413" s="342" t="str">
        <f t="shared" si="26"/>
        <v/>
      </c>
      <c r="M413" s="339" t="s">
        <v>1523</v>
      </c>
      <c r="N413" s="343" t="str">
        <f t="shared" si="27"/>
        <v>PIG HS | PIG HS — ALTA (170-190 KG/M³) | DN 12''|46241</v>
      </c>
    </row>
    <row r="414" spans="2:14" x14ac:dyDescent="0.3">
      <c r="B414" s="335" t="s">
        <v>413</v>
      </c>
      <c r="C414" s="336" t="s">
        <v>1520</v>
      </c>
      <c r="D414" s="337">
        <f t="shared" si="24"/>
        <v>289.58194200000003</v>
      </c>
      <c r="F414" s="338">
        <v>46241</v>
      </c>
      <c r="G414" s="339" t="s">
        <v>1520</v>
      </c>
      <c r="H414" s="339" t="s">
        <v>413</v>
      </c>
      <c r="I414" s="339" t="s">
        <v>1522</v>
      </c>
      <c r="J414" s="340">
        <v>289.58194200000003</v>
      </c>
      <c r="K414" s="341" t="str">
        <f t="shared" si="25"/>
        <v>1º registro</v>
      </c>
      <c r="L414" s="342" t="str">
        <f t="shared" si="26"/>
        <v/>
      </c>
      <c r="M414" s="339" t="s">
        <v>1523</v>
      </c>
      <c r="N414" s="343" t="str">
        <f t="shared" si="27"/>
        <v>PIG HS | PIG HS — ALTA (170-190 KG/M³) | DN 14''|46241</v>
      </c>
    </row>
    <row r="415" spans="2:14" x14ac:dyDescent="0.3">
      <c r="B415" s="335" t="s">
        <v>414</v>
      </c>
      <c r="C415" s="336" t="s">
        <v>1520</v>
      </c>
      <c r="D415" s="337">
        <f t="shared" si="24"/>
        <v>412.93267100000003</v>
      </c>
      <c r="F415" s="338">
        <v>46241</v>
      </c>
      <c r="G415" s="339" t="s">
        <v>1520</v>
      </c>
      <c r="H415" s="339" t="s">
        <v>414</v>
      </c>
      <c r="I415" s="339" t="s">
        <v>1522</v>
      </c>
      <c r="J415" s="340">
        <v>412.93267100000003</v>
      </c>
      <c r="K415" s="341" t="str">
        <f t="shared" si="25"/>
        <v>1º registro</v>
      </c>
      <c r="L415" s="342" t="str">
        <f t="shared" si="26"/>
        <v/>
      </c>
      <c r="M415" s="339" t="s">
        <v>1523</v>
      </c>
      <c r="N415" s="343" t="str">
        <f t="shared" si="27"/>
        <v>PIG HS | PIG HS — ALTA (170-190 KG/M³) | DN 16''|46241</v>
      </c>
    </row>
    <row r="416" spans="2:14" x14ac:dyDescent="0.3">
      <c r="B416" s="335" t="s">
        <v>415</v>
      </c>
      <c r="C416" s="336" t="s">
        <v>1520</v>
      </c>
      <c r="D416" s="337">
        <f t="shared" si="24"/>
        <v>646.80213200000003</v>
      </c>
      <c r="F416" s="338">
        <v>46241</v>
      </c>
      <c r="G416" s="339" t="s">
        <v>1520</v>
      </c>
      <c r="H416" s="339" t="s">
        <v>415</v>
      </c>
      <c r="I416" s="339" t="s">
        <v>1522</v>
      </c>
      <c r="J416" s="340">
        <v>646.80213200000003</v>
      </c>
      <c r="K416" s="341" t="str">
        <f t="shared" si="25"/>
        <v>1º registro</v>
      </c>
      <c r="L416" s="342" t="str">
        <f t="shared" si="26"/>
        <v/>
      </c>
      <c r="M416" s="339" t="s">
        <v>1523</v>
      </c>
      <c r="N416" s="343" t="str">
        <f t="shared" si="27"/>
        <v>PIG HS | PIG HS — ALTA (170-190 KG/M³) | DN 18''|46241</v>
      </c>
    </row>
    <row r="417" spans="2:14" x14ac:dyDescent="0.3">
      <c r="B417" s="335" t="s">
        <v>416</v>
      </c>
      <c r="C417" s="336" t="s">
        <v>1520</v>
      </c>
      <c r="D417" s="337">
        <f t="shared" si="24"/>
        <v>832.93988400000001</v>
      </c>
      <c r="F417" s="338">
        <v>46241</v>
      </c>
      <c r="G417" s="339" t="s">
        <v>1520</v>
      </c>
      <c r="H417" s="339" t="s">
        <v>416</v>
      </c>
      <c r="I417" s="339" t="s">
        <v>1522</v>
      </c>
      <c r="J417" s="340">
        <v>832.93988400000001</v>
      </c>
      <c r="K417" s="341" t="str">
        <f t="shared" si="25"/>
        <v>1º registro</v>
      </c>
      <c r="L417" s="342" t="str">
        <f t="shared" si="26"/>
        <v/>
      </c>
      <c r="M417" s="339" t="s">
        <v>1523</v>
      </c>
      <c r="N417" s="343" t="str">
        <f t="shared" si="27"/>
        <v>PIG HS | PIG HS — ALTA (170-190 KG/M³) | DN 20''|46241</v>
      </c>
    </row>
    <row r="418" spans="2:14" x14ac:dyDescent="0.3">
      <c r="B418" s="335" t="s">
        <v>417</v>
      </c>
      <c r="C418" s="336" t="s">
        <v>1520</v>
      </c>
      <c r="D418" s="337">
        <f t="shared" si="24"/>
        <v>1140.951051</v>
      </c>
      <c r="F418" s="338">
        <v>46241</v>
      </c>
      <c r="G418" s="339" t="s">
        <v>1520</v>
      </c>
      <c r="H418" s="339" t="s">
        <v>417</v>
      </c>
      <c r="I418" s="339" t="s">
        <v>1522</v>
      </c>
      <c r="J418" s="340">
        <v>1140.951051</v>
      </c>
      <c r="K418" s="341" t="str">
        <f t="shared" si="25"/>
        <v>1º registro</v>
      </c>
      <c r="L418" s="342" t="str">
        <f t="shared" si="26"/>
        <v/>
      </c>
      <c r="M418" s="339" t="s">
        <v>1523</v>
      </c>
      <c r="N418" s="343" t="str">
        <f t="shared" si="27"/>
        <v>PIG HS | PIG HS — ALTA (170-190 KG/M³) | DN 22''|46241</v>
      </c>
    </row>
    <row r="419" spans="2:14" x14ac:dyDescent="0.3">
      <c r="B419" s="335" t="s">
        <v>418</v>
      </c>
      <c r="C419" s="336" t="s">
        <v>1520</v>
      </c>
      <c r="D419" s="337">
        <f t="shared" si="24"/>
        <v>1346.36213633333</v>
      </c>
      <c r="F419" s="338">
        <v>46241</v>
      </c>
      <c r="G419" s="339" t="s">
        <v>1520</v>
      </c>
      <c r="H419" s="339" t="s">
        <v>418</v>
      </c>
      <c r="I419" s="339" t="s">
        <v>1522</v>
      </c>
      <c r="J419" s="340">
        <v>1346.36213633333</v>
      </c>
      <c r="K419" s="341" t="str">
        <f t="shared" si="25"/>
        <v>1º registro</v>
      </c>
      <c r="L419" s="342" t="str">
        <f t="shared" si="26"/>
        <v/>
      </c>
      <c r="M419" s="339" t="s">
        <v>1523</v>
      </c>
      <c r="N419" s="343" t="str">
        <f t="shared" si="27"/>
        <v>PIG HS | PIG HS — ALTA (170-190 KG/M³) | DN 24''|46241</v>
      </c>
    </row>
    <row r="420" spans="2:14" x14ac:dyDescent="0.3">
      <c r="B420" s="335" t="s">
        <v>419</v>
      </c>
      <c r="C420" s="336" t="s">
        <v>1520</v>
      </c>
      <c r="D420" s="337">
        <f t="shared" si="24"/>
        <v>1715.90647333333</v>
      </c>
      <c r="F420" s="338">
        <v>46241</v>
      </c>
      <c r="G420" s="339" t="s">
        <v>1520</v>
      </c>
      <c r="H420" s="339" t="s">
        <v>419</v>
      </c>
      <c r="I420" s="339" t="s">
        <v>1522</v>
      </c>
      <c r="J420" s="340">
        <v>1715.90647333333</v>
      </c>
      <c r="K420" s="341" t="str">
        <f t="shared" si="25"/>
        <v>1º registro</v>
      </c>
      <c r="L420" s="342" t="str">
        <f t="shared" si="26"/>
        <v/>
      </c>
      <c r="M420" s="339" t="s">
        <v>1523</v>
      </c>
      <c r="N420" s="343" t="str">
        <f t="shared" si="27"/>
        <v>PIG HS | PIG HS — ALTA (170-190 KG/M³) | DN 26''|46241</v>
      </c>
    </row>
    <row r="421" spans="2:14" x14ac:dyDescent="0.3">
      <c r="B421" s="335" t="s">
        <v>420</v>
      </c>
      <c r="C421" s="336" t="s">
        <v>1520</v>
      </c>
      <c r="D421" s="337">
        <f t="shared" si="24"/>
        <v>2147.3918333333299</v>
      </c>
      <c r="F421" s="338">
        <v>46241</v>
      </c>
      <c r="G421" s="339" t="s">
        <v>1520</v>
      </c>
      <c r="H421" s="339" t="s">
        <v>420</v>
      </c>
      <c r="I421" s="339" t="s">
        <v>1522</v>
      </c>
      <c r="J421" s="340">
        <v>2147.3918333333299</v>
      </c>
      <c r="K421" s="341" t="str">
        <f t="shared" si="25"/>
        <v>1º registro</v>
      </c>
      <c r="L421" s="342" t="str">
        <f t="shared" si="26"/>
        <v/>
      </c>
      <c r="M421" s="339" t="s">
        <v>1523</v>
      </c>
      <c r="N421" s="343" t="str">
        <f t="shared" si="27"/>
        <v>PIG HS | PIG HS — ALTA (170-190 KG/M³) | DN 28''|46241</v>
      </c>
    </row>
    <row r="422" spans="2:14" x14ac:dyDescent="0.3">
      <c r="B422" s="335" t="s">
        <v>421</v>
      </c>
      <c r="C422" s="336" t="s">
        <v>1520</v>
      </c>
      <c r="D422" s="337">
        <f t="shared" si="24"/>
        <v>2760.33514733333</v>
      </c>
      <c r="F422" s="338">
        <v>46241</v>
      </c>
      <c r="G422" s="339" t="s">
        <v>1520</v>
      </c>
      <c r="H422" s="339" t="s">
        <v>421</v>
      </c>
      <c r="I422" s="339" t="s">
        <v>1522</v>
      </c>
      <c r="J422" s="340">
        <v>2760.33514733333</v>
      </c>
      <c r="K422" s="341" t="str">
        <f t="shared" si="25"/>
        <v>1º registro</v>
      </c>
      <c r="L422" s="342" t="str">
        <f t="shared" si="26"/>
        <v/>
      </c>
      <c r="M422" s="339" t="s">
        <v>1523</v>
      </c>
      <c r="N422" s="343" t="str">
        <f t="shared" si="27"/>
        <v>PIG HS | PIG HS — ALTA (170-190 KG/M³) | DN 30''|46241</v>
      </c>
    </row>
    <row r="423" spans="2:14" x14ac:dyDescent="0.3">
      <c r="B423" s="335" t="s">
        <v>422</v>
      </c>
      <c r="C423" s="336" t="s">
        <v>1520</v>
      </c>
      <c r="D423" s="337">
        <f t="shared" si="24"/>
        <v>2886.1939223333302</v>
      </c>
      <c r="F423" s="338">
        <v>46241</v>
      </c>
      <c r="G423" s="339" t="s">
        <v>1520</v>
      </c>
      <c r="H423" s="339" t="s">
        <v>422</v>
      </c>
      <c r="I423" s="339" t="s">
        <v>1522</v>
      </c>
      <c r="J423" s="340">
        <v>2886.1939223333302</v>
      </c>
      <c r="K423" s="341" t="str">
        <f t="shared" si="25"/>
        <v>1º registro</v>
      </c>
      <c r="L423" s="342" t="str">
        <f t="shared" si="26"/>
        <v/>
      </c>
      <c r="M423" s="339" t="s">
        <v>1523</v>
      </c>
      <c r="N423" s="343" t="str">
        <f t="shared" si="27"/>
        <v>PIG HS | PIG HS — ALTA (170-190 KG/M³) | DN 32''|46241</v>
      </c>
    </row>
    <row r="424" spans="2:14" x14ac:dyDescent="0.3">
      <c r="B424" s="335" t="s">
        <v>423</v>
      </c>
      <c r="C424" s="336" t="s">
        <v>1520</v>
      </c>
      <c r="D424" s="337">
        <f t="shared" si="24"/>
        <v>3644.1190373333302</v>
      </c>
      <c r="F424" s="338">
        <v>46241</v>
      </c>
      <c r="G424" s="339" t="s">
        <v>1520</v>
      </c>
      <c r="H424" s="339" t="s">
        <v>423</v>
      </c>
      <c r="I424" s="339" t="s">
        <v>1522</v>
      </c>
      <c r="J424" s="340">
        <v>3644.1190373333302</v>
      </c>
      <c r="K424" s="341" t="str">
        <f t="shared" si="25"/>
        <v>1º registro</v>
      </c>
      <c r="L424" s="342" t="str">
        <f t="shared" si="26"/>
        <v/>
      </c>
      <c r="M424" s="339" t="s">
        <v>1523</v>
      </c>
      <c r="N424" s="343" t="str">
        <f t="shared" si="27"/>
        <v>PIG HS | PIG HS — ALTA (170-190 KG/M³) | DN 34''|46241</v>
      </c>
    </row>
    <row r="425" spans="2:14" x14ac:dyDescent="0.3">
      <c r="B425" s="335" t="s">
        <v>424</v>
      </c>
      <c r="C425" s="336" t="s">
        <v>1520</v>
      </c>
      <c r="D425" s="337">
        <f t="shared" si="24"/>
        <v>4421.9509823333301</v>
      </c>
      <c r="F425" s="338">
        <v>46241</v>
      </c>
      <c r="G425" s="339" t="s">
        <v>1520</v>
      </c>
      <c r="H425" s="339" t="s">
        <v>424</v>
      </c>
      <c r="I425" s="339" t="s">
        <v>1522</v>
      </c>
      <c r="J425" s="340">
        <v>4421.9509823333301</v>
      </c>
      <c r="K425" s="341" t="str">
        <f t="shared" si="25"/>
        <v>1º registro</v>
      </c>
      <c r="L425" s="342" t="str">
        <f t="shared" si="26"/>
        <v/>
      </c>
      <c r="M425" s="339" t="s">
        <v>1523</v>
      </c>
      <c r="N425" s="343" t="str">
        <f t="shared" si="27"/>
        <v>PIG HS | PIG HS — ALTA (170-190 KG/M³) | DN 36''|46241</v>
      </c>
    </row>
    <row r="426" spans="2:14" x14ac:dyDescent="0.3">
      <c r="B426" s="335" t="s">
        <v>425</v>
      </c>
      <c r="C426" s="336" t="s">
        <v>1520</v>
      </c>
      <c r="D426" s="337">
        <f t="shared" si="24"/>
        <v>5382.5295123333299</v>
      </c>
      <c r="F426" s="338">
        <v>46241</v>
      </c>
      <c r="G426" s="339" t="s">
        <v>1520</v>
      </c>
      <c r="H426" s="339" t="s">
        <v>425</v>
      </c>
      <c r="I426" s="339" t="s">
        <v>1522</v>
      </c>
      <c r="J426" s="340">
        <v>5382.5295123333299</v>
      </c>
      <c r="K426" s="341" t="str">
        <f t="shared" si="25"/>
        <v>1º registro</v>
      </c>
      <c r="L426" s="342" t="str">
        <f t="shared" si="26"/>
        <v/>
      </c>
      <c r="M426" s="339" t="s">
        <v>1523</v>
      </c>
      <c r="N426" s="343" t="str">
        <f t="shared" si="27"/>
        <v>PIG HS | PIG HS — ALTA (170-190 KG/M³) | DN 38''|46241</v>
      </c>
    </row>
    <row r="427" spans="2:14" x14ac:dyDescent="0.3">
      <c r="B427" s="335" t="s">
        <v>426</v>
      </c>
      <c r="C427" s="336" t="s">
        <v>1520</v>
      </c>
      <c r="D427" s="337">
        <f t="shared" si="24"/>
        <v>5691.6282873333303</v>
      </c>
      <c r="F427" s="338">
        <v>46241</v>
      </c>
      <c r="G427" s="339" t="s">
        <v>1520</v>
      </c>
      <c r="H427" s="339" t="s">
        <v>426</v>
      </c>
      <c r="I427" s="339" t="s">
        <v>1522</v>
      </c>
      <c r="J427" s="340">
        <v>5691.6282873333303</v>
      </c>
      <c r="K427" s="341" t="str">
        <f t="shared" si="25"/>
        <v>1º registro</v>
      </c>
      <c r="L427" s="342" t="str">
        <f t="shared" si="26"/>
        <v/>
      </c>
      <c r="M427" s="339" t="s">
        <v>1523</v>
      </c>
      <c r="N427" s="343" t="str">
        <f t="shared" si="27"/>
        <v>PIG HS | PIG HS — ALTA (170-190 KG/M³) | DN 40''|46241</v>
      </c>
    </row>
    <row r="428" spans="2:14" x14ac:dyDescent="0.3">
      <c r="B428" s="335" t="s">
        <v>427</v>
      </c>
      <c r="C428" s="336" t="s">
        <v>1520</v>
      </c>
      <c r="D428" s="337">
        <f t="shared" si="24"/>
        <v>6308.1210103333297</v>
      </c>
      <c r="F428" s="338">
        <v>46241</v>
      </c>
      <c r="G428" s="339" t="s">
        <v>1520</v>
      </c>
      <c r="H428" s="339" t="s">
        <v>427</v>
      </c>
      <c r="I428" s="339" t="s">
        <v>1522</v>
      </c>
      <c r="J428" s="340">
        <v>6308.1210103333297</v>
      </c>
      <c r="K428" s="341" t="str">
        <f t="shared" si="25"/>
        <v>1º registro</v>
      </c>
      <c r="L428" s="342" t="str">
        <f t="shared" si="26"/>
        <v/>
      </c>
      <c r="M428" s="339" t="s">
        <v>1523</v>
      </c>
      <c r="N428" s="343" t="str">
        <f t="shared" si="27"/>
        <v>PIG HS | PIG HS — ALTA (170-190 KG/M³) | DN 42''|46241</v>
      </c>
    </row>
    <row r="429" spans="2:14" x14ac:dyDescent="0.3">
      <c r="B429" s="335" t="s">
        <v>428</v>
      </c>
      <c r="C429" s="336" t="s">
        <v>1520</v>
      </c>
      <c r="D429" s="337">
        <f t="shared" si="24"/>
        <v>7380.9916873333304</v>
      </c>
      <c r="F429" s="338">
        <v>46241</v>
      </c>
      <c r="G429" s="339" t="s">
        <v>1520</v>
      </c>
      <c r="H429" s="339" t="s">
        <v>428</v>
      </c>
      <c r="I429" s="339" t="s">
        <v>1522</v>
      </c>
      <c r="J429" s="340">
        <v>7380.9916873333304</v>
      </c>
      <c r="K429" s="341" t="str">
        <f t="shared" si="25"/>
        <v>1º registro</v>
      </c>
      <c r="L429" s="342" t="str">
        <f t="shared" si="26"/>
        <v/>
      </c>
      <c r="M429" s="339" t="s">
        <v>1523</v>
      </c>
      <c r="N429" s="343" t="str">
        <f t="shared" si="27"/>
        <v>PIG HS | PIG HS — ALTA (170-190 KG/M³) | DN 44''|46241</v>
      </c>
    </row>
    <row r="430" spans="2:14" x14ac:dyDescent="0.3">
      <c r="B430" s="335" t="s">
        <v>429</v>
      </c>
      <c r="C430" s="336" t="s">
        <v>1520</v>
      </c>
      <c r="D430" s="337">
        <f t="shared" si="24"/>
        <v>11.3045204333333</v>
      </c>
      <c r="F430" s="338">
        <v>46241</v>
      </c>
      <c r="G430" s="339" t="s">
        <v>1520</v>
      </c>
      <c r="H430" s="339" t="s">
        <v>429</v>
      </c>
      <c r="I430" s="339" t="s">
        <v>1522</v>
      </c>
      <c r="J430" s="340">
        <v>11.3045204333333</v>
      </c>
      <c r="K430" s="341" t="str">
        <f t="shared" si="25"/>
        <v>1º registro</v>
      </c>
      <c r="L430" s="342" t="str">
        <f t="shared" si="26"/>
        <v/>
      </c>
      <c r="M430" s="339" t="s">
        <v>1523</v>
      </c>
      <c r="N430" s="343" t="str">
        <f t="shared" si="27"/>
        <v>PIG HL | PIG HL — MÉDIA (140-160 KG/M³) | DN 2''|46241</v>
      </c>
    </row>
    <row r="431" spans="2:14" x14ac:dyDescent="0.3">
      <c r="B431" s="335" t="s">
        <v>432</v>
      </c>
      <c r="C431" s="336" t="s">
        <v>1520</v>
      </c>
      <c r="D431" s="337">
        <f t="shared" si="24"/>
        <v>14.7300853333333</v>
      </c>
      <c r="F431" s="338">
        <v>46241</v>
      </c>
      <c r="G431" s="339" t="s">
        <v>1520</v>
      </c>
      <c r="H431" s="339" t="s">
        <v>432</v>
      </c>
      <c r="I431" s="339" t="s">
        <v>1522</v>
      </c>
      <c r="J431" s="340">
        <v>14.7300853333333</v>
      </c>
      <c r="K431" s="341" t="str">
        <f t="shared" si="25"/>
        <v>1º registro</v>
      </c>
      <c r="L431" s="342" t="str">
        <f t="shared" si="26"/>
        <v/>
      </c>
      <c r="M431" s="339" t="s">
        <v>1523</v>
      </c>
      <c r="N431" s="343" t="str">
        <f t="shared" si="27"/>
        <v>PIG HL | PIG HL — MÉDIA (140-160 KG/M³) | DN 3''|46241</v>
      </c>
    </row>
    <row r="432" spans="2:14" x14ac:dyDescent="0.3">
      <c r="B432" s="335" t="s">
        <v>433</v>
      </c>
      <c r="C432" s="336" t="s">
        <v>1520</v>
      </c>
      <c r="D432" s="337">
        <f t="shared" si="24"/>
        <v>28.2410376777778</v>
      </c>
      <c r="F432" s="338">
        <v>46241</v>
      </c>
      <c r="G432" s="339" t="s">
        <v>1520</v>
      </c>
      <c r="H432" s="339" t="s">
        <v>433</v>
      </c>
      <c r="I432" s="339" t="s">
        <v>1522</v>
      </c>
      <c r="J432" s="340">
        <v>28.2410376777778</v>
      </c>
      <c r="K432" s="341" t="str">
        <f t="shared" si="25"/>
        <v>1º registro</v>
      </c>
      <c r="L432" s="342" t="str">
        <f t="shared" si="26"/>
        <v/>
      </c>
      <c r="M432" s="339" t="s">
        <v>1523</v>
      </c>
      <c r="N432" s="343" t="str">
        <f t="shared" si="27"/>
        <v>PIG HL | PIG HL — MÉDIA (140-160 KG/M³) | DN 4''|46241</v>
      </c>
    </row>
    <row r="433" spans="2:14" x14ac:dyDescent="0.3">
      <c r="B433" s="335" t="s">
        <v>3</v>
      </c>
      <c r="C433" s="336" t="s">
        <v>1520</v>
      </c>
      <c r="D433" s="337">
        <f t="shared" si="24"/>
        <v>53.9131202777778</v>
      </c>
      <c r="F433" s="338">
        <v>46241</v>
      </c>
      <c r="G433" s="339" t="s">
        <v>1520</v>
      </c>
      <c r="H433" s="339" t="s">
        <v>3</v>
      </c>
      <c r="I433" s="339" t="s">
        <v>1522</v>
      </c>
      <c r="J433" s="340">
        <v>53.9131202777778</v>
      </c>
      <c r="K433" s="341" t="str">
        <f t="shared" si="25"/>
        <v>1º registro</v>
      </c>
      <c r="L433" s="342" t="str">
        <f t="shared" si="26"/>
        <v/>
      </c>
      <c r="M433" s="339" t="s">
        <v>1523</v>
      </c>
      <c r="N433" s="343" t="str">
        <f t="shared" si="27"/>
        <v>PIG HL | PIG HL — MÉDIA (140-160 KG/M³) | DN 6''|46241</v>
      </c>
    </row>
    <row r="434" spans="2:14" x14ac:dyDescent="0.3">
      <c r="B434" s="335" t="s">
        <v>434</v>
      </c>
      <c r="C434" s="336" t="s">
        <v>1520</v>
      </c>
      <c r="D434" s="337">
        <f t="shared" si="24"/>
        <v>76.332047122222207</v>
      </c>
      <c r="F434" s="338">
        <v>46241</v>
      </c>
      <c r="G434" s="339" t="s">
        <v>1520</v>
      </c>
      <c r="H434" s="339" t="s">
        <v>434</v>
      </c>
      <c r="I434" s="339" t="s">
        <v>1522</v>
      </c>
      <c r="J434" s="340">
        <v>76.332047122222207</v>
      </c>
      <c r="K434" s="341" t="str">
        <f t="shared" si="25"/>
        <v>1º registro</v>
      </c>
      <c r="L434" s="342" t="str">
        <f t="shared" si="26"/>
        <v/>
      </c>
      <c r="M434" s="339" t="s">
        <v>1523</v>
      </c>
      <c r="N434" s="343" t="str">
        <f t="shared" si="27"/>
        <v>PIG HL | PIG HL — MÉDIA (140-160 KG/M³) | DN 7''|46241</v>
      </c>
    </row>
    <row r="435" spans="2:14" x14ac:dyDescent="0.3">
      <c r="B435" s="335" t="s">
        <v>435</v>
      </c>
      <c r="C435" s="336" t="s">
        <v>1520</v>
      </c>
      <c r="D435" s="337">
        <f t="shared" si="24"/>
        <v>102.193510733333</v>
      </c>
      <c r="F435" s="338">
        <v>46241</v>
      </c>
      <c r="G435" s="339" t="s">
        <v>1520</v>
      </c>
      <c r="H435" s="339" t="s">
        <v>435</v>
      </c>
      <c r="I435" s="339" t="s">
        <v>1522</v>
      </c>
      <c r="J435" s="340">
        <v>102.193510733333</v>
      </c>
      <c r="K435" s="341" t="str">
        <f t="shared" si="25"/>
        <v>1º registro</v>
      </c>
      <c r="L435" s="342" t="str">
        <f t="shared" si="26"/>
        <v/>
      </c>
      <c r="M435" s="339" t="s">
        <v>1523</v>
      </c>
      <c r="N435" s="343" t="str">
        <f t="shared" si="27"/>
        <v>PIG HL | PIG HL — MÉDIA (140-160 KG/M³) | DN 8''|46241</v>
      </c>
    </row>
    <row r="436" spans="2:14" x14ac:dyDescent="0.3">
      <c r="B436" s="335" t="s">
        <v>436</v>
      </c>
      <c r="C436" s="336" t="s">
        <v>1520</v>
      </c>
      <c r="D436" s="337">
        <f t="shared" si="24"/>
        <v>157.90834883333301</v>
      </c>
      <c r="F436" s="338">
        <v>46241</v>
      </c>
      <c r="G436" s="339" t="s">
        <v>1520</v>
      </c>
      <c r="H436" s="339" t="s">
        <v>436</v>
      </c>
      <c r="I436" s="339" t="s">
        <v>1522</v>
      </c>
      <c r="J436" s="340">
        <v>157.90834883333301</v>
      </c>
      <c r="K436" s="341" t="str">
        <f t="shared" si="25"/>
        <v>1º registro</v>
      </c>
      <c r="L436" s="342" t="str">
        <f t="shared" si="26"/>
        <v/>
      </c>
      <c r="M436" s="339" t="s">
        <v>1523</v>
      </c>
      <c r="N436" s="343" t="str">
        <f t="shared" si="27"/>
        <v>PIG HL | PIG HL — MÉDIA (140-160 KG/M³) | DN 10''|46241</v>
      </c>
    </row>
    <row r="437" spans="2:14" x14ac:dyDescent="0.3">
      <c r="B437" s="335" t="s">
        <v>437</v>
      </c>
      <c r="C437" s="336" t="s">
        <v>1520</v>
      </c>
      <c r="D437" s="337">
        <f t="shared" si="24"/>
        <v>230.00524773333299</v>
      </c>
      <c r="F437" s="338">
        <v>46241</v>
      </c>
      <c r="G437" s="339" t="s">
        <v>1520</v>
      </c>
      <c r="H437" s="339" t="s">
        <v>437</v>
      </c>
      <c r="I437" s="339" t="s">
        <v>1522</v>
      </c>
      <c r="J437" s="340">
        <v>230.00524773333299</v>
      </c>
      <c r="K437" s="341" t="str">
        <f t="shared" si="25"/>
        <v>1º registro</v>
      </c>
      <c r="L437" s="342" t="str">
        <f t="shared" si="26"/>
        <v/>
      </c>
      <c r="M437" s="339" t="s">
        <v>1523</v>
      </c>
      <c r="N437" s="343" t="str">
        <f t="shared" si="27"/>
        <v>PIG HL | PIG HL — MÉDIA (140-160 KG/M³) | DN 12''|46241</v>
      </c>
    </row>
    <row r="438" spans="2:14" x14ac:dyDescent="0.3">
      <c r="B438" s="335" t="s">
        <v>438</v>
      </c>
      <c r="C438" s="336" t="s">
        <v>1520</v>
      </c>
      <c r="D438" s="337">
        <f t="shared" si="24"/>
        <v>340.666863466667</v>
      </c>
      <c r="F438" s="338">
        <v>46241</v>
      </c>
      <c r="G438" s="339" t="s">
        <v>1520</v>
      </c>
      <c r="H438" s="339" t="s">
        <v>438</v>
      </c>
      <c r="I438" s="339" t="s">
        <v>1522</v>
      </c>
      <c r="J438" s="340">
        <v>340.666863466667</v>
      </c>
      <c r="K438" s="341" t="str">
        <f t="shared" si="25"/>
        <v>1º registro</v>
      </c>
      <c r="L438" s="342" t="str">
        <f t="shared" si="26"/>
        <v/>
      </c>
      <c r="M438" s="339" t="s">
        <v>1523</v>
      </c>
      <c r="N438" s="343" t="str">
        <f t="shared" si="27"/>
        <v>PIG HL | PIG HL — MÉDIA (140-160 KG/M³) | DN 14''|46241</v>
      </c>
    </row>
    <row r="439" spans="2:14" x14ac:dyDescent="0.3">
      <c r="B439" s="335" t="s">
        <v>439</v>
      </c>
      <c r="C439" s="336" t="s">
        <v>1520</v>
      </c>
      <c r="D439" s="337">
        <f t="shared" si="24"/>
        <v>495.46010036666701</v>
      </c>
      <c r="F439" s="338">
        <v>46241</v>
      </c>
      <c r="G439" s="339" t="s">
        <v>1520</v>
      </c>
      <c r="H439" s="339" t="s">
        <v>439</v>
      </c>
      <c r="I439" s="339" t="s">
        <v>1522</v>
      </c>
      <c r="J439" s="340">
        <v>495.46010036666701</v>
      </c>
      <c r="K439" s="341" t="str">
        <f t="shared" si="25"/>
        <v>1º registro</v>
      </c>
      <c r="L439" s="342" t="str">
        <f t="shared" si="26"/>
        <v/>
      </c>
      <c r="M439" s="339" t="s">
        <v>1523</v>
      </c>
      <c r="N439" s="343" t="str">
        <f t="shared" si="27"/>
        <v>PIG HL | PIG HL — MÉDIA (140-160 KG/M³) | DN 16''|46241</v>
      </c>
    </row>
    <row r="440" spans="2:14" x14ac:dyDescent="0.3">
      <c r="B440" s="335" t="s">
        <v>440</v>
      </c>
      <c r="C440" s="336" t="s">
        <v>1520</v>
      </c>
      <c r="D440" s="337">
        <f t="shared" si="24"/>
        <v>700.76615646666698</v>
      </c>
      <c r="F440" s="338">
        <v>46241</v>
      </c>
      <c r="G440" s="339" t="s">
        <v>1520</v>
      </c>
      <c r="H440" s="339" t="s">
        <v>440</v>
      </c>
      <c r="I440" s="339" t="s">
        <v>1522</v>
      </c>
      <c r="J440" s="340">
        <v>700.76615646666698</v>
      </c>
      <c r="K440" s="341" t="str">
        <f t="shared" si="25"/>
        <v>1º registro</v>
      </c>
      <c r="L440" s="342" t="str">
        <f t="shared" si="26"/>
        <v/>
      </c>
      <c r="M440" s="339" t="s">
        <v>1523</v>
      </c>
      <c r="N440" s="343" t="str">
        <f t="shared" si="27"/>
        <v>PIG HL | PIG HL — MÉDIA (140-160 KG/M³) | DN 18''|46241</v>
      </c>
    </row>
    <row r="441" spans="2:14" x14ac:dyDescent="0.3">
      <c r="B441" s="335" t="s">
        <v>441</v>
      </c>
      <c r="C441" s="336" t="s">
        <v>1520</v>
      </c>
      <c r="D441" s="337">
        <f t="shared" si="24"/>
        <v>898.85750633333305</v>
      </c>
      <c r="F441" s="338">
        <v>46241</v>
      </c>
      <c r="G441" s="339" t="s">
        <v>1520</v>
      </c>
      <c r="H441" s="339" t="s">
        <v>441</v>
      </c>
      <c r="I441" s="339" t="s">
        <v>1522</v>
      </c>
      <c r="J441" s="340">
        <v>898.85750633333305</v>
      </c>
      <c r="K441" s="341" t="str">
        <f t="shared" si="25"/>
        <v>1º registro</v>
      </c>
      <c r="L441" s="342" t="str">
        <f t="shared" si="26"/>
        <v/>
      </c>
      <c r="M441" s="339" t="s">
        <v>1523</v>
      </c>
      <c r="N441" s="343" t="str">
        <f t="shared" si="27"/>
        <v>PIG HL | PIG HL — MÉDIA (140-160 KG/M³) | DN 20''|46241</v>
      </c>
    </row>
    <row r="442" spans="2:14" x14ac:dyDescent="0.3">
      <c r="B442" s="335" t="s">
        <v>442</v>
      </c>
      <c r="C442" s="336" t="s">
        <v>1520</v>
      </c>
      <c r="D442" s="337">
        <f t="shared" si="24"/>
        <v>1193.08595636667</v>
      </c>
      <c r="F442" s="338">
        <v>46241</v>
      </c>
      <c r="G442" s="339" t="s">
        <v>1520</v>
      </c>
      <c r="H442" s="339" t="s">
        <v>442</v>
      </c>
      <c r="I442" s="339" t="s">
        <v>1522</v>
      </c>
      <c r="J442" s="340">
        <v>1193.08595636667</v>
      </c>
      <c r="K442" s="341" t="str">
        <f t="shared" si="25"/>
        <v>1º registro</v>
      </c>
      <c r="L442" s="342" t="str">
        <f t="shared" si="26"/>
        <v/>
      </c>
      <c r="M442" s="339" t="s">
        <v>1523</v>
      </c>
      <c r="N442" s="343" t="str">
        <f t="shared" si="27"/>
        <v>PIG HL | PIG HL — MÉDIA (140-160 KG/M³) | DN 22''|46241</v>
      </c>
    </row>
    <row r="443" spans="2:14" x14ac:dyDescent="0.3">
      <c r="B443" s="335" t="s">
        <v>443</v>
      </c>
      <c r="C443" s="336" t="s">
        <v>1520</v>
      </c>
      <c r="D443" s="337">
        <f t="shared" si="24"/>
        <v>1359.2251269000001</v>
      </c>
      <c r="F443" s="338">
        <v>46241</v>
      </c>
      <c r="G443" s="339" t="s">
        <v>1520</v>
      </c>
      <c r="H443" s="339" t="s">
        <v>443</v>
      </c>
      <c r="I443" s="339" t="s">
        <v>1522</v>
      </c>
      <c r="J443" s="340">
        <v>1359.2251269000001</v>
      </c>
      <c r="K443" s="341" t="str">
        <f t="shared" si="25"/>
        <v>1º registro</v>
      </c>
      <c r="L443" s="342" t="str">
        <f t="shared" si="26"/>
        <v/>
      </c>
      <c r="M443" s="339" t="s">
        <v>1523</v>
      </c>
      <c r="N443" s="343" t="str">
        <f t="shared" si="27"/>
        <v>PIG HL | PIG HL — MÉDIA (140-160 KG/M³) | DN 24''|46241</v>
      </c>
    </row>
    <row r="444" spans="2:14" x14ac:dyDescent="0.3">
      <c r="B444" s="335" t="s">
        <v>444</v>
      </c>
      <c r="C444" s="336" t="s">
        <v>1520</v>
      </c>
      <c r="D444" s="337">
        <f t="shared" si="24"/>
        <v>1626.7028772666699</v>
      </c>
      <c r="F444" s="338">
        <v>46241</v>
      </c>
      <c r="G444" s="339" t="s">
        <v>1520</v>
      </c>
      <c r="H444" s="339" t="s">
        <v>444</v>
      </c>
      <c r="I444" s="339" t="s">
        <v>1522</v>
      </c>
      <c r="J444" s="340">
        <v>1626.7028772666699</v>
      </c>
      <c r="K444" s="341" t="str">
        <f t="shared" si="25"/>
        <v>1º registro</v>
      </c>
      <c r="L444" s="342" t="str">
        <f t="shared" si="26"/>
        <v/>
      </c>
      <c r="M444" s="339" t="s">
        <v>1523</v>
      </c>
      <c r="N444" s="343" t="str">
        <f t="shared" si="27"/>
        <v>PIG HL | PIG HL — MÉDIA (140-160 KG/M³) | DN 26''|46241</v>
      </c>
    </row>
    <row r="445" spans="2:14" x14ac:dyDescent="0.3">
      <c r="B445" s="335" t="s">
        <v>445</v>
      </c>
      <c r="C445" s="336" t="s">
        <v>1520</v>
      </c>
      <c r="D445" s="337">
        <f t="shared" si="24"/>
        <v>1854.5475612666701</v>
      </c>
      <c r="F445" s="338">
        <v>46241</v>
      </c>
      <c r="G445" s="339" t="s">
        <v>1520</v>
      </c>
      <c r="H445" s="339" t="s">
        <v>445</v>
      </c>
      <c r="I445" s="339" t="s">
        <v>1522</v>
      </c>
      <c r="J445" s="340">
        <v>1854.5475612666701</v>
      </c>
      <c r="K445" s="341" t="str">
        <f t="shared" si="25"/>
        <v>1º registro</v>
      </c>
      <c r="L445" s="342" t="str">
        <f t="shared" si="26"/>
        <v/>
      </c>
      <c r="M445" s="339" t="s">
        <v>1523</v>
      </c>
      <c r="N445" s="343" t="str">
        <f t="shared" si="27"/>
        <v>PIG HL | PIG HL — MÉDIA (140-160 KG/M³) | DN 28''|46241</v>
      </c>
    </row>
    <row r="446" spans="2:14" x14ac:dyDescent="0.3">
      <c r="B446" s="335" t="s">
        <v>446</v>
      </c>
      <c r="C446" s="336" t="s">
        <v>1520</v>
      </c>
      <c r="D446" s="337">
        <f t="shared" si="24"/>
        <v>2673.950378</v>
      </c>
      <c r="F446" s="338">
        <v>46241</v>
      </c>
      <c r="G446" s="339" t="s">
        <v>1520</v>
      </c>
      <c r="H446" s="339" t="s">
        <v>446</v>
      </c>
      <c r="I446" s="339" t="s">
        <v>1522</v>
      </c>
      <c r="J446" s="340">
        <v>2673.950378</v>
      </c>
      <c r="K446" s="341" t="str">
        <f t="shared" si="25"/>
        <v>1º registro</v>
      </c>
      <c r="L446" s="342" t="str">
        <f t="shared" si="26"/>
        <v/>
      </c>
      <c r="M446" s="339" t="s">
        <v>1523</v>
      </c>
      <c r="N446" s="343" t="str">
        <f t="shared" si="27"/>
        <v>PIG HL | PIG HL — MÉDIA (140-160 KG/M³) | DN 30''|46241</v>
      </c>
    </row>
    <row r="447" spans="2:14" x14ac:dyDescent="0.3">
      <c r="B447" s="335" t="s">
        <v>447</v>
      </c>
      <c r="C447" s="336" t="s">
        <v>1520</v>
      </c>
      <c r="D447" s="337">
        <f t="shared" si="24"/>
        <v>2990.1330785</v>
      </c>
      <c r="F447" s="338">
        <v>46241</v>
      </c>
      <c r="G447" s="339" t="s">
        <v>1520</v>
      </c>
      <c r="H447" s="339" t="s">
        <v>447</v>
      </c>
      <c r="I447" s="339" t="s">
        <v>1522</v>
      </c>
      <c r="J447" s="340">
        <v>2990.1330785</v>
      </c>
      <c r="K447" s="341" t="str">
        <f t="shared" si="25"/>
        <v>1º registro</v>
      </c>
      <c r="L447" s="342" t="str">
        <f t="shared" si="26"/>
        <v/>
      </c>
      <c r="M447" s="339" t="s">
        <v>1523</v>
      </c>
      <c r="N447" s="343" t="str">
        <f t="shared" si="27"/>
        <v>PIG HL | PIG HL — MÉDIA (140-160 KG/M³) | DN 32''|46241</v>
      </c>
    </row>
    <row r="448" spans="2:14" x14ac:dyDescent="0.3">
      <c r="B448" s="335" t="s">
        <v>448</v>
      </c>
      <c r="C448" s="336" t="s">
        <v>1520</v>
      </c>
      <c r="D448" s="337">
        <f t="shared" si="24"/>
        <v>3375.5463460000001</v>
      </c>
      <c r="F448" s="338">
        <v>46241</v>
      </c>
      <c r="G448" s="339" t="s">
        <v>1520</v>
      </c>
      <c r="H448" s="339" t="s">
        <v>448</v>
      </c>
      <c r="I448" s="339" t="s">
        <v>1522</v>
      </c>
      <c r="J448" s="340">
        <v>3375.5463460000001</v>
      </c>
      <c r="K448" s="341" t="str">
        <f t="shared" si="25"/>
        <v>1º registro</v>
      </c>
      <c r="L448" s="342" t="str">
        <f t="shared" si="26"/>
        <v/>
      </c>
      <c r="M448" s="339" t="s">
        <v>1523</v>
      </c>
      <c r="N448" s="343" t="str">
        <f t="shared" si="27"/>
        <v>PIG HL | PIG HL — MÉDIA (140-160 KG/M³) | DN 34''|46241</v>
      </c>
    </row>
    <row r="449" spans="2:14" x14ac:dyDescent="0.3">
      <c r="B449" s="335" t="s">
        <v>449</v>
      </c>
      <c r="C449" s="336" t="s">
        <v>1520</v>
      </c>
      <c r="D449" s="337">
        <f t="shared" si="24"/>
        <v>3964.7072244999999</v>
      </c>
      <c r="F449" s="338">
        <v>46241</v>
      </c>
      <c r="G449" s="339" t="s">
        <v>1520</v>
      </c>
      <c r="H449" s="339" t="s">
        <v>449</v>
      </c>
      <c r="I449" s="339" t="s">
        <v>1522</v>
      </c>
      <c r="J449" s="340">
        <v>3964.7072244999999</v>
      </c>
      <c r="K449" s="341" t="str">
        <f t="shared" si="25"/>
        <v>1º registro</v>
      </c>
      <c r="L449" s="342" t="str">
        <f t="shared" si="26"/>
        <v/>
      </c>
      <c r="M449" s="339" t="s">
        <v>1523</v>
      </c>
      <c r="N449" s="343" t="str">
        <f t="shared" si="27"/>
        <v>PIG HL | PIG HL — MÉDIA (140-160 KG/M³) | DN 36''|46241</v>
      </c>
    </row>
    <row r="450" spans="2:14" x14ac:dyDescent="0.3">
      <c r="B450" s="335" t="s">
        <v>450</v>
      </c>
      <c r="C450" s="336" t="s">
        <v>1520</v>
      </c>
      <c r="D450" s="337">
        <f t="shared" si="24"/>
        <v>4811.9886828333301</v>
      </c>
      <c r="F450" s="338">
        <v>46241</v>
      </c>
      <c r="G450" s="339" t="s">
        <v>1520</v>
      </c>
      <c r="H450" s="339" t="s">
        <v>450</v>
      </c>
      <c r="I450" s="339" t="s">
        <v>1522</v>
      </c>
      <c r="J450" s="340">
        <v>4811.9886828333301</v>
      </c>
      <c r="K450" s="341" t="str">
        <f t="shared" si="25"/>
        <v>1º registro</v>
      </c>
      <c r="L450" s="342" t="str">
        <f t="shared" si="26"/>
        <v/>
      </c>
      <c r="M450" s="339" t="s">
        <v>1523</v>
      </c>
      <c r="N450" s="343" t="str">
        <f t="shared" si="27"/>
        <v>PIG HL | PIG HL — MÉDIA (140-160 KG/M³) | DN 38''|46241</v>
      </c>
    </row>
    <row r="451" spans="2:14" x14ac:dyDescent="0.3">
      <c r="B451" s="335" t="s">
        <v>451</v>
      </c>
      <c r="C451" s="336" t="s">
        <v>1520</v>
      </c>
      <c r="D451" s="337">
        <f t="shared" si="24"/>
        <v>5151.2835943333303</v>
      </c>
      <c r="F451" s="338">
        <v>46241</v>
      </c>
      <c r="G451" s="339" t="s">
        <v>1520</v>
      </c>
      <c r="H451" s="339" t="s">
        <v>451</v>
      </c>
      <c r="I451" s="339" t="s">
        <v>1522</v>
      </c>
      <c r="J451" s="340">
        <v>5151.2835943333303</v>
      </c>
      <c r="K451" s="341" t="str">
        <f t="shared" si="25"/>
        <v>1º registro</v>
      </c>
      <c r="L451" s="342" t="str">
        <f t="shared" si="26"/>
        <v/>
      </c>
      <c r="M451" s="339" t="s">
        <v>1523</v>
      </c>
      <c r="N451" s="343" t="str">
        <f t="shared" si="27"/>
        <v>PIG HL | PIG HL — MÉDIA (140-160 KG/M³) | DN 40''|46241</v>
      </c>
    </row>
    <row r="452" spans="2:14" x14ac:dyDescent="0.3">
      <c r="B452" s="335" t="s">
        <v>452</v>
      </c>
      <c r="C452" s="336" t="s">
        <v>1520</v>
      </c>
      <c r="D452" s="337">
        <f t="shared" si="24"/>
        <v>5767.4447606333297</v>
      </c>
      <c r="F452" s="338">
        <v>46241</v>
      </c>
      <c r="G452" s="339" t="s">
        <v>1520</v>
      </c>
      <c r="H452" s="339" t="s">
        <v>452</v>
      </c>
      <c r="I452" s="339" t="s">
        <v>1522</v>
      </c>
      <c r="J452" s="340">
        <v>5767.4447606333297</v>
      </c>
      <c r="K452" s="341" t="str">
        <f t="shared" si="25"/>
        <v>1º registro</v>
      </c>
      <c r="L452" s="342" t="str">
        <f t="shared" si="26"/>
        <v/>
      </c>
      <c r="M452" s="339" t="s">
        <v>1523</v>
      </c>
      <c r="N452" s="343" t="str">
        <f t="shared" si="27"/>
        <v>PIG HL | PIG HL — MÉDIA (140-160 KG/M³) | DN 42''|46241</v>
      </c>
    </row>
    <row r="453" spans="2:14" x14ac:dyDescent="0.3">
      <c r="B453" s="335" t="s">
        <v>453</v>
      </c>
      <c r="C453" s="336" t="s">
        <v>1520</v>
      </c>
      <c r="D453" s="337">
        <f t="shared" si="24"/>
        <v>6713.1376743333303</v>
      </c>
      <c r="F453" s="338">
        <v>46241</v>
      </c>
      <c r="G453" s="339" t="s">
        <v>1520</v>
      </c>
      <c r="H453" s="339" t="s">
        <v>453</v>
      </c>
      <c r="I453" s="339" t="s">
        <v>1522</v>
      </c>
      <c r="J453" s="340">
        <v>6713.1376743333303</v>
      </c>
      <c r="K453" s="341" t="str">
        <f t="shared" si="25"/>
        <v>1º registro</v>
      </c>
      <c r="L453" s="342" t="str">
        <f t="shared" si="26"/>
        <v/>
      </c>
      <c r="M453" s="339" t="s">
        <v>1523</v>
      </c>
      <c r="N453" s="343" t="str">
        <f t="shared" si="27"/>
        <v>PIG HL | PIG HL — MÉDIA (140-160 KG/M³) | DN 44''|46241</v>
      </c>
    </row>
    <row r="454" spans="2:14" x14ac:dyDescent="0.3">
      <c r="B454" s="335" t="s">
        <v>454</v>
      </c>
      <c r="C454" s="336" t="s">
        <v>1520</v>
      </c>
      <c r="D454" s="337">
        <f t="shared" si="24"/>
        <v>11.5692004333333</v>
      </c>
      <c r="F454" s="338">
        <v>46241</v>
      </c>
      <c r="G454" s="339" t="s">
        <v>1520</v>
      </c>
      <c r="H454" s="339" t="s">
        <v>454</v>
      </c>
      <c r="I454" s="339" t="s">
        <v>1522</v>
      </c>
      <c r="J454" s="340">
        <v>11.5692004333333</v>
      </c>
      <c r="K454" s="341" t="str">
        <f t="shared" si="25"/>
        <v>1º registro</v>
      </c>
      <c r="L454" s="342" t="str">
        <f t="shared" si="26"/>
        <v/>
      </c>
      <c r="M454" s="339" t="s">
        <v>1523</v>
      </c>
      <c r="N454" s="343" t="str">
        <f t="shared" si="27"/>
        <v>PIG HL | PIG HL — ALTA (170-190 KG/M³) | DN 2''|46241</v>
      </c>
    </row>
    <row r="455" spans="2:14" x14ac:dyDescent="0.3">
      <c r="B455" s="335" t="s">
        <v>456</v>
      </c>
      <c r="C455" s="336" t="s">
        <v>1520</v>
      </c>
      <c r="D455" s="337">
        <f t="shared" si="24"/>
        <v>15.137285333333301</v>
      </c>
      <c r="F455" s="338">
        <v>46241</v>
      </c>
      <c r="G455" s="339" t="s">
        <v>1520</v>
      </c>
      <c r="H455" s="339" t="s">
        <v>456</v>
      </c>
      <c r="I455" s="339" t="s">
        <v>1522</v>
      </c>
      <c r="J455" s="340">
        <v>15.137285333333301</v>
      </c>
      <c r="K455" s="341" t="str">
        <f t="shared" si="25"/>
        <v>1º registro</v>
      </c>
      <c r="L455" s="342" t="str">
        <f t="shared" si="26"/>
        <v/>
      </c>
      <c r="M455" s="339" t="s">
        <v>1523</v>
      </c>
      <c r="N455" s="343" t="str">
        <f t="shared" si="27"/>
        <v>PIG HL | PIG HL — ALTA (170-190 KG/M³) | DN 3''|46241</v>
      </c>
    </row>
    <row r="456" spans="2:14" x14ac:dyDescent="0.3">
      <c r="B456" s="335" t="s">
        <v>457</v>
      </c>
      <c r="C456" s="336" t="s">
        <v>1520</v>
      </c>
      <c r="D456" s="337">
        <f t="shared" si="24"/>
        <v>29.381197677777799</v>
      </c>
      <c r="F456" s="338">
        <v>46241</v>
      </c>
      <c r="G456" s="339" t="s">
        <v>1520</v>
      </c>
      <c r="H456" s="339" t="s">
        <v>457</v>
      </c>
      <c r="I456" s="339" t="s">
        <v>1522</v>
      </c>
      <c r="J456" s="340">
        <v>29.381197677777799</v>
      </c>
      <c r="K456" s="341" t="str">
        <f t="shared" si="25"/>
        <v>1º registro</v>
      </c>
      <c r="L456" s="342" t="str">
        <f t="shared" si="26"/>
        <v/>
      </c>
      <c r="M456" s="339" t="s">
        <v>1523</v>
      </c>
      <c r="N456" s="343" t="str">
        <f t="shared" si="27"/>
        <v>PIG HL | PIG HL — ALTA (170-190 KG/M³) | DN 4''|46241</v>
      </c>
    </row>
    <row r="457" spans="2:14" x14ac:dyDescent="0.3">
      <c r="B457" s="335" t="s">
        <v>458</v>
      </c>
      <c r="C457" s="336" t="s">
        <v>1520</v>
      </c>
      <c r="D457" s="337">
        <f t="shared" si="24"/>
        <v>58.392320277777799</v>
      </c>
      <c r="F457" s="338">
        <v>46241</v>
      </c>
      <c r="G457" s="339" t="s">
        <v>1520</v>
      </c>
      <c r="H457" s="339" t="s">
        <v>458</v>
      </c>
      <c r="I457" s="339" t="s">
        <v>1522</v>
      </c>
      <c r="J457" s="340">
        <v>58.392320277777799</v>
      </c>
      <c r="K457" s="341" t="str">
        <f t="shared" si="25"/>
        <v>1º registro</v>
      </c>
      <c r="L457" s="342" t="str">
        <f t="shared" si="26"/>
        <v/>
      </c>
      <c r="M457" s="339" t="s">
        <v>1523</v>
      </c>
      <c r="N457" s="343" t="str">
        <f t="shared" si="27"/>
        <v>PIG HL | PIG HL — ALTA (170-190 KG/M³) | DN 6''|46241</v>
      </c>
    </row>
    <row r="458" spans="2:14" x14ac:dyDescent="0.3">
      <c r="B458" s="335" t="s">
        <v>459</v>
      </c>
      <c r="C458" s="336" t="s">
        <v>1520</v>
      </c>
      <c r="D458" s="337">
        <f t="shared" si="24"/>
        <v>82.134647122222205</v>
      </c>
      <c r="F458" s="338">
        <v>46241</v>
      </c>
      <c r="G458" s="339" t="s">
        <v>1520</v>
      </c>
      <c r="H458" s="339" t="s">
        <v>459</v>
      </c>
      <c r="I458" s="339" t="s">
        <v>1522</v>
      </c>
      <c r="J458" s="340">
        <v>82.134647122222205</v>
      </c>
      <c r="K458" s="341" t="str">
        <f t="shared" si="25"/>
        <v>1º registro</v>
      </c>
      <c r="L458" s="342" t="str">
        <f t="shared" si="26"/>
        <v/>
      </c>
      <c r="M458" s="339" t="s">
        <v>1523</v>
      </c>
      <c r="N458" s="343" t="str">
        <f t="shared" si="27"/>
        <v>PIG HL | PIG HL — ALTA (170-190 KG/M³) | DN 7''|46241</v>
      </c>
    </row>
    <row r="459" spans="2:14" x14ac:dyDescent="0.3">
      <c r="B459" s="335" t="s">
        <v>460</v>
      </c>
      <c r="C459" s="336" t="s">
        <v>1520</v>
      </c>
      <c r="D459" s="337">
        <f t="shared" si="24"/>
        <v>110.887230733333</v>
      </c>
      <c r="F459" s="338">
        <v>46241</v>
      </c>
      <c r="G459" s="339" t="s">
        <v>1520</v>
      </c>
      <c r="H459" s="339" t="s">
        <v>460</v>
      </c>
      <c r="I459" s="339" t="s">
        <v>1522</v>
      </c>
      <c r="J459" s="340">
        <v>110.887230733333</v>
      </c>
      <c r="K459" s="341" t="str">
        <f t="shared" si="25"/>
        <v>1º registro</v>
      </c>
      <c r="L459" s="342" t="str">
        <f t="shared" si="26"/>
        <v/>
      </c>
      <c r="M459" s="339" t="s">
        <v>1523</v>
      </c>
      <c r="N459" s="343" t="str">
        <f t="shared" si="27"/>
        <v>PIG HL | PIG HL — ALTA (170-190 KG/M³) | DN 8''|46241</v>
      </c>
    </row>
    <row r="460" spans="2:14" x14ac:dyDescent="0.3">
      <c r="B460" s="335" t="s">
        <v>461</v>
      </c>
      <c r="C460" s="336" t="s">
        <v>1520</v>
      </c>
      <c r="D460" s="337">
        <f t="shared" si="24"/>
        <v>174.35922883333299</v>
      </c>
      <c r="F460" s="338">
        <v>46241</v>
      </c>
      <c r="G460" s="339" t="s">
        <v>1520</v>
      </c>
      <c r="H460" s="339" t="s">
        <v>461</v>
      </c>
      <c r="I460" s="339" t="s">
        <v>1522</v>
      </c>
      <c r="J460" s="340">
        <v>174.35922883333299</v>
      </c>
      <c r="K460" s="341" t="str">
        <f t="shared" si="25"/>
        <v>1º registro</v>
      </c>
      <c r="L460" s="342" t="str">
        <f t="shared" si="26"/>
        <v/>
      </c>
      <c r="M460" s="339" t="s">
        <v>1523</v>
      </c>
      <c r="N460" s="343" t="str">
        <f t="shared" si="27"/>
        <v>PIG HL | PIG HL — ALTA (170-190 KG/M³) | DN 10''|46241</v>
      </c>
    </row>
    <row r="461" spans="2:14" x14ac:dyDescent="0.3">
      <c r="B461" s="335" t="s">
        <v>462</v>
      </c>
      <c r="C461" s="336" t="s">
        <v>1520</v>
      </c>
      <c r="D461" s="337">
        <f t="shared" si="24"/>
        <v>257.08404773333302</v>
      </c>
      <c r="F461" s="338">
        <v>46241</v>
      </c>
      <c r="G461" s="339" t="s">
        <v>1520</v>
      </c>
      <c r="H461" s="339" t="s">
        <v>462</v>
      </c>
      <c r="I461" s="339" t="s">
        <v>1522</v>
      </c>
      <c r="J461" s="340">
        <v>257.08404773333302</v>
      </c>
      <c r="K461" s="341" t="str">
        <f t="shared" si="25"/>
        <v>1º registro</v>
      </c>
      <c r="L461" s="342" t="str">
        <f t="shared" si="26"/>
        <v/>
      </c>
      <c r="M461" s="339" t="s">
        <v>1523</v>
      </c>
      <c r="N461" s="343" t="str">
        <f t="shared" si="27"/>
        <v>PIG HL | PIG HL — ALTA (170-190 KG/M³) | DN 12''|46241</v>
      </c>
    </row>
    <row r="462" spans="2:14" x14ac:dyDescent="0.3">
      <c r="B462" s="335" t="s">
        <v>463</v>
      </c>
      <c r="C462" s="336" t="s">
        <v>1520</v>
      </c>
      <c r="D462" s="337">
        <f t="shared" si="24"/>
        <v>378.84186346666701</v>
      </c>
      <c r="F462" s="338">
        <v>46241</v>
      </c>
      <c r="G462" s="339" t="s">
        <v>1520</v>
      </c>
      <c r="H462" s="339" t="s">
        <v>463</v>
      </c>
      <c r="I462" s="339" t="s">
        <v>1522</v>
      </c>
      <c r="J462" s="340">
        <v>378.84186346666701</v>
      </c>
      <c r="K462" s="341" t="str">
        <f t="shared" si="25"/>
        <v>1º registro</v>
      </c>
      <c r="L462" s="342" t="str">
        <f t="shared" si="26"/>
        <v/>
      </c>
      <c r="M462" s="339" t="s">
        <v>1523</v>
      </c>
      <c r="N462" s="343" t="str">
        <f t="shared" si="27"/>
        <v>PIG HL | PIG HL — ALTA (170-190 KG/M³) | DN 14''|46241</v>
      </c>
    </row>
    <row r="463" spans="2:14" x14ac:dyDescent="0.3">
      <c r="B463" s="335" t="s">
        <v>464</v>
      </c>
      <c r="C463" s="336" t="s">
        <v>1520</v>
      </c>
      <c r="D463" s="337">
        <f t="shared" si="24"/>
        <v>547.37810036666701</v>
      </c>
      <c r="F463" s="338">
        <v>46241</v>
      </c>
      <c r="G463" s="339" t="s">
        <v>1520</v>
      </c>
      <c r="H463" s="339" t="s">
        <v>464</v>
      </c>
      <c r="I463" s="339" t="s">
        <v>1522</v>
      </c>
      <c r="J463" s="340">
        <v>547.37810036666701</v>
      </c>
      <c r="K463" s="341" t="str">
        <f t="shared" si="25"/>
        <v>1º registro</v>
      </c>
      <c r="L463" s="342" t="str">
        <f t="shared" si="26"/>
        <v/>
      </c>
      <c r="M463" s="339" t="s">
        <v>1523</v>
      </c>
      <c r="N463" s="343" t="str">
        <f t="shared" si="27"/>
        <v>PIG HL | PIG HL — ALTA (170-190 KG/M³) | DN 16''|46241</v>
      </c>
    </row>
    <row r="464" spans="2:14" x14ac:dyDescent="0.3">
      <c r="B464" s="335" t="s">
        <v>465</v>
      </c>
      <c r="C464" s="336" t="s">
        <v>1520</v>
      </c>
      <c r="D464" s="337">
        <f t="shared" si="24"/>
        <v>802.81047646666696</v>
      </c>
      <c r="F464" s="338">
        <v>46241</v>
      </c>
      <c r="G464" s="339" t="s">
        <v>1520</v>
      </c>
      <c r="H464" s="339" t="s">
        <v>465</v>
      </c>
      <c r="I464" s="339" t="s">
        <v>1522</v>
      </c>
      <c r="J464" s="340">
        <v>802.81047646666696</v>
      </c>
      <c r="K464" s="341" t="str">
        <f t="shared" si="25"/>
        <v>1º registro</v>
      </c>
      <c r="L464" s="342" t="str">
        <f t="shared" si="26"/>
        <v/>
      </c>
      <c r="M464" s="339" t="s">
        <v>1523</v>
      </c>
      <c r="N464" s="343" t="str">
        <f t="shared" si="27"/>
        <v>PIG HL | PIG HL — ALTA (170-190 KG/M³) | DN 18''|46241</v>
      </c>
    </row>
    <row r="465" spans="2:14" x14ac:dyDescent="0.3">
      <c r="B465" s="335" t="s">
        <v>466</v>
      </c>
      <c r="C465" s="336" t="s">
        <v>1520</v>
      </c>
      <c r="D465" s="337">
        <f t="shared" si="24"/>
        <v>1012.8735063333301</v>
      </c>
      <c r="F465" s="338">
        <v>46241</v>
      </c>
      <c r="G465" s="339" t="s">
        <v>1520</v>
      </c>
      <c r="H465" s="339" t="s">
        <v>466</v>
      </c>
      <c r="I465" s="339" t="s">
        <v>1522</v>
      </c>
      <c r="J465" s="340">
        <v>1012.8735063333301</v>
      </c>
      <c r="K465" s="341" t="str">
        <f t="shared" si="25"/>
        <v>1º registro</v>
      </c>
      <c r="L465" s="342" t="str">
        <f t="shared" si="26"/>
        <v/>
      </c>
      <c r="M465" s="339" t="s">
        <v>1523</v>
      </c>
      <c r="N465" s="343" t="str">
        <f t="shared" si="27"/>
        <v>PIG HL | PIG HL — ALTA (170-190 KG/M³) | DN 20''|46241</v>
      </c>
    </row>
    <row r="466" spans="2:14" x14ac:dyDescent="0.3">
      <c r="B466" s="335" t="s">
        <v>467</v>
      </c>
      <c r="C466" s="336" t="s">
        <v>1520</v>
      </c>
      <c r="D466" s="337">
        <f t="shared" si="24"/>
        <v>1345.78595636667</v>
      </c>
      <c r="F466" s="338">
        <v>46241</v>
      </c>
      <c r="G466" s="339" t="s">
        <v>1520</v>
      </c>
      <c r="H466" s="339" t="s">
        <v>467</v>
      </c>
      <c r="I466" s="339" t="s">
        <v>1522</v>
      </c>
      <c r="J466" s="340">
        <v>1345.78595636667</v>
      </c>
      <c r="K466" s="341" t="str">
        <f t="shared" si="25"/>
        <v>1º registro</v>
      </c>
      <c r="L466" s="342" t="str">
        <f t="shared" si="26"/>
        <v/>
      </c>
      <c r="M466" s="339" t="s">
        <v>1523</v>
      </c>
      <c r="N466" s="343" t="str">
        <f t="shared" si="27"/>
        <v>PIG HL | PIG HL — ALTA (170-190 KG/M³) | DN 22''|46241</v>
      </c>
    </row>
    <row r="467" spans="2:14" x14ac:dyDescent="0.3">
      <c r="B467" s="335" t="s">
        <v>468</v>
      </c>
      <c r="C467" s="336" t="s">
        <v>1520</v>
      </c>
      <c r="D467" s="337">
        <f t="shared" si="24"/>
        <v>1577.0771268999999</v>
      </c>
      <c r="F467" s="338">
        <v>46241</v>
      </c>
      <c r="G467" s="339" t="s">
        <v>1520</v>
      </c>
      <c r="H467" s="339" t="s">
        <v>468</v>
      </c>
      <c r="I467" s="339" t="s">
        <v>1522</v>
      </c>
      <c r="J467" s="340">
        <v>1577.0771268999999</v>
      </c>
      <c r="K467" s="341" t="str">
        <f t="shared" si="25"/>
        <v>1º registro</v>
      </c>
      <c r="L467" s="342" t="str">
        <f t="shared" si="26"/>
        <v/>
      </c>
      <c r="M467" s="339" t="s">
        <v>1523</v>
      </c>
      <c r="N467" s="343" t="str">
        <f t="shared" si="27"/>
        <v>PIG HL | PIG HL — ALTA (170-190 KG/M³) | DN 24''|46241</v>
      </c>
    </row>
    <row r="468" spans="2:14" x14ac:dyDescent="0.3">
      <c r="B468" s="335" t="s">
        <v>469</v>
      </c>
      <c r="C468" s="336" t="s">
        <v>1520</v>
      </c>
      <c r="D468" s="337">
        <f t="shared" si="24"/>
        <v>1974.8588772666701</v>
      </c>
      <c r="F468" s="338">
        <v>46241</v>
      </c>
      <c r="G468" s="339" t="s">
        <v>1520</v>
      </c>
      <c r="H468" s="339" t="s">
        <v>469</v>
      </c>
      <c r="I468" s="339" t="s">
        <v>1522</v>
      </c>
      <c r="J468" s="340">
        <v>1974.8588772666701</v>
      </c>
      <c r="K468" s="341" t="str">
        <f t="shared" si="25"/>
        <v>1º registro</v>
      </c>
      <c r="L468" s="342" t="str">
        <f t="shared" si="26"/>
        <v/>
      </c>
      <c r="M468" s="339" t="s">
        <v>1523</v>
      </c>
      <c r="N468" s="343" t="str">
        <f t="shared" si="27"/>
        <v>PIG HL | PIG HL — ALTA (170-190 KG/M³) | DN 26''|46241</v>
      </c>
    </row>
    <row r="469" spans="2:14" x14ac:dyDescent="0.3">
      <c r="B469" s="335" t="s">
        <v>470</v>
      </c>
      <c r="C469" s="336" t="s">
        <v>1520</v>
      </c>
      <c r="D469" s="337">
        <f t="shared" si="24"/>
        <v>2423.60956126667</v>
      </c>
      <c r="F469" s="338">
        <v>46241</v>
      </c>
      <c r="G469" s="339" t="s">
        <v>1520</v>
      </c>
      <c r="H469" s="339" t="s">
        <v>470</v>
      </c>
      <c r="I469" s="339" t="s">
        <v>1522</v>
      </c>
      <c r="J469" s="340">
        <v>2423.60956126667</v>
      </c>
      <c r="K469" s="341" t="str">
        <f t="shared" si="25"/>
        <v>1º registro</v>
      </c>
      <c r="L469" s="342" t="str">
        <f t="shared" si="26"/>
        <v/>
      </c>
      <c r="M469" s="339" t="s">
        <v>1523</v>
      </c>
      <c r="N469" s="343" t="str">
        <f t="shared" si="27"/>
        <v>PIG HL | PIG HL — ALTA (170-190 KG/M³) | DN 28''|46241</v>
      </c>
    </row>
    <row r="470" spans="2:14" x14ac:dyDescent="0.3">
      <c r="B470" s="335" t="s">
        <v>471</v>
      </c>
      <c r="C470" s="336" t="s">
        <v>1520</v>
      </c>
      <c r="D470" s="337">
        <f t="shared" ref="D470:D533" si="28">IF($B470="","",IFERROR(INDEX($J$21:$J$1200,MATCH($B470&amp;"|"&amp;TEXT(_xlfn.MAXIFS($F$21:$F$1200,$H$21:$H$1200,$B470,$F$21:$F$1200,"&lt;="&amp;EOMONTH(D$20,0)),"0"),$N$21:$N$1200,0)),"-"))</f>
        <v>3115.7623779999999</v>
      </c>
      <c r="F470" s="338">
        <v>46241</v>
      </c>
      <c r="G470" s="339" t="s">
        <v>1520</v>
      </c>
      <c r="H470" s="339" t="s">
        <v>471</v>
      </c>
      <c r="I470" s="339" t="s">
        <v>1522</v>
      </c>
      <c r="J470" s="340">
        <v>3115.7623779999999</v>
      </c>
      <c r="K470" s="341" t="str">
        <f t="shared" ref="K470:K533" si="29">IF($H470="","",IFERROR(INDEX($J$21:$J$1200,MATCH($H470&amp;"|"&amp;TEXT(_xlfn.MAXIFS($F$21:$F$1200,$H$21:$H$1200,$H470,$F$21:$F$1200,"&lt;"&amp;$F470),"0"),$N$21:$N$1200,0)),"1º registro"))</f>
        <v>1º registro</v>
      </c>
      <c r="L470" s="342" t="str">
        <f t="shared" ref="L470:L533" si="30">IF(OR($H470="",$K470="1º registro"),"",IFERROR(($J470-$K470)/$K470,""))</f>
        <v/>
      </c>
      <c r="M470" s="339" t="s">
        <v>1523</v>
      </c>
      <c r="N470" s="343" t="str">
        <f t="shared" ref="N470:N533" si="31">IF($H470="","",$H470&amp;"|"&amp;TEXT($F470,"0"))</f>
        <v>PIG HL | PIG HL — ALTA (170-190 KG/M³) | DN 30''|46241</v>
      </c>
    </row>
    <row r="471" spans="2:14" x14ac:dyDescent="0.3">
      <c r="B471" s="335" t="s">
        <v>472</v>
      </c>
      <c r="C471" s="336" t="s">
        <v>1520</v>
      </c>
      <c r="D471" s="337">
        <f t="shared" si="28"/>
        <v>3258.8850785</v>
      </c>
      <c r="F471" s="338">
        <v>46241</v>
      </c>
      <c r="G471" s="339" t="s">
        <v>1520</v>
      </c>
      <c r="H471" s="339" t="s">
        <v>472</v>
      </c>
      <c r="I471" s="339" t="s">
        <v>1522</v>
      </c>
      <c r="J471" s="340">
        <v>3258.8850785</v>
      </c>
      <c r="K471" s="341" t="str">
        <f t="shared" si="29"/>
        <v>1º registro</v>
      </c>
      <c r="L471" s="342" t="str">
        <f t="shared" si="30"/>
        <v/>
      </c>
      <c r="M471" s="339" t="s">
        <v>1523</v>
      </c>
      <c r="N471" s="343" t="str">
        <f t="shared" si="31"/>
        <v>PIG HL | PIG HL — ALTA (170-190 KG/M³) | DN 32''|46241</v>
      </c>
    </row>
    <row r="472" spans="2:14" x14ac:dyDescent="0.3">
      <c r="B472" s="335" t="s">
        <v>473</v>
      </c>
      <c r="C472" s="336" t="s">
        <v>1520</v>
      </c>
      <c r="D472" s="337">
        <f t="shared" si="28"/>
        <v>4072.876346</v>
      </c>
      <c r="F472" s="338">
        <v>46241</v>
      </c>
      <c r="G472" s="339" t="s">
        <v>1520</v>
      </c>
      <c r="H472" s="339" t="s">
        <v>473</v>
      </c>
      <c r="I472" s="339" t="s">
        <v>1522</v>
      </c>
      <c r="J472" s="340">
        <v>4072.876346</v>
      </c>
      <c r="K472" s="341" t="str">
        <f t="shared" si="29"/>
        <v>1º registro</v>
      </c>
      <c r="L472" s="342" t="str">
        <f t="shared" si="30"/>
        <v/>
      </c>
      <c r="M472" s="339" t="s">
        <v>1523</v>
      </c>
      <c r="N472" s="343" t="str">
        <f t="shared" si="31"/>
        <v>PIG HL | PIG HL — ALTA (170-190 KG/M³) | DN 34''|46241</v>
      </c>
    </row>
    <row r="473" spans="2:14" x14ac:dyDescent="0.3">
      <c r="B473" s="335" t="s">
        <v>474</v>
      </c>
      <c r="C473" s="336" t="s">
        <v>1520</v>
      </c>
      <c r="D473" s="337">
        <f t="shared" si="28"/>
        <v>4880.9072244999998</v>
      </c>
      <c r="F473" s="338">
        <v>46241</v>
      </c>
      <c r="G473" s="339" t="s">
        <v>1520</v>
      </c>
      <c r="H473" s="339" t="s">
        <v>474</v>
      </c>
      <c r="I473" s="339" t="s">
        <v>1522</v>
      </c>
      <c r="J473" s="340">
        <v>4880.9072244999998</v>
      </c>
      <c r="K473" s="341" t="str">
        <f t="shared" si="29"/>
        <v>1º registro</v>
      </c>
      <c r="L473" s="342" t="str">
        <f t="shared" si="30"/>
        <v/>
      </c>
      <c r="M473" s="339" t="s">
        <v>1523</v>
      </c>
      <c r="N473" s="343" t="str">
        <f t="shared" si="31"/>
        <v>PIG HL | PIG HL — ALTA (170-190 KG/M³) | DN 36''|46241</v>
      </c>
    </row>
    <row r="474" spans="2:14" x14ac:dyDescent="0.3">
      <c r="B474" s="335" t="s">
        <v>475</v>
      </c>
      <c r="C474" s="336" t="s">
        <v>1520</v>
      </c>
      <c r="D474" s="337">
        <f t="shared" si="28"/>
        <v>5870.7086828333304</v>
      </c>
      <c r="F474" s="338">
        <v>46241</v>
      </c>
      <c r="G474" s="339" t="s">
        <v>1520</v>
      </c>
      <c r="H474" s="339" t="s">
        <v>475</v>
      </c>
      <c r="I474" s="339" t="s">
        <v>1522</v>
      </c>
      <c r="J474" s="340">
        <v>5870.7086828333304</v>
      </c>
      <c r="K474" s="341" t="str">
        <f t="shared" si="29"/>
        <v>1º registro</v>
      </c>
      <c r="L474" s="342" t="str">
        <f t="shared" si="30"/>
        <v/>
      </c>
      <c r="M474" s="339" t="s">
        <v>1523</v>
      </c>
      <c r="N474" s="343" t="str">
        <f t="shared" si="31"/>
        <v>PIG HL | PIG HL — ALTA (170-190 KG/M³) | DN 38''|46241</v>
      </c>
    </row>
    <row r="475" spans="2:14" x14ac:dyDescent="0.3">
      <c r="B475" s="335" t="s">
        <v>476</v>
      </c>
      <c r="C475" s="336" t="s">
        <v>1520</v>
      </c>
      <c r="D475" s="337">
        <f t="shared" si="28"/>
        <v>6210.0035943333296</v>
      </c>
      <c r="F475" s="338">
        <v>46241</v>
      </c>
      <c r="G475" s="339" t="s">
        <v>1520</v>
      </c>
      <c r="H475" s="339" t="s">
        <v>476</v>
      </c>
      <c r="I475" s="339" t="s">
        <v>1522</v>
      </c>
      <c r="J475" s="340">
        <v>6210.0035943333296</v>
      </c>
      <c r="K475" s="341" t="str">
        <f t="shared" si="29"/>
        <v>1º registro</v>
      </c>
      <c r="L475" s="342" t="str">
        <f t="shared" si="30"/>
        <v/>
      </c>
      <c r="M475" s="339" t="s">
        <v>1523</v>
      </c>
      <c r="N475" s="343" t="str">
        <f t="shared" si="31"/>
        <v>PIG HL | PIG HL — ALTA (170-190 KG/M³) | DN 40''|46241</v>
      </c>
    </row>
    <row r="476" spans="2:14" x14ac:dyDescent="0.3">
      <c r="B476" s="335" t="s">
        <v>477</v>
      </c>
      <c r="C476" s="336" t="s">
        <v>1520</v>
      </c>
      <c r="D476" s="337">
        <f t="shared" si="28"/>
        <v>6856.7047606333299</v>
      </c>
      <c r="F476" s="338">
        <v>46241</v>
      </c>
      <c r="G476" s="339" t="s">
        <v>1520</v>
      </c>
      <c r="H476" s="339" t="s">
        <v>477</v>
      </c>
      <c r="I476" s="339" t="s">
        <v>1522</v>
      </c>
      <c r="J476" s="340">
        <v>6856.7047606333299</v>
      </c>
      <c r="K476" s="341" t="str">
        <f t="shared" si="29"/>
        <v>1º registro</v>
      </c>
      <c r="L476" s="342" t="str">
        <f t="shared" si="30"/>
        <v/>
      </c>
      <c r="M476" s="339" t="s">
        <v>1523</v>
      </c>
      <c r="N476" s="343" t="str">
        <f t="shared" si="31"/>
        <v>PIG HL | PIG HL — ALTA (170-190 KG/M³) | DN 42''|46241</v>
      </c>
    </row>
    <row r="477" spans="2:14" x14ac:dyDescent="0.3">
      <c r="B477" s="335" t="s">
        <v>478</v>
      </c>
      <c r="C477" s="336" t="s">
        <v>1520</v>
      </c>
      <c r="D477" s="337">
        <f t="shared" si="28"/>
        <v>7985.6376743333303</v>
      </c>
      <c r="F477" s="338">
        <v>46241</v>
      </c>
      <c r="G477" s="339" t="s">
        <v>1520</v>
      </c>
      <c r="H477" s="339" t="s">
        <v>478</v>
      </c>
      <c r="I477" s="339" t="s">
        <v>1522</v>
      </c>
      <c r="J477" s="340">
        <v>7985.6376743333303</v>
      </c>
      <c r="K477" s="341" t="str">
        <f t="shared" si="29"/>
        <v>1º registro</v>
      </c>
      <c r="L477" s="342" t="str">
        <f t="shared" si="30"/>
        <v/>
      </c>
      <c r="M477" s="339" t="s">
        <v>1523</v>
      </c>
      <c r="N477" s="343" t="str">
        <f t="shared" si="31"/>
        <v>PIG HL | PIG HL — ALTA (170-190 KG/M³) | DN 44''|46241</v>
      </c>
    </row>
    <row r="478" spans="2:14" x14ac:dyDescent="0.3">
      <c r="B478" s="335" t="s">
        <v>479</v>
      </c>
      <c r="C478" s="336" t="s">
        <v>1520</v>
      </c>
      <c r="D478" s="337">
        <f t="shared" si="28"/>
        <v>57.629940433333303</v>
      </c>
      <c r="F478" s="338">
        <v>46241</v>
      </c>
      <c r="G478" s="339" t="s">
        <v>1520</v>
      </c>
      <c r="H478" s="339" t="s">
        <v>479</v>
      </c>
      <c r="I478" s="339" t="s">
        <v>1522</v>
      </c>
      <c r="J478" s="340">
        <v>57.629940433333303</v>
      </c>
      <c r="K478" s="341" t="str">
        <f t="shared" si="29"/>
        <v>1º registro</v>
      </c>
      <c r="L478" s="342" t="str">
        <f t="shared" si="30"/>
        <v/>
      </c>
      <c r="M478" s="339" t="s">
        <v>1523</v>
      </c>
      <c r="N478" s="343" t="str">
        <f t="shared" si="31"/>
        <v>PIG HLR | PIG HLR — MÉDIA (140-160 KG/M³) | DN 2''|46241</v>
      </c>
    </row>
    <row r="479" spans="2:14" x14ac:dyDescent="0.3">
      <c r="B479" s="335" t="s">
        <v>482</v>
      </c>
      <c r="C479" s="336" t="s">
        <v>1520</v>
      </c>
      <c r="D479" s="337">
        <f t="shared" si="28"/>
        <v>79.437135333333302</v>
      </c>
      <c r="F479" s="338">
        <v>46241</v>
      </c>
      <c r="G479" s="339" t="s">
        <v>1520</v>
      </c>
      <c r="H479" s="339" t="s">
        <v>482</v>
      </c>
      <c r="I479" s="339" t="s">
        <v>1522</v>
      </c>
      <c r="J479" s="340">
        <v>79.437135333333302</v>
      </c>
      <c r="K479" s="341" t="str">
        <f t="shared" si="29"/>
        <v>1º registro</v>
      </c>
      <c r="L479" s="342" t="str">
        <f t="shared" si="30"/>
        <v/>
      </c>
      <c r="M479" s="339" t="s">
        <v>1523</v>
      </c>
      <c r="N479" s="343" t="str">
        <f t="shared" si="31"/>
        <v>PIG HLR | PIG HLR — MÉDIA (140-160 KG/M³) | DN 3''|46241</v>
      </c>
    </row>
    <row r="480" spans="2:14" x14ac:dyDescent="0.3">
      <c r="B480" s="335" t="s">
        <v>483</v>
      </c>
      <c r="C480" s="336" t="s">
        <v>1520</v>
      </c>
      <c r="D480" s="337">
        <f t="shared" si="28"/>
        <v>119.246723233333</v>
      </c>
      <c r="F480" s="338">
        <v>46241</v>
      </c>
      <c r="G480" s="339" t="s">
        <v>1520</v>
      </c>
      <c r="H480" s="339" t="s">
        <v>483</v>
      </c>
      <c r="I480" s="339" t="s">
        <v>1522</v>
      </c>
      <c r="J480" s="340">
        <v>119.246723233333</v>
      </c>
      <c r="K480" s="341" t="str">
        <f t="shared" si="29"/>
        <v>1º registro</v>
      </c>
      <c r="L480" s="342" t="str">
        <f t="shared" si="30"/>
        <v/>
      </c>
      <c r="M480" s="339" t="s">
        <v>1523</v>
      </c>
      <c r="N480" s="343" t="str">
        <f t="shared" si="31"/>
        <v>PIG HLR | PIG HLR — MÉDIA (140-160 KG/M³) | DN 4''|46241</v>
      </c>
    </row>
    <row r="481" spans="2:14" x14ac:dyDescent="0.3">
      <c r="B481" s="335" t="s">
        <v>484</v>
      </c>
      <c r="C481" s="336" t="s">
        <v>1520</v>
      </c>
      <c r="D481" s="337">
        <f t="shared" si="28"/>
        <v>217.71727583333299</v>
      </c>
      <c r="F481" s="338">
        <v>46241</v>
      </c>
      <c r="G481" s="339" t="s">
        <v>1520</v>
      </c>
      <c r="H481" s="339" t="s">
        <v>484</v>
      </c>
      <c r="I481" s="339" t="s">
        <v>1522</v>
      </c>
      <c r="J481" s="340">
        <v>217.71727583333299</v>
      </c>
      <c r="K481" s="341" t="str">
        <f t="shared" si="29"/>
        <v>1º registro</v>
      </c>
      <c r="L481" s="342" t="str">
        <f t="shared" si="30"/>
        <v/>
      </c>
      <c r="M481" s="339" t="s">
        <v>1523</v>
      </c>
      <c r="N481" s="343" t="str">
        <f t="shared" si="31"/>
        <v>PIG HLR | PIG HLR — MÉDIA (140-160 KG/M³) | DN 6''|46241</v>
      </c>
    </row>
    <row r="482" spans="2:14" x14ac:dyDescent="0.3">
      <c r="B482" s="335" t="s">
        <v>485</v>
      </c>
      <c r="C482" s="336" t="s">
        <v>1520</v>
      </c>
      <c r="D482" s="337">
        <f t="shared" si="28"/>
        <v>341.58195823333301</v>
      </c>
      <c r="F482" s="338">
        <v>46241</v>
      </c>
      <c r="G482" s="339" t="s">
        <v>1520</v>
      </c>
      <c r="H482" s="339" t="s">
        <v>485</v>
      </c>
      <c r="I482" s="339" t="s">
        <v>1522</v>
      </c>
      <c r="J482" s="340">
        <v>341.58195823333301</v>
      </c>
      <c r="K482" s="341" t="str">
        <f t="shared" si="29"/>
        <v>1º registro</v>
      </c>
      <c r="L482" s="342" t="str">
        <f t="shared" si="30"/>
        <v/>
      </c>
      <c r="M482" s="339" t="s">
        <v>1523</v>
      </c>
      <c r="N482" s="343" t="str">
        <f t="shared" si="31"/>
        <v>PIG HLR | PIG HLR — MÉDIA (140-160 KG/M³) | DN 7''|46241</v>
      </c>
    </row>
    <row r="483" spans="2:14" x14ac:dyDescent="0.3">
      <c r="B483" s="335" t="s">
        <v>486</v>
      </c>
      <c r="C483" s="336" t="s">
        <v>1520</v>
      </c>
      <c r="D483" s="337">
        <f t="shared" si="28"/>
        <v>379.39301073333303</v>
      </c>
      <c r="F483" s="338">
        <v>46241</v>
      </c>
      <c r="G483" s="339" t="s">
        <v>1520</v>
      </c>
      <c r="H483" s="339" t="s">
        <v>486</v>
      </c>
      <c r="I483" s="339" t="s">
        <v>1522</v>
      </c>
      <c r="J483" s="340">
        <v>379.39301073333303</v>
      </c>
      <c r="K483" s="341" t="str">
        <f t="shared" si="29"/>
        <v>1º registro</v>
      </c>
      <c r="L483" s="342" t="str">
        <f t="shared" si="30"/>
        <v/>
      </c>
      <c r="M483" s="339" t="s">
        <v>1523</v>
      </c>
      <c r="N483" s="343" t="str">
        <f t="shared" si="31"/>
        <v>PIG HLR | PIG HLR — MÉDIA (140-160 KG/M³) | DN 8''|46241</v>
      </c>
    </row>
    <row r="484" spans="2:14" x14ac:dyDescent="0.3">
      <c r="B484" s="335" t="s">
        <v>487</v>
      </c>
      <c r="C484" s="336" t="s">
        <v>1520</v>
      </c>
      <c r="D484" s="337">
        <f t="shared" si="28"/>
        <v>504.32993216666699</v>
      </c>
      <c r="F484" s="338">
        <v>46241</v>
      </c>
      <c r="G484" s="339" t="s">
        <v>1520</v>
      </c>
      <c r="H484" s="339" t="s">
        <v>487</v>
      </c>
      <c r="I484" s="339" t="s">
        <v>1522</v>
      </c>
      <c r="J484" s="340">
        <v>504.32993216666699</v>
      </c>
      <c r="K484" s="341" t="str">
        <f t="shared" si="29"/>
        <v>1º registro</v>
      </c>
      <c r="L484" s="342" t="str">
        <f t="shared" si="30"/>
        <v/>
      </c>
      <c r="M484" s="339" t="s">
        <v>1523</v>
      </c>
      <c r="N484" s="343" t="str">
        <f t="shared" si="31"/>
        <v>PIG HLR | PIG HLR — MÉDIA (140-160 KG/M³) | DN 10''|46241</v>
      </c>
    </row>
    <row r="485" spans="2:14" x14ac:dyDescent="0.3">
      <c r="B485" s="335" t="s">
        <v>488</v>
      </c>
      <c r="C485" s="336" t="s">
        <v>1520</v>
      </c>
      <c r="D485" s="337">
        <f t="shared" si="28"/>
        <v>685.848831066667</v>
      </c>
      <c r="F485" s="338">
        <v>46241</v>
      </c>
      <c r="G485" s="339" t="s">
        <v>1520</v>
      </c>
      <c r="H485" s="339" t="s">
        <v>488</v>
      </c>
      <c r="I485" s="339" t="s">
        <v>1522</v>
      </c>
      <c r="J485" s="340">
        <v>685.848831066667</v>
      </c>
      <c r="K485" s="341" t="str">
        <f t="shared" si="29"/>
        <v>1º registro</v>
      </c>
      <c r="L485" s="342" t="str">
        <f t="shared" si="30"/>
        <v/>
      </c>
      <c r="M485" s="339" t="s">
        <v>1523</v>
      </c>
      <c r="N485" s="343" t="str">
        <f t="shared" si="31"/>
        <v>PIG HLR | PIG HLR — MÉDIA (140-160 KG/M³) | DN 12''|46241</v>
      </c>
    </row>
    <row r="486" spans="2:14" x14ac:dyDescent="0.3">
      <c r="B486" s="335" t="s">
        <v>489</v>
      </c>
      <c r="C486" s="336" t="s">
        <v>1520</v>
      </c>
      <c r="D486" s="337">
        <f t="shared" si="28"/>
        <v>976.91463013333305</v>
      </c>
      <c r="F486" s="338">
        <v>46241</v>
      </c>
      <c r="G486" s="339" t="s">
        <v>1520</v>
      </c>
      <c r="H486" s="339" t="s">
        <v>489</v>
      </c>
      <c r="I486" s="339" t="s">
        <v>1522</v>
      </c>
      <c r="J486" s="340">
        <v>976.91463013333305</v>
      </c>
      <c r="K486" s="341" t="str">
        <f t="shared" si="29"/>
        <v>1º registro</v>
      </c>
      <c r="L486" s="342" t="str">
        <f t="shared" si="30"/>
        <v/>
      </c>
      <c r="M486" s="339" t="s">
        <v>1523</v>
      </c>
      <c r="N486" s="343" t="str">
        <f t="shared" si="31"/>
        <v>PIG HLR | PIG HLR — MÉDIA (140-160 KG/M³) | DN 14''|46241</v>
      </c>
    </row>
    <row r="487" spans="2:14" x14ac:dyDescent="0.3">
      <c r="B487" s="335" t="s">
        <v>490</v>
      </c>
      <c r="C487" s="336" t="s">
        <v>1520</v>
      </c>
      <c r="D487" s="337">
        <f t="shared" si="28"/>
        <v>1107.53446703333</v>
      </c>
      <c r="F487" s="338">
        <v>46241</v>
      </c>
      <c r="G487" s="339" t="s">
        <v>1520</v>
      </c>
      <c r="H487" s="339" t="s">
        <v>490</v>
      </c>
      <c r="I487" s="339" t="s">
        <v>1522</v>
      </c>
      <c r="J487" s="340">
        <v>1107.53446703333</v>
      </c>
      <c r="K487" s="341" t="str">
        <f t="shared" si="29"/>
        <v>1º registro</v>
      </c>
      <c r="L487" s="342" t="str">
        <f t="shared" si="30"/>
        <v/>
      </c>
      <c r="M487" s="339" t="s">
        <v>1523</v>
      </c>
      <c r="N487" s="343" t="str">
        <f t="shared" si="31"/>
        <v>PIG HLR | PIG HLR — MÉDIA (140-160 KG/M³) | DN 16''|46241</v>
      </c>
    </row>
    <row r="488" spans="2:14" x14ac:dyDescent="0.3">
      <c r="B488" s="335" t="s">
        <v>491</v>
      </c>
      <c r="C488" s="336" t="s">
        <v>1520</v>
      </c>
      <c r="D488" s="337">
        <f t="shared" si="28"/>
        <v>1512.53567313333</v>
      </c>
      <c r="F488" s="338">
        <v>46241</v>
      </c>
      <c r="G488" s="339" t="s">
        <v>1520</v>
      </c>
      <c r="H488" s="339" t="s">
        <v>491</v>
      </c>
      <c r="I488" s="339" t="s">
        <v>1522</v>
      </c>
      <c r="J488" s="340">
        <v>1512.53567313333</v>
      </c>
      <c r="K488" s="341" t="str">
        <f t="shared" si="29"/>
        <v>1º registro</v>
      </c>
      <c r="L488" s="342" t="str">
        <f t="shared" si="30"/>
        <v/>
      </c>
      <c r="M488" s="339" t="s">
        <v>1523</v>
      </c>
      <c r="N488" s="343" t="str">
        <f t="shared" si="31"/>
        <v>PIG HLR | PIG HLR — MÉDIA (140-160 KG/M³) | DN 18''|46241</v>
      </c>
    </row>
    <row r="489" spans="2:14" x14ac:dyDescent="0.3">
      <c r="B489" s="335" t="s">
        <v>492</v>
      </c>
      <c r="C489" s="336" t="s">
        <v>1520</v>
      </c>
      <c r="D489" s="337">
        <f t="shared" si="28"/>
        <v>1938.2451063333301</v>
      </c>
      <c r="F489" s="338">
        <v>46241</v>
      </c>
      <c r="G489" s="339" t="s">
        <v>1520</v>
      </c>
      <c r="H489" s="339" t="s">
        <v>492</v>
      </c>
      <c r="I489" s="339" t="s">
        <v>1522</v>
      </c>
      <c r="J489" s="340">
        <v>1938.2451063333301</v>
      </c>
      <c r="K489" s="341" t="str">
        <f t="shared" si="29"/>
        <v>1º registro</v>
      </c>
      <c r="L489" s="342" t="str">
        <f t="shared" si="30"/>
        <v/>
      </c>
      <c r="M489" s="339" t="s">
        <v>1523</v>
      </c>
      <c r="N489" s="343" t="str">
        <f t="shared" si="31"/>
        <v>PIG HLR | PIG HLR — MÉDIA (140-160 KG/M³) | DN 20''|46241</v>
      </c>
    </row>
    <row r="490" spans="2:14" x14ac:dyDescent="0.3">
      <c r="B490" s="335" t="s">
        <v>493</v>
      </c>
      <c r="C490" s="336" t="s">
        <v>1520</v>
      </c>
      <c r="D490" s="337">
        <f t="shared" si="28"/>
        <v>2042.3732897</v>
      </c>
      <c r="F490" s="338">
        <v>46241</v>
      </c>
      <c r="G490" s="339" t="s">
        <v>1520</v>
      </c>
      <c r="H490" s="339" t="s">
        <v>493</v>
      </c>
      <c r="I490" s="339" t="s">
        <v>1522</v>
      </c>
      <c r="J490" s="340">
        <v>2042.3732897</v>
      </c>
      <c r="K490" s="341" t="str">
        <f t="shared" si="29"/>
        <v>1º registro</v>
      </c>
      <c r="L490" s="342" t="str">
        <f t="shared" si="30"/>
        <v/>
      </c>
      <c r="M490" s="339" t="s">
        <v>1523</v>
      </c>
      <c r="N490" s="343" t="str">
        <f t="shared" si="31"/>
        <v>PIG HLR | PIG HLR — MÉDIA (140-160 KG/M³) | DN 22''|46241</v>
      </c>
    </row>
    <row r="491" spans="2:14" x14ac:dyDescent="0.3">
      <c r="B491" s="335" t="s">
        <v>494</v>
      </c>
      <c r="C491" s="336" t="s">
        <v>1520</v>
      </c>
      <c r="D491" s="337">
        <f t="shared" si="28"/>
        <v>2769.9692602333298</v>
      </c>
      <c r="F491" s="338">
        <v>46241</v>
      </c>
      <c r="G491" s="339" t="s">
        <v>1520</v>
      </c>
      <c r="H491" s="339" t="s">
        <v>494</v>
      </c>
      <c r="I491" s="339" t="s">
        <v>1522</v>
      </c>
      <c r="J491" s="340">
        <v>2769.9692602333298</v>
      </c>
      <c r="K491" s="341" t="str">
        <f t="shared" si="29"/>
        <v>1º registro</v>
      </c>
      <c r="L491" s="342" t="str">
        <f t="shared" si="30"/>
        <v/>
      </c>
      <c r="M491" s="339" t="s">
        <v>1523</v>
      </c>
      <c r="N491" s="343" t="str">
        <f t="shared" si="31"/>
        <v>PIG HLR | PIG HLR — MÉDIA (140-160 KG/M³) | DN 24''|46241</v>
      </c>
    </row>
    <row r="492" spans="2:14" x14ac:dyDescent="0.3">
      <c r="B492" s="335" t="s">
        <v>495</v>
      </c>
      <c r="C492" s="336" t="s">
        <v>1520</v>
      </c>
      <c r="D492" s="337">
        <f t="shared" si="28"/>
        <v>3043.9836439333299</v>
      </c>
      <c r="F492" s="338">
        <v>46241</v>
      </c>
      <c r="G492" s="339" t="s">
        <v>1520</v>
      </c>
      <c r="H492" s="339" t="s">
        <v>495</v>
      </c>
      <c r="I492" s="339" t="s">
        <v>1522</v>
      </c>
      <c r="J492" s="340">
        <v>3043.9836439333299</v>
      </c>
      <c r="K492" s="341" t="str">
        <f t="shared" si="29"/>
        <v>1º registro</v>
      </c>
      <c r="L492" s="342" t="str">
        <f t="shared" si="30"/>
        <v/>
      </c>
      <c r="M492" s="339" t="s">
        <v>1523</v>
      </c>
      <c r="N492" s="343" t="str">
        <f t="shared" si="31"/>
        <v>PIG HLR | PIG HLR — MÉDIA (140-160 KG/M³) | DN 26''|46241</v>
      </c>
    </row>
    <row r="493" spans="2:14" x14ac:dyDescent="0.3">
      <c r="B493" s="335" t="s">
        <v>496</v>
      </c>
      <c r="C493" s="336" t="s">
        <v>1520</v>
      </c>
      <c r="D493" s="337">
        <f t="shared" si="28"/>
        <v>3244.0960279333299</v>
      </c>
      <c r="F493" s="338">
        <v>46241</v>
      </c>
      <c r="G493" s="339" t="s">
        <v>1520</v>
      </c>
      <c r="H493" s="339" t="s">
        <v>496</v>
      </c>
      <c r="I493" s="339" t="s">
        <v>1522</v>
      </c>
      <c r="J493" s="340">
        <v>3244.0960279333299</v>
      </c>
      <c r="K493" s="341" t="str">
        <f t="shared" si="29"/>
        <v>1º registro</v>
      </c>
      <c r="L493" s="342" t="str">
        <f t="shared" si="30"/>
        <v/>
      </c>
      <c r="M493" s="339" t="s">
        <v>1523</v>
      </c>
      <c r="N493" s="343" t="str">
        <f t="shared" si="31"/>
        <v>PIG HLR | PIG HLR — MÉDIA (140-160 KG/M³) | DN 28''|46241</v>
      </c>
    </row>
    <row r="494" spans="2:14" x14ac:dyDescent="0.3">
      <c r="B494" s="335" t="s">
        <v>497</v>
      </c>
      <c r="C494" s="336" t="s">
        <v>1520</v>
      </c>
      <c r="D494" s="337">
        <f t="shared" si="28"/>
        <v>4207.0645113333303</v>
      </c>
      <c r="F494" s="338">
        <v>46241</v>
      </c>
      <c r="G494" s="339" t="s">
        <v>1520</v>
      </c>
      <c r="H494" s="339" t="s">
        <v>497</v>
      </c>
      <c r="I494" s="339" t="s">
        <v>1522</v>
      </c>
      <c r="J494" s="340">
        <v>4207.0645113333303</v>
      </c>
      <c r="K494" s="341" t="str">
        <f t="shared" si="29"/>
        <v>1º registro</v>
      </c>
      <c r="L494" s="342" t="str">
        <f t="shared" si="30"/>
        <v/>
      </c>
      <c r="M494" s="339" t="s">
        <v>1523</v>
      </c>
      <c r="N494" s="343" t="str">
        <f t="shared" si="31"/>
        <v>PIG HLR | PIG HLR — MÉDIA (140-160 KG/M³) | DN 30''|46241</v>
      </c>
    </row>
    <row r="495" spans="2:14" x14ac:dyDescent="0.3">
      <c r="B495" s="335" t="s">
        <v>498</v>
      </c>
      <c r="C495" s="336" t="s">
        <v>1520</v>
      </c>
      <c r="D495" s="337">
        <f t="shared" si="28"/>
        <v>4822.8188118333301</v>
      </c>
      <c r="F495" s="338">
        <v>46241</v>
      </c>
      <c r="G495" s="339" t="s">
        <v>1520</v>
      </c>
      <c r="H495" s="339" t="s">
        <v>498</v>
      </c>
      <c r="I495" s="339" t="s">
        <v>1522</v>
      </c>
      <c r="J495" s="340">
        <v>4822.8188118333301</v>
      </c>
      <c r="K495" s="341" t="str">
        <f t="shared" si="29"/>
        <v>1º registro</v>
      </c>
      <c r="L495" s="342" t="str">
        <f t="shared" si="30"/>
        <v/>
      </c>
      <c r="M495" s="339" t="s">
        <v>1523</v>
      </c>
      <c r="N495" s="343" t="str">
        <f t="shared" si="31"/>
        <v>PIG HLR | PIG HLR — MÉDIA (140-160 KG/M³) | DN 32''|46241</v>
      </c>
    </row>
    <row r="496" spans="2:14" x14ac:dyDescent="0.3">
      <c r="B496" s="335" t="s">
        <v>499</v>
      </c>
      <c r="C496" s="336" t="s">
        <v>1520</v>
      </c>
      <c r="D496" s="337">
        <f t="shared" si="28"/>
        <v>5276.1992793333302</v>
      </c>
      <c r="F496" s="338">
        <v>46241</v>
      </c>
      <c r="G496" s="339" t="s">
        <v>1520</v>
      </c>
      <c r="H496" s="339" t="s">
        <v>499</v>
      </c>
      <c r="I496" s="339" t="s">
        <v>1522</v>
      </c>
      <c r="J496" s="340">
        <v>5276.1992793333302</v>
      </c>
      <c r="K496" s="341" t="str">
        <f t="shared" si="29"/>
        <v>1º registro</v>
      </c>
      <c r="L496" s="342" t="str">
        <f t="shared" si="30"/>
        <v/>
      </c>
      <c r="M496" s="339" t="s">
        <v>1523</v>
      </c>
      <c r="N496" s="343" t="str">
        <f t="shared" si="31"/>
        <v>PIG HLR | PIG HLR — MÉDIA (140-160 KG/M³) | DN 34''|46241</v>
      </c>
    </row>
    <row r="497" spans="2:14" x14ac:dyDescent="0.3">
      <c r="B497" s="335" t="s">
        <v>500</v>
      </c>
      <c r="C497" s="336" t="s">
        <v>1520</v>
      </c>
      <c r="D497" s="337">
        <f t="shared" si="28"/>
        <v>5821.9549578333299</v>
      </c>
      <c r="F497" s="338">
        <v>46241</v>
      </c>
      <c r="G497" s="339" t="s">
        <v>1520</v>
      </c>
      <c r="H497" s="339" t="s">
        <v>500</v>
      </c>
      <c r="I497" s="339" t="s">
        <v>1522</v>
      </c>
      <c r="J497" s="340">
        <v>5821.9549578333299</v>
      </c>
      <c r="K497" s="341" t="str">
        <f t="shared" si="29"/>
        <v>1º registro</v>
      </c>
      <c r="L497" s="342" t="str">
        <f t="shared" si="30"/>
        <v/>
      </c>
      <c r="M497" s="339" t="s">
        <v>1523</v>
      </c>
      <c r="N497" s="343" t="str">
        <f t="shared" si="31"/>
        <v>PIG HLR | PIG HLR — MÉDIA (140-160 KG/M³) | DN 36''|46241</v>
      </c>
    </row>
    <row r="498" spans="2:14" x14ac:dyDescent="0.3">
      <c r="B498" s="335" t="s">
        <v>501</v>
      </c>
      <c r="C498" s="336" t="s">
        <v>1520</v>
      </c>
      <c r="D498" s="337">
        <f t="shared" si="28"/>
        <v>6646.6850828333299</v>
      </c>
      <c r="F498" s="338">
        <v>46241</v>
      </c>
      <c r="G498" s="339" t="s">
        <v>1520</v>
      </c>
      <c r="H498" s="339" t="s">
        <v>501</v>
      </c>
      <c r="I498" s="339" t="s">
        <v>1522</v>
      </c>
      <c r="J498" s="340">
        <v>6646.6850828333299</v>
      </c>
      <c r="K498" s="341" t="str">
        <f t="shared" si="29"/>
        <v>1º registro</v>
      </c>
      <c r="L498" s="342" t="str">
        <f t="shared" si="30"/>
        <v/>
      </c>
      <c r="M498" s="339" t="s">
        <v>1523</v>
      </c>
      <c r="N498" s="343" t="str">
        <f t="shared" si="31"/>
        <v>PIG HLR | PIG HLR — MÉDIA (140-160 KG/M³) | DN 38''|46241</v>
      </c>
    </row>
    <row r="499" spans="2:14" x14ac:dyDescent="0.3">
      <c r="B499" s="335" t="s">
        <v>502</v>
      </c>
      <c r="C499" s="336" t="s">
        <v>1520</v>
      </c>
      <c r="D499" s="337">
        <f t="shared" si="28"/>
        <v>7138.03572766667</v>
      </c>
      <c r="F499" s="338">
        <v>46241</v>
      </c>
      <c r="G499" s="339" t="s">
        <v>1520</v>
      </c>
      <c r="H499" s="339" t="s">
        <v>502</v>
      </c>
      <c r="I499" s="339" t="s">
        <v>1522</v>
      </c>
      <c r="J499" s="340">
        <v>7138.03572766667</v>
      </c>
      <c r="K499" s="341" t="str">
        <f t="shared" si="29"/>
        <v>1º registro</v>
      </c>
      <c r="L499" s="342" t="str">
        <f t="shared" si="30"/>
        <v/>
      </c>
      <c r="M499" s="339" t="s">
        <v>1523</v>
      </c>
      <c r="N499" s="343" t="str">
        <f t="shared" si="31"/>
        <v>PIG HLR | PIG HLR — MÉDIA (140-160 KG/M³) | DN 40''|46241</v>
      </c>
    </row>
    <row r="500" spans="2:14" x14ac:dyDescent="0.3">
      <c r="B500" s="335" t="s">
        <v>503</v>
      </c>
      <c r="C500" s="336" t="s">
        <v>1520</v>
      </c>
      <c r="D500" s="337">
        <f t="shared" si="28"/>
        <v>7902.5168939666701</v>
      </c>
      <c r="F500" s="338">
        <v>46241</v>
      </c>
      <c r="G500" s="339" t="s">
        <v>1520</v>
      </c>
      <c r="H500" s="339" t="s">
        <v>503</v>
      </c>
      <c r="I500" s="339" t="s">
        <v>1522</v>
      </c>
      <c r="J500" s="340">
        <v>7902.5168939666701</v>
      </c>
      <c r="K500" s="341" t="str">
        <f t="shared" si="29"/>
        <v>1º registro</v>
      </c>
      <c r="L500" s="342" t="str">
        <f t="shared" si="30"/>
        <v/>
      </c>
      <c r="M500" s="339" t="s">
        <v>1523</v>
      </c>
      <c r="N500" s="343" t="str">
        <f t="shared" si="31"/>
        <v>PIG HLR | PIG HLR — MÉDIA (140-160 KG/M³) | DN 42''|46241</v>
      </c>
    </row>
    <row r="501" spans="2:14" x14ac:dyDescent="0.3">
      <c r="B501" s="335" t="s">
        <v>504</v>
      </c>
      <c r="C501" s="336" t="s">
        <v>1520</v>
      </c>
      <c r="D501" s="337">
        <f t="shared" si="28"/>
        <v>9139.1382576666692</v>
      </c>
      <c r="F501" s="338">
        <v>46241</v>
      </c>
      <c r="G501" s="339" t="s">
        <v>1520</v>
      </c>
      <c r="H501" s="339" t="s">
        <v>504</v>
      </c>
      <c r="I501" s="339" t="s">
        <v>1522</v>
      </c>
      <c r="J501" s="340">
        <v>9139.1382576666692</v>
      </c>
      <c r="K501" s="341" t="str">
        <f t="shared" si="29"/>
        <v>1º registro</v>
      </c>
      <c r="L501" s="342" t="str">
        <f t="shared" si="30"/>
        <v/>
      </c>
      <c r="M501" s="339" t="s">
        <v>1523</v>
      </c>
      <c r="N501" s="343" t="str">
        <f t="shared" si="31"/>
        <v>PIG HLR | PIG HLR — MÉDIA (140-160 KG/M³) | DN 44''|46241</v>
      </c>
    </row>
    <row r="502" spans="2:14" x14ac:dyDescent="0.3">
      <c r="B502" s="335" t="s">
        <v>505</v>
      </c>
      <c r="C502" s="336" t="s">
        <v>1520</v>
      </c>
      <c r="D502" s="337">
        <f t="shared" si="28"/>
        <v>57.894620433333301</v>
      </c>
      <c r="F502" s="338">
        <v>46241</v>
      </c>
      <c r="G502" s="339" t="s">
        <v>1520</v>
      </c>
      <c r="H502" s="339" t="s">
        <v>505</v>
      </c>
      <c r="I502" s="339" t="s">
        <v>1522</v>
      </c>
      <c r="J502" s="340">
        <v>57.894620433333301</v>
      </c>
      <c r="K502" s="341" t="str">
        <f t="shared" si="29"/>
        <v>1º registro</v>
      </c>
      <c r="L502" s="342" t="str">
        <f t="shared" si="30"/>
        <v/>
      </c>
      <c r="M502" s="339" t="s">
        <v>1523</v>
      </c>
      <c r="N502" s="343" t="str">
        <f t="shared" si="31"/>
        <v>PIG HLR | PIG HLR — ALTA (170-190 KG/M³) | DN 2''|46241</v>
      </c>
    </row>
    <row r="503" spans="2:14" x14ac:dyDescent="0.3">
      <c r="B503" s="335" t="s">
        <v>507</v>
      </c>
      <c r="C503" s="336" t="s">
        <v>1520</v>
      </c>
      <c r="D503" s="337">
        <f t="shared" si="28"/>
        <v>79.844335333333305</v>
      </c>
      <c r="F503" s="338">
        <v>46241</v>
      </c>
      <c r="G503" s="339" t="s">
        <v>1520</v>
      </c>
      <c r="H503" s="339" t="s">
        <v>507</v>
      </c>
      <c r="I503" s="339" t="s">
        <v>1522</v>
      </c>
      <c r="J503" s="340">
        <v>79.844335333333305</v>
      </c>
      <c r="K503" s="341" t="str">
        <f t="shared" si="29"/>
        <v>1º registro</v>
      </c>
      <c r="L503" s="342" t="str">
        <f t="shared" si="30"/>
        <v/>
      </c>
      <c r="M503" s="339" t="s">
        <v>1523</v>
      </c>
      <c r="N503" s="343" t="str">
        <f t="shared" si="31"/>
        <v>PIG HLR | PIG HLR — ALTA (170-190 KG/M³) | DN 3''|46241</v>
      </c>
    </row>
    <row r="504" spans="2:14" x14ac:dyDescent="0.3">
      <c r="B504" s="335" t="s">
        <v>508</v>
      </c>
      <c r="C504" s="336" t="s">
        <v>1520</v>
      </c>
      <c r="D504" s="337">
        <f t="shared" si="28"/>
        <v>120.38688323333299</v>
      </c>
      <c r="F504" s="338">
        <v>46241</v>
      </c>
      <c r="G504" s="339" t="s">
        <v>1520</v>
      </c>
      <c r="H504" s="339" t="s">
        <v>508</v>
      </c>
      <c r="I504" s="339" t="s">
        <v>1522</v>
      </c>
      <c r="J504" s="340">
        <v>120.38688323333299</v>
      </c>
      <c r="K504" s="341" t="str">
        <f t="shared" si="29"/>
        <v>1º registro</v>
      </c>
      <c r="L504" s="342" t="str">
        <f t="shared" si="30"/>
        <v/>
      </c>
      <c r="M504" s="339" t="s">
        <v>1523</v>
      </c>
      <c r="N504" s="343" t="str">
        <f t="shared" si="31"/>
        <v>PIG HLR | PIG HLR — ALTA (170-190 KG/M³) | DN 4''|46241</v>
      </c>
    </row>
    <row r="505" spans="2:14" x14ac:dyDescent="0.3">
      <c r="B505" s="335" t="s">
        <v>509</v>
      </c>
      <c r="C505" s="336" t="s">
        <v>1520</v>
      </c>
      <c r="D505" s="337">
        <f t="shared" si="28"/>
        <v>222.19647583333301</v>
      </c>
      <c r="F505" s="338">
        <v>46241</v>
      </c>
      <c r="G505" s="339" t="s">
        <v>1520</v>
      </c>
      <c r="H505" s="339" t="s">
        <v>509</v>
      </c>
      <c r="I505" s="339" t="s">
        <v>1522</v>
      </c>
      <c r="J505" s="340">
        <v>222.19647583333301</v>
      </c>
      <c r="K505" s="341" t="str">
        <f t="shared" si="29"/>
        <v>1º registro</v>
      </c>
      <c r="L505" s="342" t="str">
        <f t="shared" si="30"/>
        <v/>
      </c>
      <c r="M505" s="339" t="s">
        <v>1523</v>
      </c>
      <c r="N505" s="343" t="str">
        <f t="shared" si="31"/>
        <v>PIG HLR | PIG HLR — ALTA (170-190 KG/M³) | DN 6''|46241</v>
      </c>
    </row>
    <row r="506" spans="2:14" x14ac:dyDescent="0.3">
      <c r="B506" s="335" t="s">
        <v>510</v>
      </c>
      <c r="C506" s="336" t="s">
        <v>1520</v>
      </c>
      <c r="D506" s="337">
        <f t="shared" si="28"/>
        <v>347.384558233333</v>
      </c>
      <c r="F506" s="338">
        <v>46241</v>
      </c>
      <c r="G506" s="339" t="s">
        <v>1520</v>
      </c>
      <c r="H506" s="339" t="s">
        <v>510</v>
      </c>
      <c r="I506" s="339" t="s">
        <v>1522</v>
      </c>
      <c r="J506" s="340">
        <v>347.384558233333</v>
      </c>
      <c r="K506" s="341" t="str">
        <f t="shared" si="29"/>
        <v>1º registro</v>
      </c>
      <c r="L506" s="342" t="str">
        <f t="shared" si="30"/>
        <v/>
      </c>
      <c r="M506" s="339" t="s">
        <v>1523</v>
      </c>
      <c r="N506" s="343" t="str">
        <f t="shared" si="31"/>
        <v>PIG HLR | PIG HLR — ALTA (170-190 KG/M³) | DN 7''|46241</v>
      </c>
    </row>
    <row r="507" spans="2:14" x14ac:dyDescent="0.3">
      <c r="B507" s="335" t="s">
        <v>511</v>
      </c>
      <c r="C507" s="336" t="s">
        <v>1520</v>
      </c>
      <c r="D507" s="337">
        <f t="shared" si="28"/>
        <v>388.08673073333301</v>
      </c>
      <c r="F507" s="338">
        <v>46241</v>
      </c>
      <c r="G507" s="339" t="s">
        <v>1520</v>
      </c>
      <c r="H507" s="339" t="s">
        <v>511</v>
      </c>
      <c r="I507" s="339" t="s">
        <v>1522</v>
      </c>
      <c r="J507" s="340">
        <v>388.08673073333301</v>
      </c>
      <c r="K507" s="341" t="str">
        <f t="shared" si="29"/>
        <v>1º registro</v>
      </c>
      <c r="L507" s="342" t="str">
        <f t="shared" si="30"/>
        <v/>
      </c>
      <c r="M507" s="339" t="s">
        <v>1523</v>
      </c>
      <c r="N507" s="343" t="str">
        <f t="shared" si="31"/>
        <v>PIG HLR | PIG HLR — ALTA (170-190 KG/M³) | DN 8''|46241</v>
      </c>
    </row>
    <row r="508" spans="2:14" x14ac:dyDescent="0.3">
      <c r="B508" s="335" t="s">
        <v>512</v>
      </c>
      <c r="C508" s="336" t="s">
        <v>1520</v>
      </c>
      <c r="D508" s="337">
        <f t="shared" si="28"/>
        <v>520.78081216666703</v>
      </c>
      <c r="F508" s="338">
        <v>46241</v>
      </c>
      <c r="G508" s="339" t="s">
        <v>1520</v>
      </c>
      <c r="H508" s="339" t="s">
        <v>512</v>
      </c>
      <c r="I508" s="339" t="s">
        <v>1522</v>
      </c>
      <c r="J508" s="340">
        <v>520.78081216666703</v>
      </c>
      <c r="K508" s="341" t="str">
        <f t="shared" si="29"/>
        <v>1º registro</v>
      </c>
      <c r="L508" s="342" t="str">
        <f t="shared" si="30"/>
        <v/>
      </c>
      <c r="M508" s="339" t="s">
        <v>1523</v>
      </c>
      <c r="N508" s="343" t="str">
        <f t="shared" si="31"/>
        <v>PIG HLR | PIG HLR — ALTA (170-190 KG/M³) | DN 10''|46241</v>
      </c>
    </row>
    <row r="509" spans="2:14" x14ac:dyDescent="0.3">
      <c r="B509" s="335" t="s">
        <v>513</v>
      </c>
      <c r="C509" s="336" t="s">
        <v>1520</v>
      </c>
      <c r="D509" s="337">
        <f t="shared" si="28"/>
        <v>712.927631066667</v>
      </c>
      <c r="F509" s="338">
        <v>46241</v>
      </c>
      <c r="G509" s="339" t="s">
        <v>1520</v>
      </c>
      <c r="H509" s="339" t="s">
        <v>513</v>
      </c>
      <c r="I509" s="339" t="s">
        <v>1522</v>
      </c>
      <c r="J509" s="340">
        <v>712.927631066667</v>
      </c>
      <c r="K509" s="341" t="str">
        <f t="shared" si="29"/>
        <v>1º registro</v>
      </c>
      <c r="L509" s="342" t="str">
        <f t="shared" si="30"/>
        <v/>
      </c>
      <c r="M509" s="339" t="s">
        <v>1523</v>
      </c>
      <c r="N509" s="343" t="str">
        <f t="shared" si="31"/>
        <v>PIG HLR | PIG HLR — ALTA (170-190 KG/M³) | DN 12''|46241</v>
      </c>
    </row>
    <row r="510" spans="2:14" x14ac:dyDescent="0.3">
      <c r="B510" s="335" t="s">
        <v>514</v>
      </c>
      <c r="C510" s="336" t="s">
        <v>1520</v>
      </c>
      <c r="D510" s="337">
        <f t="shared" si="28"/>
        <v>1015.08963013333</v>
      </c>
      <c r="F510" s="338">
        <v>46241</v>
      </c>
      <c r="G510" s="339" t="s">
        <v>1520</v>
      </c>
      <c r="H510" s="339" t="s">
        <v>514</v>
      </c>
      <c r="I510" s="339" t="s">
        <v>1522</v>
      </c>
      <c r="J510" s="340">
        <v>1015.08963013333</v>
      </c>
      <c r="K510" s="341" t="str">
        <f t="shared" si="29"/>
        <v>1º registro</v>
      </c>
      <c r="L510" s="342" t="str">
        <f t="shared" si="30"/>
        <v/>
      </c>
      <c r="M510" s="339" t="s">
        <v>1523</v>
      </c>
      <c r="N510" s="343" t="str">
        <f t="shared" si="31"/>
        <v>PIG HLR | PIG HLR — ALTA (170-190 KG/M³) | DN 14''|46241</v>
      </c>
    </row>
    <row r="511" spans="2:14" x14ac:dyDescent="0.3">
      <c r="B511" s="335" t="s">
        <v>515</v>
      </c>
      <c r="C511" s="336" t="s">
        <v>1520</v>
      </c>
      <c r="D511" s="337">
        <f t="shared" si="28"/>
        <v>1159.4524670333301</v>
      </c>
      <c r="F511" s="338">
        <v>46241</v>
      </c>
      <c r="G511" s="339" t="s">
        <v>1520</v>
      </c>
      <c r="H511" s="339" t="s">
        <v>515</v>
      </c>
      <c r="I511" s="339" t="s">
        <v>1522</v>
      </c>
      <c r="J511" s="340">
        <v>1159.4524670333301</v>
      </c>
      <c r="K511" s="341" t="str">
        <f t="shared" si="29"/>
        <v>1º registro</v>
      </c>
      <c r="L511" s="342" t="str">
        <f t="shared" si="30"/>
        <v/>
      </c>
      <c r="M511" s="339" t="s">
        <v>1523</v>
      </c>
      <c r="N511" s="343" t="str">
        <f t="shared" si="31"/>
        <v>PIG HLR | PIG HLR — ALTA (170-190 KG/M³) | DN 16''|46241</v>
      </c>
    </row>
    <row r="512" spans="2:14" x14ac:dyDescent="0.3">
      <c r="B512" s="335" t="s">
        <v>516</v>
      </c>
      <c r="C512" s="336" t="s">
        <v>1520</v>
      </c>
      <c r="D512" s="337">
        <f t="shared" si="28"/>
        <v>1614.5799931333299</v>
      </c>
      <c r="F512" s="338">
        <v>46241</v>
      </c>
      <c r="G512" s="339" t="s">
        <v>1520</v>
      </c>
      <c r="H512" s="339" t="s">
        <v>516</v>
      </c>
      <c r="I512" s="339" t="s">
        <v>1522</v>
      </c>
      <c r="J512" s="340">
        <v>1614.5799931333299</v>
      </c>
      <c r="K512" s="341" t="str">
        <f t="shared" si="29"/>
        <v>1º registro</v>
      </c>
      <c r="L512" s="342" t="str">
        <f t="shared" si="30"/>
        <v/>
      </c>
      <c r="M512" s="339" t="s">
        <v>1523</v>
      </c>
      <c r="N512" s="343" t="str">
        <f t="shared" si="31"/>
        <v>PIG HLR | PIG HLR — ALTA (170-190 KG/M³) | DN 18''|46241</v>
      </c>
    </row>
    <row r="513" spans="2:14" x14ac:dyDescent="0.3">
      <c r="B513" s="335" t="s">
        <v>517</v>
      </c>
      <c r="C513" s="336" t="s">
        <v>1520</v>
      </c>
      <c r="D513" s="337">
        <f t="shared" si="28"/>
        <v>2052.2611063333302</v>
      </c>
      <c r="F513" s="338">
        <v>46241</v>
      </c>
      <c r="G513" s="339" t="s">
        <v>1520</v>
      </c>
      <c r="H513" s="339" t="s">
        <v>517</v>
      </c>
      <c r="I513" s="339" t="s">
        <v>1522</v>
      </c>
      <c r="J513" s="340">
        <v>2052.2611063333302</v>
      </c>
      <c r="K513" s="341" t="str">
        <f t="shared" si="29"/>
        <v>1º registro</v>
      </c>
      <c r="L513" s="342" t="str">
        <f t="shared" si="30"/>
        <v/>
      </c>
      <c r="M513" s="339" t="s">
        <v>1523</v>
      </c>
      <c r="N513" s="343" t="str">
        <f t="shared" si="31"/>
        <v>PIG HLR | PIG HLR — ALTA (170-190 KG/M³) | DN 20''|46241</v>
      </c>
    </row>
    <row r="514" spans="2:14" x14ac:dyDescent="0.3">
      <c r="B514" s="335" t="s">
        <v>518</v>
      </c>
      <c r="C514" s="336" t="s">
        <v>1520</v>
      </c>
      <c r="D514" s="337">
        <f t="shared" si="28"/>
        <v>2195.0732896999998</v>
      </c>
      <c r="F514" s="338">
        <v>46241</v>
      </c>
      <c r="G514" s="339" t="s">
        <v>1520</v>
      </c>
      <c r="H514" s="339" t="s">
        <v>518</v>
      </c>
      <c r="I514" s="339" t="s">
        <v>1522</v>
      </c>
      <c r="J514" s="340">
        <v>2195.0732896999998</v>
      </c>
      <c r="K514" s="341" t="str">
        <f t="shared" si="29"/>
        <v>1º registro</v>
      </c>
      <c r="L514" s="342" t="str">
        <f t="shared" si="30"/>
        <v/>
      </c>
      <c r="M514" s="339" t="s">
        <v>1523</v>
      </c>
      <c r="N514" s="343" t="str">
        <f t="shared" si="31"/>
        <v>PIG HLR | PIG HLR — ALTA (170-190 KG/M³) | DN 22''|46241</v>
      </c>
    </row>
    <row r="515" spans="2:14" x14ac:dyDescent="0.3">
      <c r="B515" s="335" t="s">
        <v>519</v>
      </c>
      <c r="C515" s="336" t="s">
        <v>1520</v>
      </c>
      <c r="D515" s="337">
        <f t="shared" si="28"/>
        <v>2987.8212602333301</v>
      </c>
      <c r="F515" s="338">
        <v>46241</v>
      </c>
      <c r="G515" s="339" t="s">
        <v>1520</v>
      </c>
      <c r="H515" s="339" t="s">
        <v>519</v>
      </c>
      <c r="I515" s="339" t="s">
        <v>1522</v>
      </c>
      <c r="J515" s="340">
        <v>2987.8212602333301</v>
      </c>
      <c r="K515" s="341" t="str">
        <f t="shared" si="29"/>
        <v>1º registro</v>
      </c>
      <c r="L515" s="342" t="str">
        <f t="shared" si="30"/>
        <v/>
      </c>
      <c r="M515" s="339" t="s">
        <v>1523</v>
      </c>
      <c r="N515" s="343" t="str">
        <f t="shared" si="31"/>
        <v>PIG HLR | PIG HLR — ALTA (170-190 KG/M³) | DN 24''|46241</v>
      </c>
    </row>
    <row r="516" spans="2:14" x14ac:dyDescent="0.3">
      <c r="B516" s="335" t="s">
        <v>520</v>
      </c>
      <c r="C516" s="336" t="s">
        <v>1520</v>
      </c>
      <c r="D516" s="337">
        <f t="shared" si="28"/>
        <v>3392.1396439333298</v>
      </c>
      <c r="F516" s="338">
        <v>46241</v>
      </c>
      <c r="G516" s="339" t="s">
        <v>1520</v>
      </c>
      <c r="H516" s="339" t="s">
        <v>520</v>
      </c>
      <c r="I516" s="339" t="s">
        <v>1522</v>
      </c>
      <c r="J516" s="340">
        <v>3392.1396439333298</v>
      </c>
      <c r="K516" s="341" t="str">
        <f t="shared" si="29"/>
        <v>1º registro</v>
      </c>
      <c r="L516" s="342" t="str">
        <f t="shared" si="30"/>
        <v/>
      </c>
      <c r="M516" s="339" t="s">
        <v>1523</v>
      </c>
      <c r="N516" s="343" t="str">
        <f t="shared" si="31"/>
        <v>PIG HLR | PIG HLR — ALTA (170-190 KG/M³) | DN 26''|46241</v>
      </c>
    </row>
    <row r="517" spans="2:14" x14ac:dyDescent="0.3">
      <c r="B517" s="335" t="s">
        <v>521</v>
      </c>
      <c r="C517" s="336" t="s">
        <v>1520</v>
      </c>
      <c r="D517" s="337">
        <f t="shared" si="28"/>
        <v>3813.1580279333298</v>
      </c>
      <c r="F517" s="338">
        <v>46241</v>
      </c>
      <c r="G517" s="339" t="s">
        <v>1520</v>
      </c>
      <c r="H517" s="339" t="s">
        <v>521</v>
      </c>
      <c r="I517" s="339" t="s">
        <v>1522</v>
      </c>
      <c r="J517" s="340">
        <v>3813.1580279333298</v>
      </c>
      <c r="K517" s="341" t="str">
        <f t="shared" si="29"/>
        <v>1º registro</v>
      </c>
      <c r="L517" s="342" t="str">
        <f t="shared" si="30"/>
        <v/>
      </c>
      <c r="M517" s="339" t="s">
        <v>1523</v>
      </c>
      <c r="N517" s="343" t="str">
        <f t="shared" si="31"/>
        <v>PIG HLR | PIG HLR — ALTA (170-190 KG/M³) | DN 28''|46241</v>
      </c>
    </row>
    <row r="518" spans="2:14" x14ac:dyDescent="0.3">
      <c r="B518" s="335" t="s">
        <v>522</v>
      </c>
      <c r="C518" s="336" t="s">
        <v>1520</v>
      </c>
      <c r="D518" s="337">
        <f t="shared" si="28"/>
        <v>4648.8765113333302</v>
      </c>
      <c r="F518" s="338">
        <v>46241</v>
      </c>
      <c r="G518" s="339" t="s">
        <v>1520</v>
      </c>
      <c r="H518" s="339" t="s">
        <v>522</v>
      </c>
      <c r="I518" s="339" t="s">
        <v>1522</v>
      </c>
      <c r="J518" s="340">
        <v>4648.8765113333302</v>
      </c>
      <c r="K518" s="341" t="str">
        <f t="shared" si="29"/>
        <v>1º registro</v>
      </c>
      <c r="L518" s="342" t="str">
        <f t="shared" si="30"/>
        <v/>
      </c>
      <c r="M518" s="339" t="s">
        <v>1523</v>
      </c>
      <c r="N518" s="343" t="str">
        <f t="shared" si="31"/>
        <v>PIG HLR | PIG HLR — ALTA (170-190 KG/M³) | DN 30''|46241</v>
      </c>
    </row>
    <row r="519" spans="2:14" x14ac:dyDescent="0.3">
      <c r="B519" s="335" t="s">
        <v>523</v>
      </c>
      <c r="C519" s="336" t="s">
        <v>1520</v>
      </c>
      <c r="D519" s="337">
        <f t="shared" si="28"/>
        <v>5091.5708118333296</v>
      </c>
      <c r="F519" s="338">
        <v>46241</v>
      </c>
      <c r="G519" s="339" t="s">
        <v>1520</v>
      </c>
      <c r="H519" s="339" t="s">
        <v>523</v>
      </c>
      <c r="I519" s="339" t="s">
        <v>1522</v>
      </c>
      <c r="J519" s="340">
        <v>5091.5708118333296</v>
      </c>
      <c r="K519" s="341" t="str">
        <f t="shared" si="29"/>
        <v>1º registro</v>
      </c>
      <c r="L519" s="342" t="str">
        <f t="shared" si="30"/>
        <v/>
      </c>
      <c r="M519" s="339" t="s">
        <v>1523</v>
      </c>
      <c r="N519" s="343" t="str">
        <f t="shared" si="31"/>
        <v>PIG HLR | PIG HLR — ALTA (170-190 KG/M³) | DN 32''|46241</v>
      </c>
    </row>
    <row r="520" spans="2:14" x14ac:dyDescent="0.3">
      <c r="B520" s="335" t="s">
        <v>524</v>
      </c>
      <c r="C520" s="336" t="s">
        <v>1520</v>
      </c>
      <c r="D520" s="337">
        <f t="shared" si="28"/>
        <v>5973.5292793333301</v>
      </c>
      <c r="F520" s="338">
        <v>46241</v>
      </c>
      <c r="G520" s="339" t="s">
        <v>1520</v>
      </c>
      <c r="H520" s="339" t="s">
        <v>524</v>
      </c>
      <c r="I520" s="339" t="s">
        <v>1522</v>
      </c>
      <c r="J520" s="340">
        <v>5973.5292793333301</v>
      </c>
      <c r="K520" s="341" t="str">
        <f t="shared" si="29"/>
        <v>1º registro</v>
      </c>
      <c r="L520" s="342" t="str">
        <f t="shared" si="30"/>
        <v/>
      </c>
      <c r="M520" s="339" t="s">
        <v>1523</v>
      </c>
      <c r="N520" s="343" t="str">
        <f t="shared" si="31"/>
        <v>PIG HLR | PIG HLR — ALTA (170-190 KG/M³) | DN 34''|46241</v>
      </c>
    </row>
    <row r="521" spans="2:14" x14ac:dyDescent="0.3">
      <c r="B521" s="335" t="s">
        <v>525</v>
      </c>
      <c r="C521" s="336" t="s">
        <v>1520</v>
      </c>
      <c r="D521" s="337">
        <f t="shared" si="28"/>
        <v>6738.1549578333297</v>
      </c>
      <c r="F521" s="338">
        <v>46241</v>
      </c>
      <c r="G521" s="339" t="s">
        <v>1520</v>
      </c>
      <c r="H521" s="339" t="s">
        <v>525</v>
      </c>
      <c r="I521" s="339" t="s">
        <v>1522</v>
      </c>
      <c r="J521" s="340">
        <v>6738.1549578333297</v>
      </c>
      <c r="K521" s="341" t="str">
        <f t="shared" si="29"/>
        <v>1º registro</v>
      </c>
      <c r="L521" s="342" t="str">
        <f t="shared" si="30"/>
        <v/>
      </c>
      <c r="M521" s="339" t="s">
        <v>1523</v>
      </c>
      <c r="N521" s="343" t="str">
        <f t="shared" si="31"/>
        <v>PIG HLR | PIG HLR — ALTA (170-190 KG/M³) | DN 36''|46241</v>
      </c>
    </row>
    <row r="522" spans="2:14" x14ac:dyDescent="0.3">
      <c r="B522" s="335" t="s">
        <v>526</v>
      </c>
      <c r="C522" s="336" t="s">
        <v>1520</v>
      </c>
      <c r="D522" s="337">
        <f t="shared" si="28"/>
        <v>7705.4050828333302</v>
      </c>
      <c r="F522" s="338">
        <v>46241</v>
      </c>
      <c r="G522" s="339" t="s">
        <v>1520</v>
      </c>
      <c r="H522" s="339" t="s">
        <v>526</v>
      </c>
      <c r="I522" s="339" t="s">
        <v>1522</v>
      </c>
      <c r="J522" s="340">
        <v>7705.4050828333302</v>
      </c>
      <c r="K522" s="341" t="str">
        <f t="shared" si="29"/>
        <v>1º registro</v>
      </c>
      <c r="L522" s="342" t="str">
        <f t="shared" si="30"/>
        <v/>
      </c>
      <c r="M522" s="339" t="s">
        <v>1523</v>
      </c>
      <c r="N522" s="343" t="str">
        <f t="shared" si="31"/>
        <v>PIG HLR | PIG HLR — ALTA (170-190 KG/M³) | DN 38''|46241</v>
      </c>
    </row>
    <row r="523" spans="2:14" x14ac:dyDescent="0.3">
      <c r="B523" s="335" t="s">
        <v>527</v>
      </c>
      <c r="C523" s="336" t="s">
        <v>1520</v>
      </c>
      <c r="D523" s="337">
        <f t="shared" si="28"/>
        <v>8196.7557276666594</v>
      </c>
      <c r="F523" s="338">
        <v>46241</v>
      </c>
      <c r="G523" s="339" t="s">
        <v>1520</v>
      </c>
      <c r="H523" s="339" t="s">
        <v>527</v>
      </c>
      <c r="I523" s="339" t="s">
        <v>1522</v>
      </c>
      <c r="J523" s="340">
        <v>8196.7557276666594</v>
      </c>
      <c r="K523" s="341" t="str">
        <f t="shared" si="29"/>
        <v>1º registro</v>
      </c>
      <c r="L523" s="342" t="str">
        <f t="shared" si="30"/>
        <v/>
      </c>
      <c r="M523" s="339" t="s">
        <v>1523</v>
      </c>
      <c r="N523" s="343" t="str">
        <f t="shared" si="31"/>
        <v>PIG HLR | PIG HLR — ALTA (170-190 KG/M³) | DN 40''|46241</v>
      </c>
    </row>
    <row r="524" spans="2:14" x14ac:dyDescent="0.3">
      <c r="B524" s="335" t="s">
        <v>528</v>
      </c>
      <c r="C524" s="336" t="s">
        <v>1520</v>
      </c>
      <c r="D524" s="337">
        <f t="shared" si="28"/>
        <v>8991.7768939666694</v>
      </c>
      <c r="F524" s="338">
        <v>46241</v>
      </c>
      <c r="G524" s="339" t="s">
        <v>1520</v>
      </c>
      <c r="H524" s="339" t="s">
        <v>528</v>
      </c>
      <c r="I524" s="339" t="s">
        <v>1522</v>
      </c>
      <c r="J524" s="340">
        <v>8991.7768939666694</v>
      </c>
      <c r="K524" s="341" t="str">
        <f t="shared" si="29"/>
        <v>1º registro</v>
      </c>
      <c r="L524" s="342" t="str">
        <f t="shared" si="30"/>
        <v/>
      </c>
      <c r="M524" s="339" t="s">
        <v>1523</v>
      </c>
      <c r="N524" s="343" t="str">
        <f t="shared" si="31"/>
        <v>PIG HLR | PIG HLR — ALTA (170-190 KG/M³) | DN 42''|46241</v>
      </c>
    </row>
    <row r="525" spans="2:14" x14ac:dyDescent="0.3">
      <c r="B525" s="335" t="s">
        <v>529</v>
      </c>
      <c r="C525" s="336" t="s">
        <v>1520</v>
      </c>
      <c r="D525" s="337">
        <f t="shared" si="28"/>
        <v>10411.6382576667</v>
      </c>
      <c r="F525" s="338">
        <v>46241</v>
      </c>
      <c r="G525" s="339" t="s">
        <v>1520</v>
      </c>
      <c r="H525" s="339" t="s">
        <v>529</v>
      </c>
      <c r="I525" s="339" t="s">
        <v>1522</v>
      </c>
      <c r="J525" s="340">
        <v>10411.6382576667</v>
      </c>
      <c r="K525" s="341" t="str">
        <f t="shared" si="29"/>
        <v>1º registro</v>
      </c>
      <c r="L525" s="342" t="str">
        <f t="shared" si="30"/>
        <v/>
      </c>
      <c r="M525" s="339" t="s">
        <v>1523</v>
      </c>
      <c r="N525" s="343" t="str">
        <f t="shared" si="31"/>
        <v>PIG HLR | PIG HLR — ALTA (170-190 KG/M³) | DN 44''|46241</v>
      </c>
    </row>
    <row r="526" spans="2:14" x14ac:dyDescent="0.3">
      <c r="B526" s="335" t="s">
        <v>530</v>
      </c>
      <c r="C526" s="336" t="s">
        <v>1520</v>
      </c>
      <c r="D526" s="337">
        <f t="shared" si="28"/>
        <v>81.455360433333297</v>
      </c>
      <c r="F526" s="338">
        <v>46241</v>
      </c>
      <c r="G526" s="339" t="s">
        <v>1520</v>
      </c>
      <c r="H526" s="339" t="s">
        <v>530</v>
      </c>
      <c r="I526" s="339" t="s">
        <v>1522</v>
      </c>
      <c r="J526" s="340">
        <v>81.455360433333297</v>
      </c>
      <c r="K526" s="341" t="str">
        <f t="shared" si="29"/>
        <v>1º registro</v>
      </c>
      <c r="L526" s="342" t="str">
        <f t="shared" si="30"/>
        <v/>
      </c>
      <c r="M526" s="339" t="s">
        <v>1523</v>
      </c>
      <c r="N526" s="343" t="str">
        <f t="shared" si="31"/>
        <v>PIG HLR X | PIG HLR X — MÉDIA (140-160 KG/M³) | DN 2''|46241</v>
      </c>
    </row>
    <row r="527" spans="2:14" x14ac:dyDescent="0.3">
      <c r="B527" s="335" t="s">
        <v>533</v>
      </c>
      <c r="C527" s="336" t="s">
        <v>1520</v>
      </c>
      <c r="D527" s="337">
        <f t="shared" si="28"/>
        <v>121.765385333333</v>
      </c>
      <c r="F527" s="338">
        <v>46241</v>
      </c>
      <c r="G527" s="339" t="s">
        <v>1520</v>
      </c>
      <c r="H527" s="339" t="s">
        <v>533</v>
      </c>
      <c r="I527" s="339" t="s">
        <v>1522</v>
      </c>
      <c r="J527" s="340">
        <v>121.765385333333</v>
      </c>
      <c r="K527" s="341" t="str">
        <f t="shared" si="29"/>
        <v>1º registro</v>
      </c>
      <c r="L527" s="342" t="str">
        <f t="shared" si="30"/>
        <v/>
      </c>
      <c r="M527" s="339" t="s">
        <v>1523</v>
      </c>
      <c r="N527" s="343" t="str">
        <f t="shared" si="31"/>
        <v>PIG HLR X | PIG HLR X — MÉDIA (140-160 KG/M³) | DN 3''|46241</v>
      </c>
    </row>
    <row r="528" spans="2:14" x14ac:dyDescent="0.3">
      <c r="B528" s="335" t="s">
        <v>534</v>
      </c>
      <c r="C528" s="336" t="s">
        <v>1520</v>
      </c>
      <c r="D528" s="337">
        <f t="shared" si="28"/>
        <v>207.237242122222</v>
      </c>
      <c r="F528" s="338">
        <v>46241</v>
      </c>
      <c r="G528" s="339" t="s">
        <v>1520</v>
      </c>
      <c r="H528" s="339" t="s">
        <v>534</v>
      </c>
      <c r="I528" s="339" t="s">
        <v>1522</v>
      </c>
      <c r="J528" s="340">
        <v>207.237242122222</v>
      </c>
      <c r="K528" s="341" t="str">
        <f t="shared" si="29"/>
        <v>1º registro</v>
      </c>
      <c r="L528" s="342" t="str">
        <f t="shared" si="30"/>
        <v/>
      </c>
      <c r="M528" s="339" t="s">
        <v>1523</v>
      </c>
      <c r="N528" s="343" t="str">
        <f t="shared" si="31"/>
        <v>PIG HLR X | PIG HLR X — MÉDIA (140-160 KG/M³) | DN 4''|46241</v>
      </c>
    </row>
    <row r="529" spans="2:14" x14ac:dyDescent="0.3">
      <c r="B529" s="335" t="s">
        <v>535</v>
      </c>
      <c r="C529" s="336" t="s">
        <v>1520</v>
      </c>
      <c r="D529" s="337">
        <f t="shared" si="28"/>
        <v>380.39518694444502</v>
      </c>
      <c r="F529" s="338">
        <v>46241</v>
      </c>
      <c r="G529" s="339" t="s">
        <v>1520</v>
      </c>
      <c r="H529" s="339" t="s">
        <v>535</v>
      </c>
      <c r="I529" s="339" t="s">
        <v>1522</v>
      </c>
      <c r="J529" s="340">
        <v>380.39518694444502</v>
      </c>
      <c r="K529" s="341" t="str">
        <f t="shared" si="29"/>
        <v>1º registro</v>
      </c>
      <c r="L529" s="342" t="str">
        <f t="shared" si="30"/>
        <v/>
      </c>
      <c r="M529" s="339" t="s">
        <v>1523</v>
      </c>
      <c r="N529" s="343" t="str">
        <f t="shared" si="31"/>
        <v>PIG HLR X | PIG HLR X — MÉDIA (140-160 KG/M³) | DN 6''|46241</v>
      </c>
    </row>
    <row r="530" spans="2:14" x14ac:dyDescent="0.3">
      <c r="B530" s="335" t="s">
        <v>536</v>
      </c>
      <c r="C530" s="336" t="s">
        <v>1520</v>
      </c>
      <c r="D530" s="337">
        <f t="shared" si="28"/>
        <v>558.22580267777801</v>
      </c>
      <c r="F530" s="338">
        <v>46241</v>
      </c>
      <c r="G530" s="339" t="s">
        <v>1520</v>
      </c>
      <c r="H530" s="339" t="s">
        <v>536</v>
      </c>
      <c r="I530" s="339" t="s">
        <v>1522</v>
      </c>
      <c r="J530" s="340">
        <v>558.22580267777801</v>
      </c>
      <c r="K530" s="341" t="str">
        <f t="shared" si="29"/>
        <v>1º registro</v>
      </c>
      <c r="L530" s="342" t="str">
        <f t="shared" si="30"/>
        <v/>
      </c>
      <c r="M530" s="339" t="s">
        <v>1523</v>
      </c>
      <c r="N530" s="343" t="str">
        <f t="shared" si="31"/>
        <v>PIG HLR X | PIG HLR X — MÉDIA (140-160 KG/M³) | DN 7''|46241</v>
      </c>
    </row>
    <row r="531" spans="2:14" x14ac:dyDescent="0.3">
      <c r="B531" s="335" t="s">
        <v>537</v>
      </c>
      <c r="C531" s="336" t="s">
        <v>1520</v>
      </c>
      <c r="D531" s="337">
        <f t="shared" si="28"/>
        <v>638.92584406666697</v>
      </c>
      <c r="F531" s="338">
        <v>46241</v>
      </c>
      <c r="G531" s="339" t="s">
        <v>1520</v>
      </c>
      <c r="H531" s="339" t="s">
        <v>537</v>
      </c>
      <c r="I531" s="339" t="s">
        <v>1522</v>
      </c>
      <c r="J531" s="340">
        <v>638.92584406666697</v>
      </c>
      <c r="K531" s="341" t="str">
        <f t="shared" si="29"/>
        <v>1º registro</v>
      </c>
      <c r="L531" s="342" t="str">
        <f t="shared" si="30"/>
        <v/>
      </c>
      <c r="M531" s="339" t="s">
        <v>1523</v>
      </c>
      <c r="N531" s="343" t="str">
        <f t="shared" si="31"/>
        <v>PIG HLR X | PIG HLR X — MÉDIA (140-160 KG/M³) | DN 8''|46241</v>
      </c>
    </row>
    <row r="532" spans="2:14" x14ac:dyDescent="0.3">
      <c r="B532" s="335" t="s">
        <v>538</v>
      </c>
      <c r="C532" s="336" t="s">
        <v>1520</v>
      </c>
      <c r="D532" s="337">
        <f t="shared" si="28"/>
        <v>835.88784883333301</v>
      </c>
      <c r="F532" s="338">
        <v>46241</v>
      </c>
      <c r="G532" s="339" t="s">
        <v>1520</v>
      </c>
      <c r="H532" s="339" t="s">
        <v>538</v>
      </c>
      <c r="I532" s="339" t="s">
        <v>1522</v>
      </c>
      <c r="J532" s="340">
        <v>835.88784883333301</v>
      </c>
      <c r="K532" s="341" t="str">
        <f t="shared" si="29"/>
        <v>1º registro</v>
      </c>
      <c r="L532" s="342" t="str">
        <f t="shared" si="30"/>
        <v/>
      </c>
      <c r="M532" s="339" t="s">
        <v>1523</v>
      </c>
      <c r="N532" s="343" t="str">
        <f t="shared" si="31"/>
        <v>PIG HLR X | PIG HLR X — MÉDIA (140-160 KG/M³) | DN 10''|46241</v>
      </c>
    </row>
    <row r="533" spans="2:14" x14ac:dyDescent="0.3">
      <c r="B533" s="335" t="s">
        <v>539</v>
      </c>
      <c r="C533" s="336" t="s">
        <v>1520</v>
      </c>
      <c r="D533" s="337">
        <f t="shared" si="28"/>
        <v>1129.4045810666701</v>
      </c>
      <c r="F533" s="338">
        <v>46241</v>
      </c>
      <c r="G533" s="339" t="s">
        <v>1520</v>
      </c>
      <c r="H533" s="339" t="s">
        <v>539</v>
      </c>
      <c r="I533" s="339" t="s">
        <v>1522</v>
      </c>
      <c r="J533" s="340">
        <v>1129.4045810666701</v>
      </c>
      <c r="K533" s="341" t="str">
        <f t="shared" si="29"/>
        <v>1º registro</v>
      </c>
      <c r="L533" s="342" t="str">
        <f t="shared" si="30"/>
        <v/>
      </c>
      <c r="M533" s="339" t="s">
        <v>1523</v>
      </c>
      <c r="N533" s="343" t="str">
        <f t="shared" si="31"/>
        <v>PIG HLR X | PIG HLR X — MÉDIA (140-160 KG/M³) | DN 12''|46241</v>
      </c>
    </row>
    <row r="534" spans="2:14" x14ac:dyDescent="0.3">
      <c r="B534" s="335" t="s">
        <v>540</v>
      </c>
      <c r="C534" s="336" t="s">
        <v>1520</v>
      </c>
      <c r="D534" s="337">
        <f t="shared" ref="D534:D597" si="32">IF($B534="","",IFERROR(INDEX($J$21:$J$1200,MATCH($B534&amp;"|"&amp;TEXT(_xlfn.MAXIFS($F$21:$F$1200,$H$21:$H$1200,$B534,$F$21:$F$1200,"&lt;="&amp;EOMONTH(D$20,0)),"0"),$N$21:$N$1200,0)),"-"))</f>
        <v>1549.3139301333299</v>
      </c>
      <c r="F534" s="338">
        <v>46241</v>
      </c>
      <c r="G534" s="339" t="s">
        <v>1520</v>
      </c>
      <c r="H534" s="339" t="s">
        <v>540</v>
      </c>
      <c r="I534" s="339" t="s">
        <v>1522</v>
      </c>
      <c r="J534" s="340">
        <v>1549.3139301333299</v>
      </c>
      <c r="K534" s="341" t="str">
        <f t="shared" ref="K534:K597" si="33">IF($H534="","",IFERROR(INDEX($J$21:$J$1200,MATCH($H534&amp;"|"&amp;TEXT(_xlfn.MAXIFS($F$21:$F$1200,$H$21:$H$1200,$H534,$F$21:$F$1200,"&lt;"&amp;$F534),"0"),$N$21:$N$1200,0)),"1º registro"))</f>
        <v>1º registro</v>
      </c>
      <c r="L534" s="342" t="str">
        <f t="shared" ref="L534:L597" si="34">IF(OR($H534="",$K534="1º registro"),"",IFERROR(($J534-$K534)/$K534,""))</f>
        <v/>
      </c>
      <c r="M534" s="339" t="s">
        <v>1523</v>
      </c>
      <c r="N534" s="343" t="str">
        <f t="shared" ref="N534:N597" si="35">IF($H534="","",$H534&amp;"|"&amp;TEXT($F534,"0"))</f>
        <v>PIG HLR X | PIG HLR X — MÉDIA (140-160 KG/M³) | DN 14''|46241</v>
      </c>
    </row>
    <row r="535" spans="2:14" x14ac:dyDescent="0.3">
      <c r="B535" s="335" t="s">
        <v>541</v>
      </c>
      <c r="C535" s="336" t="s">
        <v>1520</v>
      </c>
      <c r="D535" s="337">
        <f t="shared" si="32"/>
        <v>1713.18456703333</v>
      </c>
      <c r="F535" s="338">
        <v>46241</v>
      </c>
      <c r="G535" s="339" t="s">
        <v>1520</v>
      </c>
      <c r="H535" s="339" t="s">
        <v>541</v>
      </c>
      <c r="I535" s="339" t="s">
        <v>1522</v>
      </c>
      <c r="J535" s="340">
        <v>1713.18456703333</v>
      </c>
      <c r="K535" s="341" t="str">
        <f t="shared" si="33"/>
        <v>1º registro</v>
      </c>
      <c r="L535" s="342" t="str">
        <f t="shared" si="34"/>
        <v/>
      </c>
      <c r="M535" s="339" t="s">
        <v>1523</v>
      </c>
      <c r="N535" s="343" t="str">
        <f t="shared" si="35"/>
        <v>PIG HLR X | PIG HLR X — MÉDIA (140-160 KG/M³) | DN 16''|46241</v>
      </c>
    </row>
    <row r="536" spans="2:14" x14ac:dyDescent="0.3">
      <c r="B536" s="335" t="s">
        <v>542</v>
      </c>
      <c r="C536" s="336" t="s">
        <v>1520</v>
      </c>
      <c r="D536" s="337">
        <f t="shared" si="32"/>
        <v>2317.3052231333299</v>
      </c>
      <c r="F536" s="338">
        <v>46241</v>
      </c>
      <c r="G536" s="339" t="s">
        <v>1520</v>
      </c>
      <c r="H536" s="339" t="s">
        <v>542</v>
      </c>
      <c r="I536" s="339" t="s">
        <v>1522</v>
      </c>
      <c r="J536" s="340">
        <v>2317.3052231333299</v>
      </c>
      <c r="K536" s="341" t="str">
        <f t="shared" si="33"/>
        <v>1º registro</v>
      </c>
      <c r="L536" s="342" t="str">
        <f t="shared" si="34"/>
        <v/>
      </c>
      <c r="M536" s="339" t="s">
        <v>1523</v>
      </c>
      <c r="N536" s="343" t="str">
        <f t="shared" si="35"/>
        <v>PIG HLR X | PIG HLR X — MÉDIA (140-160 KG/M³) | DN 18''|46241</v>
      </c>
    </row>
    <row r="537" spans="2:14" x14ac:dyDescent="0.3">
      <c r="B537" s="335" t="s">
        <v>543</v>
      </c>
      <c r="C537" s="336" t="s">
        <v>1520</v>
      </c>
      <c r="D537" s="337">
        <f t="shared" si="32"/>
        <v>2922.6039063333301</v>
      </c>
      <c r="F537" s="338">
        <v>46241</v>
      </c>
      <c r="G537" s="339" t="s">
        <v>1520</v>
      </c>
      <c r="H537" s="339" t="s">
        <v>543</v>
      </c>
      <c r="I537" s="339" t="s">
        <v>1522</v>
      </c>
      <c r="J537" s="340">
        <v>2922.6039063333301</v>
      </c>
      <c r="K537" s="341" t="str">
        <f t="shared" si="33"/>
        <v>1º registro</v>
      </c>
      <c r="L537" s="342" t="str">
        <f t="shared" si="34"/>
        <v/>
      </c>
      <c r="M537" s="339" t="s">
        <v>1523</v>
      </c>
      <c r="N537" s="343" t="str">
        <f t="shared" si="35"/>
        <v>PIG HLR X | PIG HLR X — MÉDIA (140-160 KG/M³) | DN 20''|46241</v>
      </c>
    </row>
    <row r="538" spans="2:14" x14ac:dyDescent="0.3">
      <c r="B538" s="335" t="s">
        <v>544</v>
      </c>
      <c r="C538" s="336" t="s">
        <v>1520</v>
      </c>
      <c r="D538" s="337">
        <f t="shared" si="32"/>
        <v>2905.9019563666702</v>
      </c>
      <c r="F538" s="338">
        <v>46241</v>
      </c>
      <c r="G538" s="339" t="s">
        <v>1520</v>
      </c>
      <c r="H538" s="339" t="s">
        <v>544</v>
      </c>
      <c r="I538" s="339" t="s">
        <v>1522</v>
      </c>
      <c r="J538" s="340">
        <v>2905.9019563666702</v>
      </c>
      <c r="K538" s="341" t="str">
        <f t="shared" si="33"/>
        <v>1º registro</v>
      </c>
      <c r="L538" s="342" t="str">
        <f t="shared" si="34"/>
        <v/>
      </c>
      <c r="M538" s="339" t="s">
        <v>1523</v>
      </c>
      <c r="N538" s="343" t="str">
        <f t="shared" si="35"/>
        <v>PIG HLR X | PIG HLR X — MÉDIA (140-160 KG/M³) | DN 22''|46241</v>
      </c>
    </row>
    <row r="539" spans="2:14" x14ac:dyDescent="0.3">
      <c r="B539" s="335" t="s">
        <v>545</v>
      </c>
      <c r="C539" s="336" t="s">
        <v>1520</v>
      </c>
      <c r="D539" s="337">
        <f t="shared" si="32"/>
        <v>4023.5013269000001</v>
      </c>
      <c r="F539" s="338">
        <v>46241</v>
      </c>
      <c r="G539" s="339" t="s">
        <v>1520</v>
      </c>
      <c r="H539" s="339" t="s">
        <v>545</v>
      </c>
      <c r="I539" s="339" t="s">
        <v>1522</v>
      </c>
      <c r="J539" s="340">
        <v>4023.5013269000001</v>
      </c>
      <c r="K539" s="341" t="str">
        <f t="shared" si="33"/>
        <v>1º registro</v>
      </c>
      <c r="L539" s="342" t="str">
        <f t="shared" si="34"/>
        <v/>
      </c>
      <c r="M539" s="339" t="s">
        <v>1523</v>
      </c>
      <c r="N539" s="343" t="str">
        <f t="shared" si="35"/>
        <v>PIG HLR X | PIG HLR X — MÉDIA (140-160 KG/M³) | DN 24''|46241</v>
      </c>
    </row>
    <row r="540" spans="2:14" x14ac:dyDescent="0.3">
      <c r="B540" s="335" t="s">
        <v>546</v>
      </c>
      <c r="C540" s="336" t="s">
        <v>1520</v>
      </c>
      <c r="D540" s="337">
        <f t="shared" si="32"/>
        <v>4307.7496105999999</v>
      </c>
      <c r="F540" s="338">
        <v>46241</v>
      </c>
      <c r="G540" s="339" t="s">
        <v>1520</v>
      </c>
      <c r="H540" s="339" t="s">
        <v>546</v>
      </c>
      <c r="I540" s="339" t="s">
        <v>1522</v>
      </c>
      <c r="J540" s="340">
        <v>4307.7496105999999</v>
      </c>
      <c r="K540" s="341" t="str">
        <f t="shared" si="33"/>
        <v>1º registro</v>
      </c>
      <c r="L540" s="342" t="str">
        <f t="shared" si="34"/>
        <v/>
      </c>
      <c r="M540" s="339" t="s">
        <v>1523</v>
      </c>
      <c r="N540" s="343" t="str">
        <f t="shared" si="35"/>
        <v>PIG HLR X | PIG HLR X — MÉDIA (140-160 KG/M³) | DN 26''|46241</v>
      </c>
    </row>
    <row r="541" spans="2:14" x14ac:dyDescent="0.3">
      <c r="B541" s="335" t="s">
        <v>547</v>
      </c>
      <c r="C541" s="336" t="s">
        <v>1520</v>
      </c>
      <c r="D541" s="337">
        <f t="shared" si="32"/>
        <v>4465.8860279333303</v>
      </c>
      <c r="F541" s="338">
        <v>46241</v>
      </c>
      <c r="G541" s="339" t="s">
        <v>1520</v>
      </c>
      <c r="H541" s="339" t="s">
        <v>547</v>
      </c>
      <c r="I541" s="339" t="s">
        <v>1522</v>
      </c>
      <c r="J541" s="340">
        <v>4465.8860279333303</v>
      </c>
      <c r="K541" s="341" t="str">
        <f t="shared" si="33"/>
        <v>1º registro</v>
      </c>
      <c r="L541" s="342" t="str">
        <f t="shared" si="34"/>
        <v/>
      </c>
      <c r="M541" s="339" t="s">
        <v>1523</v>
      </c>
      <c r="N541" s="343" t="str">
        <f t="shared" si="35"/>
        <v>PIG HLR X | PIG HLR X — MÉDIA (140-160 KG/M³) | DN 28''|46241</v>
      </c>
    </row>
    <row r="542" spans="2:14" x14ac:dyDescent="0.3">
      <c r="B542" s="335" t="s">
        <v>548</v>
      </c>
      <c r="C542" s="336" t="s">
        <v>1520</v>
      </c>
      <c r="D542" s="337">
        <f t="shared" si="32"/>
        <v>5620.8449113333299</v>
      </c>
      <c r="F542" s="338">
        <v>46241</v>
      </c>
      <c r="G542" s="339" t="s">
        <v>1520</v>
      </c>
      <c r="H542" s="339" t="s">
        <v>548</v>
      </c>
      <c r="I542" s="339" t="s">
        <v>1522</v>
      </c>
      <c r="J542" s="340">
        <v>5620.8449113333299</v>
      </c>
      <c r="K542" s="341" t="str">
        <f t="shared" si="33"/>
        <v>1º registro</v>
      </c>
      <c r="L542" s="342" t="str">
        <f t="shared" si="34"/>
        <v/>
      </c>
      <c r="M542" s="339" t="s">
        <v>1523</v>
      </c>
      <c r="N542" s="343" t="str">
        <f t="shared" si="35"/>
        <v>PIG HLR X | PIG HLR X — MÉDIA (140-160 KG/M³) | DN 30''|46241</v>
      </c>
    </row>
    <row r="543" spans="2:14" x14ac:dyDescent="0.3">
      <c r="B543" s="335" t="s">
        <v>549</v>
      </c>
      <c r="C543" s="336" t="s">
        <v>1520</v>
      </c>
      <c r="D543" s="337">
        <f t="shared" si="32"/>
        <v>6591.32281183333</v>
      </c>
      <c r="F543" s="338">
        <v>46241</v>
      </c>
      <c r="G543" s="339" t="s">
        <v>1520</v>
      </c>
      <c r="H543" s="339" t="s">
        <v>549</v>
      </c>
      <c r="I543" s="339" t="s">
        <v>1522</v>
      </c>
      <c r="J543" s="340">
        <v>6591.32281183333</v>
      </c>
      <c r="K543" s="341" t="str">
        <f t="shared" si="33"/>
        <v>1º registro</v>
      </c>
      <c r="L543" s="342" t="str">
        <f t="shared" si="34"/>
        <v/>
      </c>
      <c r="M543" s="339" t="s">
        <v>1523</v>
      </c>
      <c r="N543" s="343" t="str">
        <f t="shared" si="35"/>
        <v>PIG HLR X | PIG HLR X — MÉDIA (140-160 KG/M³) | DN 32''|46241</v>
      </c>
    </row>
    <row r="544" spans="2:14" x14ac:dyDescent="0.3">
      <c r="B544" s="335" t="s">
        <v>550</v>
      </c>
      <c r="C544" s="336" t="s">
        <v>1520</v>
      </c>
      <c r="D544" s="337">
        <f t="shared" si="32"/>
        <v>7034.1248793333298</v>
      </c>
      <c r="F544" s="338">
        <v>46241</v>
      </c>
      <c r="G544" s="339" t="s">
        <v>1520</v>
      </c>
      <c r="H544" s="339" t="s">
        <v>550</v>
      </c>
      <c r="I544" s="339" t="s">
        <v>1522</v>
      </c>
      <c r="J544" s="340">
        <v>7034.1248793333298</v>
      </c>
      <c r="K544" s="341" t="str">
        <f t="shared" si="33"/>
        <v>1º registro</v>
      </c>
      <c r="L544" s="342" t="str">
        <f t="shared" si="34"/>
        <v/>
      </c>
      <c r="M544" s="339" t="s">
        <v>1523</v>
      </c>
      <c r="N544" s="343" t="str">
        <f t="shared" si="35"/>
        <v>PIG HLR X | PIG HLR X — MÉDIA (140-160 KG/M³) | DN 34''|46241</v>
      </c>
    </row>
    <row r="545" spans="2:14" x14ac:dyDescent="0.3">
      <c r="B545" s="335" t="s">
        <v>551</v>
      </c>
      <c r="C545" s="336" t="s">
        <v>1520</v>
      </c>
      <c r="D545" s="337">
        <f t="shared" si="32"/>
        <v>7578.7175578333299</v>
      </c>
      <c r="F545" s="338">
        <v>46241</v>
      </c>
      <c r="G545" s="339" t="s">
        <v>1520</v>
      </c>
      <c r="H545" s="339" t="s">
        <v>551</v>
      </c>
      <c r="I545" s="339" t="s">
        <v>1522</v>
      </c>
      <c r="J545" s="340">
        <v>7578.7175578333299</v>
      </c>
      <c r="K545" s="341" t="str">
        <f t="shared" si="33"/>
        <v>1º registro</v>
      </c>
      <c r="L545" s="342" t="str">
        <f t="shared" si="34"/>
        <v/>
      </c>
      <c r="M545" s="339" t="s">
        <v>1523</v>
      </c>
      <c r="N545" s="343" t="str">
        <f t="shared" si="35"/>
        <v>PIG HLR X | PIG HLR X — MÉDIA (140-160 KG/M³) | DN 36''|46241</v>
      </c>
    </row>
    <row r="546" spans="2:14" x14ac:dyDescent="0.3">
      <c r="B546" s="335" t="s">
        <v>552</v>
      </c>
      <c r="C546" s="336" t="s">
        <v>1520</v>
      </c>
      <c r="D546" s="337">
        <f t="shared" si="32"/>
        <v>8381.1390828333297</v>
      </c>
      <c r="F546" s="338">
        <v>46241</v>
      </c>
      <c r="G546" s="339" t="s">
        <v>1520</v>
      </c>
      <c r="H546" s="339" t="s">
        <v>552</v>
      </c>
      <c r="I546" s="339" t="s">
        <v>1522</v>
      </c>
      <c r="J546" s="340">
        <v>8381.1390828333297</v>
      </c>
      <c r="K546" s="341" t="str">
        <f t="shared" si="33"/>
        <v>1º registro</v>
      </c>
      <c r="L546" s="342" t="str">
        <f t="shared" si="34"/>
        <v/>
      </c>
      <c r="M546" s="339" t="s">
        <v>1523</v>
      </c>
      <c r="N546" s="343" t="str">
        <f t="shared" si="35"/>
        <v>PIG HLR X | PIG HLR X — MÉDIA (140-160 KG/M³) | DN 38''|46241</v>
      </c>
    </row>
    <row r="547" spans="2:14" x14ac:dyDescent="0.3">
      <c r="B547" s="335" t="s">
        <v>553</v>
      </c>
      <c r="C547" s="336" t="s">
        <v>1520</v>
      </c>
      <c r="D547" s="337">
        <f t="shared" si="32"/>
        <v>8997.5757943333301</v>
      </c>
      <c r="F547" s="338">
        <v>46241</v>
      </c>
      <c r="G547" s="339" t="s">
        <v>1520</v>
      </c>
      <c r="H547" s="339" t="s">
        <v>553</v>
      </c>
      <c r="I547" s="339" t="s">
        <v>1522</v>
      </c>
      <c r="J547" s="340">
        <v>8997.5757943333301</v>
      </c>
      <c r="K547" s="341" t="str">
        <f t="shared" si="33"/>
        <v>1º registro</v>
      </c>
      <c r="L547" s="342" t="str">
        <f t="shared" si="34"/>
        <v/>
      </c>
      <c r="M547" s="339" t="s">
        <v>1523</v>
      </c>
      <c r="N547" s="343" t="str">
        <f t="shared" si="35"/>
        <v>PIG HLR X | PIG HLR X — MÉDIA (140-160 KG/M³) | DN 40''|46241</v>
      </c>
    </row>
    <row r="548" spans="2:14" x14ac:dyDescent="0.3">
      <c r="B548" s="335" t="s">
        <v>554</v>
      </c>
      <c r="C548" s="336" t="s">
        <v>1520</v>
      </c>
      <c r="D548" s="337">
        <f t="shared" si="32"/>
        <v>9911.2859606333295</v>
      </c>
      <c r="F548" s="338">
        <v>46241</v>
      </c>
      <c r="G548" s="339" t="s">
        <v>1520</v>
      </c>
      <c r="H548" s="339" t="s">
        <v>554</v>
      </c>
      <c r="I548" s="339" t="s">
        <v>1522</v>
      </c>
      <c r="J548" s="340">
        <v>9911.2859606333295</v>
      </c>
      <c r="K548" s="341" t="str">
        <f t="shared" si="33"/>
        <v>1º registro</v>
      </c>
      <c r="L548" s="342" t="str">
        <f t="shared" si="34"/>
        <v/>
      </c>
      <c r="M548" s="339" t="s">
        <v>1523</v>
      </c>
      <c r="N548" s="343" t="str">
        <f t="shared" si="35"/>
        <v>PIG HLR X | PIG HLR X — MÉDIA (140-160 KG/M³) | DN 42''|46241</v>
      </c>
    </row>
    <row r="549" spans="2:14" x14ac:dyDescent="0.3">
      <c r="B549" s="335" t="s">
        <v>555</v>
      </c>
      <c r="C549" s="336" t="s">
        <v>1520</v>
      </c>
      <c r="D549" s="337">
        <f t="shared" si="32"/>
        <v>11436.9268743333</v>
      </c>
      <c r="F549" s="338">
        <v>46241</v>
      </c>
      <c r="G549" s="339" t="s">
        <v>1520</v>
      </c>
      <c r="H549" s="339" t="s">
        <v>555</v>
      </c>
      <c r="I549" s="339" t="s">
        <v>1522</v>
      </c>
      <c r="J549" s="340">
        <v>11436.9268743333</v>
      </c>
      <c r="K549" s="341" t="str">
        <f t="shared" si="33"/>
        <v>1º registro</v>
      </c>
      <c r="L549" s="342" t="str">
        <f t="shared" si="34"/>
        <v/>
      </c>
      <c r="M549" s="339" t="s">
        <v>1523</v>
      </c>
      <c r="N549" s="343" t="str">
        <f t="shared" si="35"/>
        <v>PIG HLR X | PIG HLR X — MÉDIA (140-160 KG/M³) | DN 44''|46241</v>
      </c>
    </row>
    <row r="550" spans="2:14" x14ac:dyDescent="0.3">
      <c r="B550" s="335" t="s">
        <v>556</v>
      </c>
      <c r="C550" s="336" t="s">
        <v>1520</v>
      </c>
      <c r="D550" s="337">
        <f t="shared" si="32"/>
        <v>81.720040433333295</v>
      </c>
      <c r="F550" s="338">
        <v>46241</v>
      </c>
      <c r="G550" s="339" t="s">
        <v>1520</v>
      </c>
      <c r="H550" s="339" t="s">
        <v>556</v>
      </c>
      <c r="I550" s="339" t="s">
        <v>1522</v>
      </c>
      <c r="J550" s="340">
        <v>81.720040433333295</v>
      </c>
      <c r="K550" s="341" t="str">
        <f t="shared" si="33"/>
        <v>1º registro</v>
      </c>
      <c r="L550" s="342" t="str">
        <f t="shared" si="34"/>
        <v/>
      </c>
      <c r="M550" s="339" t="s">
        <v>1523</v>
      </c>
      <c r="N550" s="343" t="str">
        <f t="shared" si="35"/>
        <v>PIG HLR X | PIG HLR X — ALTA (170-190 KG/M³) | DN 2''|46241</v>
      </c>
    </row>
    <row r="551" spans="2:14" x14ac:dyDescent="0.3">
      <c r="B551" s="335" t="s">
        <v>558</v>
      </c>
      <c r="C551" s="336" t="s">
        <v>1520</v>
      </c>
      <c r="D551" s="337">
        <f t="shared" si="32"/>
        <v>122.172585333333</v>
      </c>
      <c r="F551" s="338">
        <v>46241</v>
      </c>
      <c r="G551" s="339" t="s">
        <v>1520</v>
      </c>
      <c r="H551" s="339" t="s">
        <v>558</v>
      </c>
      <c r="I551" s="339" t="s">
        <v>1522</v>
      </c>
      <c r="J551" s="340">
        <v>122.172585333333</v>
      </c>
      <c r="K551" s="341" t="str">
        <f t="shared" si="33"/>
        <v>1º registro</v>
      </c>
      <c r="L551" s="342" t="str">
        <f t="shared" si="34"/>
        <v/>
      </c>
      <c r="M551" s="339" t="s">
        <v>1523</v>
      </c>
      <c r="N551" s="343" t="str">
        <f t="shared" si="35"/>
        <v>PIG HLR X | PIG HLR X — ALTA (170-190 KG/M³) | DN 3''|46241</v>
      </c>
    </row>
    <row r="552" spans="2:14" x14ac:dyDescent="0.3">
      <c r="B552" s="335" t="s">
        <v>559</v>
      </c>
      <c r="C552" s="336" t="s">
        <v>1520</v>
      </c>
      <c r="D552" s="337">
        <f t="shared" si="32"/>
        <v>208.37740212222201</v>
      </c>
      <c r="F552" s="338">
        <v>46241</v>
      </c>
      <c r="G552" s="339" t="s">
        <v>1520</v>
      </c>
      <c r="H552" s="339" t="s">
        <v>559</v>
      </c>
      <c r="I552" s="339" t="s">
        <v>1522</v>
      </c>
      <c r="J552" s="340">
        <v>208.37740212222201</v>
      </c>
      <c r="K552" s="341" t="str">
        <f t="shared" si="33"/>
        <v>1º registro</v>
      </c>
      <c r="L552" s="342" t="str">
        <f t="shared" si="34"/>
        <v/>
      </c>
      <c r="M552" s="339" t="s">
        <v>1523</v>
      </c>
      <c r="N552" s="343" t="str">
        <f t="shared" si="35"/>
        <v>PIG HLR X | PIG HLR X — ALTA (170-190 KG/M³) | DN 4''|46241</v>
      </c>
    </row>
    <row r="553" spans="2:14" x14ac:dyDescent="0.3">
      <c r="B553" s="335" t="s">
        <v>560</v>
      </c>
      <c r="C553" s="336" t="s">
        <v>1520</v>
      </c>
      <c r="D553" s="337">
        <f t="shared" si="32"/>
        <v>384.87438694444501</v>
      </c>
      <c r="F553" s="338">
        <v>46241</v>
      </c>
      <c r="G553" s="339" t="s">
        <v>1520</v>
      </c>
      <c r="H553" s="339" t="s">
        <v>560</v>
      </c>
      <c r="I553" s="339" t="s">
        <v>1522</v>
      </c>
      <c r="J553" s="340">
        <v>384.87438694444501</v>
      </c>
      <c r="K553" s="341" t="str">
        <f t="shared" si="33"/>
        <v>1º registro</v>
      </c>
      <c r="L553" s="342" t="str">
        <f t="shared" si="34"/>
        <v/>
      </c>
      <c r="M553" s="339" t="s">
        <v>1523</v>
      </c>
      <c r="N553" s="343" t="str">
        <f t="shared" si="35"/>
        <v>PIG HLR X | PIG HLR X — ALTA (170-190 KG/M³) | DN 6''|46241</v>
      </c>
    </row>
    <row r="554" spans="2:14" x14ac:dyDescent="0.3">
      <c r="B554" s="335" t="s">
        <v>561</v>
      </c>
      <c r="C554" s="336" t="s">
        <v>1520</v>
      </c>
      <c r="D554" s="337">
        <f t="shared" si="32"/>
        <v>564.02840267777799</v>
      </c>
      <c r="F554" s="338">
        <v>46241</v>
      </c>
      <c r="G554" s="339" t="s">
        <v>1520</v>
      </c>
      <c r="H554" s="339" t="s">
        <v>561</v>
      </c>
      <c r="I554" s="339" t="s">
        <v>1522</v>
      </c>
      <c r="J554" s="340">
        <v>564.02840267777799</v>
      </c>
      <c r="K554" s="341" t="str">
        <f t="shared" si="33"/>
        <v>1º registro</v>
      </c>
      <c r="L554" s="342" t="str">
        <f t="shared" si="34"/>
        <v/>
      </c>
      <c r="M554" s="339" t="s">
        <v>1523</v>
      </c>
      <c r="N554" s="343" t="str">
        <f t="shared" si="35"/>
        <v>PIG HLR X | PIG HLR X — ALTA (170-190 KG/M³) | DN 7''|46241</v>
      </c>
    </row>
    <row r="555" spans="2:14" x14ac:dyDescent="0.3">
      <c r="B555" s="335" t="s">
        <v>562</v>
      </c>
      <c r="C555" s="336" t="s">
        <v>1520</v>
      </c>
      <c r="D555" s="337">
        <f t="shared" si="32"/>
        <v>647.61956406666695</v>
      </c>
      <c r="F555" s="338">
        <v>46241</v>
      </c>
      <c r="G555" s="339" t="s">
        <v>1520</v>
      </c>
      <c r="H555" s="339" t="s">
        <v>562</v>
      </c>
      <c r="I555" s="339" t="s">
        <v>1522</v>
      </c>
      <c r="J555" s="340">
        <v>647.61956406666695</v>
      </c>
      <c r="K555" s="341" t="str">
        <f t="shared" si="33"/>
        <v>1º registro</v>
      </c>
      <c r="L555" s="342" t="str">
        <f t="shared" si="34"/>
        <v/>
      </c>
      <c r="M555" s="339" t="s">
        <v>1523</v>
      </c>
      <c r="N555" s="343" t="str">
        <f t="shared" si="35"/>
        <v>PIG HLR X | PIG HLR X — ALTA (170-190 KG/M³) | DN 8''|46241</v>
      </c>
    </row>
    <row r="556" spans="2:14" x14ac:dyDescent="0.3">
      <c r="B556" s="335" t="s">
        <v>563</v>
      </c>
      <c r="C556" s="336" t="s">
        <v>1520</v>
      </c>
      <c r="D556" s="337">
        <f t="shared" si="32"/>
        <v>852.33872883333299</v>
      </c>
      <c r="F556" s="338">
        <v>46241</v>
      </c>
      <c r="G556" s="339" t="s">
        <v>1520</v>
      </c>
      <c r="H556" s="339" t="s">
        <v>563</v>
      </c>
      <c r="I556" s="339" t="s">
        <v>1522</v>
      </c>
      <c r="J556" s="340">
        <v>852.33872883333299</v>
      </c>
      <c r="K556" s="341" t="str">
        <f t="shared" si="33"/>
        <v>1º registro</v>
      </c>
      <c r="L556" s="342" t="str">
        <f t="shared" si="34"/>
        <v/>
      </c>
      <c r="M556" s="339" t="s">
        <v>1523</v>
      </c>
      <c r="N556" s="343" t="str">
        <f t="shared" si="35"/>
        <v>PIG HLR X | PIG HLR X — ALTA (170-190 KG/M³) | DN 10''|46241</v>
      </c>
    </row>
    <row r="557" spans="2:14" x14ac:dyDescent="0.3">
      <c r="B557" s="335" t="s">
        <v>564</v>
      </c>
      <c r="C557" s="336" t="s">
        <v>1520</v>
      </c>
      <c r="D557" s="337">
        <f t="shared" si="32"/>
        <v>1156.4833810666701</v>
      </c>
      <c r="F557" s="338">
        <v>46241</v>
      </c>
      <c r="G557" s="339" t="s">
        <v>1520</v>
      </c>
      <c r="H557" s="339" t="s">
        <v>564</v>
      </c>
      <c r="I557" s="339" t="s">
        <v>1522</v>
      </c>
      <c r="J557" s="340">
        <v>1156.4833810666701</v>
      </c>
      <c r="K557" s="341" t="str">
        <f t="shared" si="33"/>
        <v>1º registro</v>
      </c>
      <c r="L557" s="342" t="str">
        <f t="shared" si="34"/>
        <v/>
      </c>
      <c r="M557" s="339" t="s">
        <v>1523</v>
      </c>
      <c r="N557" s="343" t="str">
        <f t="shared" si="35"/>
        <v>PIG HLR X | PIG HLR X — ALTA (170-190 KG/M³) | DN 12''|46241</v>
      </c>
    </row>
    <row r="558" spans="2:14" x14ac:dyDescent="0.3">
      <c r="B558" s="335" t="s">
        <v>565</v>
      </c>
      <c r="C558" s="336" t="s">
        <v>1520</v>
      </c>
      <c r="D558" s="337">
        <f t="shared" si="32"/>
        <v>1587.4889301333301</v>
      </c>
      <c r="F558" s="338">
        <v>46241</v>
      </c>
      <c r="G558" s="339" t="s">
        <v>1520</v>
      </c>
      <c r="H558" s="339" t="s">
        <v>565</v>
      </c>
      <c r="I558" s="339" t="s">
        <v>1522</v>
      </c>
      <c r="J558" s="340">
        <v>1587.4889301333301</v>
      </c>
      <c r="K558" s="341" t="str">
        <f t="shared" si="33"/>
        <v>1º registro</v>
      </c>
      <c r="L558" s="342" t="str">
        <f t="shared" si="34"/>
        <v/>
      </c>
      <c r="M558" s="339" t="s">
        <v>1523</v>
      </c>
      <c r="N558" s="343" t="str">
        <f t="shared" si="35"/>
        <v>PIG HLR X | PIG HLR X — ALTA (170-190 KG/M³) | DN 14''|46241</v>
      </c>
    </row>
    <row r="559" spans="2:14" x14ac:dyDescent="0.3">
      <c r="B559" s="335" t="s">
        <v>566</v>
      </c>
      <c r="C559" s="336" t="s">
        <v>1520</v>
      </c>
      <c r="D559" s="337">
        <f t="shared" si="32"/>
        <v>1765.1025670333299</v>
      </c>
      <c r="F559" s="338">
        <v>46241</v>
      </c>
      <c r="G559" s="339" t="s">
        <v>1520</v>
      </c>
      <c r="H559" s="339" t="s">
        <v>566</v>
      </c>
      <c r="I559" s="339" t="s">
        <v>1522</v>
      </c>
      <c r="J559" s="340">
        <v>1765.1025670333299</v>
      </c>
      <c r="K559" s="341" t="str">
        <f t="shared" si="33"/>
        <v>1º registro</v>
      </c>
      <c r="L559" s="342" t="str">
        <f t="shared" si="34"/>
        <v/>
      </c>
      <c r="M559" s="339" t="s">
        <v>1523</v>
      </c>
      <c r="N559" s="343" t="str">
        <f t="shared" si="35"/>
        <v>PIG HLR X | PIG HLR X — ALTA (170-190 KG/M³) | DN 16''|46241</v>
      </c>
    </row>
    <row r="560" spans="2:14" x14ac:dyDescent="0.3">
      <c r="B560" s="335" t="s">
        <v>567</v>
      </c>
      <c r="C560" s="336" t="s">
        <v>1520</v>
      </c>
      <c r="D560" s="337">
        <f t="shared" si="32"/>
        <v>2419.3495431333299</v>
      </c>
      <c r="F560" s="338">
        <v>46241</v>
      </c>
      <c r="G560" s="339" t="s">
        <v>1520</v>
      </c>
      <c r="H560" s="339" t="s">
        <v>567</v>
      </c>
      <c r="I560" s="339" t="s">
        <v>1522</v>
      </c>
      <c r="J560" s="340">
        <v>2419.3495431333299</v>
      </c>
      <c r="K560" s="341" t="str">
        <f t="shared" si="33"/>
        <v>1º registro</v>
      </c>
      <c r="L560" s="342" t="str">
        <f t="shared" si="34"/>
        <v/>
      </c>
      <c r="M560" s="339" t="s">
        <v>1523</v>
      </c>
      <c r="N560" s="343" t="str">
        <f t="shared" si="35"/>
        <v>PIG HLR X | PIG HLR X — ALTA (170-190 KG/M³) | DN 18''|46241</v>
      </c>
    </row>
    <row r="561" spans="2:14" x14ac:dyDescent="0.3">
      <c r="B561" s="335" t="s">
        <v>568</v>
      </c>
      <c r="C561" s="336" t="s">
        <v>1520</v>
      </c>
      <c r="D561" s="337">
        <f t="shared" si="32"/>
        <v>3036.6199063333302</v>
      </c>
      <c r="F561" s="338">
        <v>46241</v>
      </c>
      <c r="G561" s="339" t="s">
        <v>1520</v>
      </c>
      <c r="H561" s="339" t="s">
        <v>568</v>
      </c>
      <c r="I561" s="339" t="s">
        <v>1522</v>
      </c>
      <c r="J561" s="340">
        <v>3036.6199063333302</v>
      </c>
      <c r="K561" s="341" t="str">
        <f t="shared" si="33"/>
        <v>1º registro</v>
      </c>
      <c r="L561" s="342" t="str">
        <f t="shared" si="34"/>
        <v/>
      </c>
      <c r="M561" s="339" t="s">
        <v>1523</v>
      </c>
      <c r="N561" s="343" t="str">
        <f t="shared" si="35"/>
        <v>PIG HLR X | PIG HLR X — ALTA (170-190 KG/M³) | DN 20''|46241</v>
      </c>
    </row>
    <row r="562" spans="2:14" x14ac:dyDescent="0.3">
      <c r="B562" s="335" t="s">
        <v>569</v>
      </c>
      <c r="C562" s="336" t="s">
        <v>1520</v>
      </c>
      <c r="D562" s="337">
        <f t="shared" si="32"/>
        <v>3058.60195636667</v>
      </c>
      <c r="F562" s="338">
        <v>46241</v>
      </c>
      <c r="G562" s="339" t="s">
        <v>1520</v>
      </c>
      <c r="H562" s="339" t="s">
        <v>569</v>
      </c>
      <c r="I562" s="339" t="s">
        <v>1522</v>
      </c>
      <c r="J562" s="340">
        <v>3058.60195636667</v>
      </c>
      <c r="K562" s="341" t="str">
        <f t="shared" si="33"/>
        <v>1º registro</v>
      </c>
      <c r="L562" s="342" t="str">
        <f t="shared" si="34"/>
        <v/>
      </c>
      <c r="M562" s="339" t="s">
        <v>1523</v>
      </c>
      <c r="N562" s="343" t="str">
        <f t="shared" si="35"/>
        <v>PIG HLR X | PIG HLR X — ALTA (170-190 KG/M³) | DN 22''|46241</v>
      </c>
    </row>
    <row r="563" spans="2:14" x14ac:dyDescent="0.3">
      <c r="B563" s="335" t="s">
        <v>570</v>
      </c>
      <c r="C563" s="336" t="s">
        <v>1520</v>
      </c>
      <c r="D563" s="337">
        <f t="shared" si="32"/>
        <v>4241.3533269</v>
      </c>
      <c r="F563" s="338">
        <v>46241</v>
      </c>
      <c r="G563" s="339" t="s">
        <v>1520</v>
      </c>
      <c r="H563" s="339" t="s">
        <v>570</v>
      </c>
      <c r="I563" s="339" t="s">
        <v>1522</v>
      </c>
      <c r="J563" s="340">
        <v>4241.3533269</v>
      </c>
      <c r="K563" s="341" t="str">
        <f t="shared" si="33"/>
        <v>1º registro</v>
      </c>
      <c r="L563" s="342" t="str">
        <f t="shared" si="34"/>
        <v/>
      </c>
      <c r="M563" s="339" t="s">
        <v>1523</v>
      </c>
      <c r="N563" s="343" t="str">
        <f t="shared" si="35"/>
        <v>PIG HLR X | PIG HLR X — ALTA (170-190 KG/M³) | DN 24''|46241</v>
      </c>
    </row>
    <row r="564" spans="2:14" x14ac:dyDescent="0.3">
      <c r="B564" s="335" t="s">
        <v>571</v>
      </c>
      <c r="C564" s="336" t="s">
        <v>1520</v>
      </c>
      <c r="D564" s="337">
        <f t="shared" si="32"/>
        <v>4655.9056105999998</v>
      </c>
      <c r="F564" s="338">
        <v>46241</v>
      </c>
      <c r="G564" s="339" t="s">
        <v>1520</v>
      </c>
      <c r="H564" s="339" t="s">
        <v>571</v>
      </c>
      <c r="I564" s="339" t="s">
        <v>1522</v>
      </c>
      <c r="J564" s="340">
        <v>4655.9056105999998</v>
      </c>
      <c r="K564" s="341" t="str">
        <f t="shared" si="33"/>
        <v>1º registro</v>
      </c>
      <c r="L564" s="342" t="str">
        <f t="shared" si="34"/>
        <v/>
      </c>
      <c r="M564" s="339" t="s">
        <v>1523</v>
      </c>
      <c r="N564" s="343" t="str">
        <f t="shared" si="35"/>
        <v>PIG HLR X | PIG HLR X — ALTA (170-190 KG/M³) | DN 26''|46241</v>
      </c>
    </row>
    <row r="565" spans="2:14" x14ac:dyDescent="0.3">
      <c r="B565" s="335" t="s">
        <v>572</v>
      </c>
      <c r="C565" s="336" t="s">
        <v>1520</v>
      </c>
      <c r="D565" s="337">
        <f t="shared" si="32"/>
        <v>5034.9480279333302</v>
      </c>
      <c r="F565" s="338">
        <v>46241</v>
      </c>
      <c r="G565" s="339" t="s">
        <v>1520</v>
      </c>
      <c r="H565" s="339" t="s">
        <v>572</v>
      </c>
      <c r="I565" s="339" t="s">
        <v>1522</v>
      </c>
      <c r="J565" s="340">
        <v>5034.9480279333302</v>
      </c>
      <c r="K565" s="341" t="str">
        <f t="shared" si="33"/>
        <v>1º registro</v>
      </c>
      <c r="L565" s="342" t="str">
        <f t="shared" si="34"/>
        <v/>
      </c>
      <c r="M565" s="339" t="s">
        <v>1523</v>
      </c>
      <c r="N565" s="343" t="str">
        <f t="shared" si="35"/>
        <v>PIG HLR X | PIG HLR X — ALTA (170-190 KG/M³) | DN 28''|46241</v>
      </c>
    </row>
    <row r="566" spans="2:14" x14ac:dyDescent="0.3">
      <c r="B566" s="335" t="s">
        <v>573</v>
      </c>
      <c r="C566" s="336" t="s">
        <v>1520</v>
      </c>
      <c r="D566" s="337">
        <f t="shared" si="32"/>
        <v>6062.6569113333298</v>
      </c>
      <c r="F566" s="338">
        <v>46241</v>
      </c>
      <c r="G566" s="339" t="s">
        <v>1520</v>
      </c>
      <c r="H566" s="339" t="s">
        <v>573</v>
      </c>
      <c r="I566" s="339" t="s">
        <v>1522</v>
      </c>
      <c r="J566" s="340">
        <v>6062.6569113333298</v>
      </c>
      <c r="K566" s="341" t="str">
        <f t="shared" si="33"/>
        <v>1º registro</v>
      </c>
      <c r="L566" s="342" t="str">
        <f t="shared" si="34"/>
        <v/>
      </c>
      <c r="M566" s="339" t="s">
        <v>1523</v>
      </c>
      <c r="N566" s="343" t="str">
        <f t="shared" si="35"/>
        <v>PIG HLR X | PIG HLR X — ALTA (170-190 KG/M³) | DN 30''|46241</v>
      </c>
    </row>
    <row r="567" spans="2:14" x14ac:dyDescent="0.3">
      <c r="B567" s="335" t="s">
        <v>574</v>
      </c>
      <c r="C567" s="336" t="s">
        <v>1520</v>
      </c>
      <c r="D567" s="337">
        <f t="shared" si="32"/>
        <v>6860.0748118333304</v>
      </c>
      <c r="F567" s="338">
        <v>46241</v>
      </c>
      <c r="G567" s="339" t="s">
        <v>1520</v>
      </c>
      <c r="H567" s="339" t="s">
        <v>574</v>
      </c>
      <c r="I567" s="339" t="s">
        <v>1522</v>
      </c>
      <c r="J567" s="340">
        <v>6860.0748118333304</v>
      </c>
      <c r="K567" s="341" t="str">
        <f t="shared" si="33"/>
        <v>1º registro</v>
      </c>
      <c r="L567" s="342" t="str">
        <f t="shared" si="34"/>
        <v/>
      </c>
      <c r="M567" s="339" t="s">
        <v>1523</v>
      </c>
      <c r="N567" s="343" t="str">
        <f t="shared" si="35"/>
        <v>PIG HLR X | PIG HLR X — ALTA (170-190 KG/M³) | DN 32''|46241</v>
      </c>
    </row>
    <row r="568" spans="2:14" x14ac:dyDescent="0.3">
      <c r="B568" s="335" t="s">
        <v>575</v>
      </c>
      <c r="C568" s="336" t="s">
        <v>1520</v>
      </c>
      <c r="D568" s="337">
        <f t="shared" si="32"/>
        <v>7731.4548793333297</v>
      </c>
      <c r="F568" s="338">
        <v>46241</v>
      </c>
      <c r="G568" s="339" t="s">
        <v>1520</v>
      </c>
      <c r="H568" s="339" t="s">
        <v>575</v>
      </c>
      <c r="I568" s="339" t="s">
        <v>1522</v>
      </c>
      <c r="J568" s="340">
        <v>7731.4548793333297</v>
      </c>
      <c r="K568" s="341" t="str">
        <f t="shared" si="33"/>
        <v>1º registro</v>
      </c>
      <c r="L568" s="342" t="str">
        <f t="shared" si="34"/>
        <v/>
      </c>
      <c r="M568" s="339" t="s">
        <v>1523</v>
      </c>
      <c r="N568" s="343" t="str">
        <f t="shared" si="35"/>
        <v>PIG HLR X | PIG HLR X — ALTA (170-190 KG/M³) | DN 34''|46241</v>
      </c>
    </row>
    <row r="569" spans="2:14" x14ac:dyDescent="0.3">
      <c r="B569" s="335" t="s">
        <v>576</v>
      </c>
      <c r="C569" s="336" t="s">
        <v>1520</v>
      </c>
      <c r="D569" s="337">
        <f t="shared" si="32"/>
        <v>8494.9175578333306</v>
      </c>
      <c r="F569" s="338">
        <v>46241</v>
      </c>
      <c r="G569" s="339" t="s">
        <v>1520</v>
      </c>
      <c r="H569" s="339" t="s">
        <v>576</v>
      </c>
      <c r="I569" s="339" t="s">
        <v>1522</v>
      </c>
      <c r="J569" s="340">
        <v>8494.9175578333306</v>
      </c>
      <c r="K569" s="341" t="str">
        <f t="shared" si="33"/>
        <v>1º registro</v>
      </c>
      <c r="L569" s="342" t="str">
        <f t="shared" si="34"/>
        <v/>
      </c>
      <c r="M569" s="339" t="s">
        <v>1523</v>
      </c>
      <c r="N569" s="343" t="str">
        <f t="shared" si="35"/>
        <v>PIG HLR X | PIG HLR X — ALTA (170-190 KG/M³) | DN 36''|46241</v>
      </c>
    </row>
    <row r="570" spans="2:14" x14ac:dyDescent="0.3">
      <c r="B570" s="335" t="s">
        <v>577</v>
      </c>
      <c r="C570" s="336" t="s">
        <v>1520</v>
      </c>
      <c r="D570" s="337">
        <f t="shared" si="32"/>
        <v>9439.8590828333308</v>
      </c>
      <c r="F570" s="338">
        <v>46241</v>
      </c>
      <c r="G570" s="339" t="s">
        <v>1520</v>
      </c>
      <c r="H570" s="339" t="s">
        <v>577</v>
      </c>
      <c r="I570" s="339" t="s">
        <v>1522</v>
      </c>
      <c r="J570" s="340">
        <v>9439.8590828333308</v>
      </c>
      <c r="K570" s="341" t="str">
        <f t="shared" si="33"/>
        <v>1º registro</v>
      </c>
      <c r="L570" s="342" t="str">
        <f t="shared" si="34"/>
        <v/>
      </c>
      <c r="M570" s="339" t="s">
        <v>1523</v>
      </c>
      <c r="N570" s="343" t="str">
        <f t="shared" si="35"/>
        <v>PIG HLR X | PIG HLR X — ALTA (170-190 KG/M³) | DN 38''|46241</v>
      </c>
    </row>
    <row r="571" spans="2:14" x14ac:dyDescent="0.3">
      <c r="B571" s="335" t="s">
        <v>578</v>
      </c>
      <c r="C571" s="336" t="s">
        <v>1520</v>
      </c>
      <c r="D571" s="337">
        <f t="shared" si="32"/>
        <v>10056.2957943333</v>
      </c>
      <c r="F571" s="338">
        <v>46241</v>
      </c>
      <c r="G571" s="339" t="s">
        <v>1520</v>
      </c>
      <c r="H571" s="339" t="s">
        <v>578</v>
      </c>
      <c r="I571" s="339" t="s">
        <v>1522</v>
      </c>
      <c r="J571" s="340">
        <v>10056.2957943333</v>
      </c>
      <c r="K571" s="341" t="str">
        <f t="shared" si="33"/>
        <v>1º registro</v>
      </c>
      <c r="L571" s="342" t="str">
        <f t="shared" si="34"/>
        <v/>
      </c>
      <c r="M571" s="339" t="s">
        <v>1523</v>
      </c>
      <c r="N571" s="343" t="str">
        <f t="shared" si="35"/>
        <v>PIG HLR X | PIG HLR X — ALTA (170-190 KG/M³) | DN 40''|46241</v>
      </c>
    </row>
    <row r="572" spans="2:14" x14ac:dyDescent="0.3">
      <c r="B572" s="335" t="s">
        <v>579</v>
      </c>
      <c r="C572" s="336" t="s">
        <v>1520</v>
      </c>
      <c r="D572" s="337">
        <f t="shared" si="32"/>
        <v>11000.545960633301</v>
      </c>
      <c r="F572" s="338">
        <v>46241</v>
      </c>
      <c r="G572" s="339" t="s">
        <v>1520</v>
      </c>
      <c r="H572" s="339" t="s">
        <v>579</v>
      </c>
      <c r="I572" s="339" t="s">
        <v>1522</v>
      </c>
      <c r="J572" s="340">
        <v>11000.545960633301</v>
      </c>
      <c r="K572" s="341" t="str">
        <f t="shared" si="33"/>
        <v>1º registro</v>
      </c>
      <c r="L572" s="342" t="str">
        <f t="shared" si="34"/>
        <v/>
      </c>
      <c r="M572" s="339" t="s">
        <v>1523</v>
      </c>
      <c r="N572" s="343" t="str">
        <f t="shared" si="35"/>
        <v>PIG HLR X | PIG HLR X — ALTA (170-190 KG/M³) | DN 42''|46241</v>
      </c>
    </row>
    <row r="573" spans="2:14" x14ac:dyDescent="0.3">
      <c r="B573" s="335" t="s">
        <v>580</v>
      </c>
      <c r="C573" s="336" t="s">
        <v>1520</v>
      </c>
      <c r="D573" s="337">
        <f t="shared" si="32"/>
        <v>12709.4268743333</v>
      </c>
      <c r="F573" s="338">
        <v>46241</v>
      </c>
      <c r="G573" s="339" t="s">
        <v>1520</v>
      </c>
      <c r="H573" s="339" t="s">
        <v>580</v>
      </c>
      <c r="I573" s="339" t="s">
        <v>1522</v>
      </c>
      <c r="J573" s="340">
        <v>12709.4268743333</v>
      </c>
      <c r="K573" s="341" t="str">
        <f t="shared" si="33"/>
        <v>1º registro</v>
      </c>
      <c r="L573" s="342" t="str">
        <f t="shared" si="34"/>
        <v/>
      </c>
      <c r="M573" s="339" t="s">
        <v>1523</v>
      </c>
      <c r="N573" s="343" t="str">
        <f t="shared" si="35"/>
        <v>PIG HLR X | PIG HLR X — ALTA (170-190 KG/M³) | DN 44''|46241</v>
      </c>
    </row>
    <row r="574" spans="2:14" x14ac:dyDescent="0.3">
      <c r="B574" s="335" t="s">
        <v>581</v>
      </c>
      <c r="C574" s="336" t="s">
        <v>1520</v>
      </c>
      <c r="D574" s="337">
        <f t="shared" si="32"/>
        <v>57.629940433333303</v>
      </c>
      <c r="F574" s="338">
        <v>46241</v>
      </c>
      <c r="G574" s="339" t="s">
        <v>1520</v>
      </c>
      <c r="H574" s="339" t="s">
        <v>581</v>
      </c>
      <c r="I574" s="339" t="s">
        <v>1522</v>
      </c>
      <c r="J574" s="340">
        <v>57.629940433333303</v>
      </c>
      <c r="K574" s="341" t="str">
        <f t="shared" si="33"/>
        <v>1º registro</v>
      </c>
      <c r="L574" s="342" t="str">
        <f t="shared" si="34"/>
        <v/>
      </c>
      <c r="M574" s="339" t="s">
        <v>1523</v>
      </c>
      <c r="N574" s="343" t="str">
        <f t="shared" si="35"/>
        <v>PIG HLR R | PIG HLR R — MÉDIA (140-160 KG/M³) | DN 2''|46241</v>
      </c>
    </row>
    <row r="575" spans="2:14" x14ac:dyDescent="0.3">
      <c r="B575" s="335" t="s">
        <v>584</v>
      </c>
      <c r="C575" s="336" t="s">
        <v>1520</v>
      </c>
      <c r="D575" s="337">
        <f t="shared" si="32"/>
        <v>79.437135333333302</v>
      </c>
      <c r="F575" s="338">
        <v>46241</v>
      </c>
      <c r="G575" s="339" t="s">
        <v>1520</v>
      </c>
      <c r="H575" s="339" t="s">
        <v>584</v>
      </c>
      <c r="I575" s="339" t="s">
        <v>1522</v>
      </c>
      <c r="J575" s="340">
        <v>79.437135333333302</v>
      </c>
      <c r="K575" s="341" t="str">
        <f t="shared" si="33"/>
        <v>1º registro</v>
      </c>
      <c r="L575" s="342" t="str">
        <f t="shared" si="34"/>
        <v/>
      </c>
      <c r="M575" s="339" t="s">
        <v>1523</v>
      </c>
      <c r="N575" s="343" t="str">
        <f t="shared" si="35"/>
        <v>PIG HLR R | PIG HLR R — MÉDIA (140-160 KG/M³) | DN 3''|46241</v>
      </c>
    </row>
    <row r="576" spans="2:14" x14ac:dyDescent="0.3">
      <c r="B576" s="335" t="s">
        <v>585</v>
      </c>
      <c r="C576" s="336" t="s">
        <v>1520</v>
      </c>
      <c r="D576" s="337">
        <f t="shared" si="32"/>
        <v>129.857834344444</v>
      </c>
      <c r="F576" s="338">
        <v>46241</v>
      </c>
      <c r="G576" s="339" t="s">
        <v>1520</v>
      </c>
      <c r="H576" s="339" t="s">
        <v>585</v>
      </c>
      <c r="I576" s="339" t="s">
        <v>1522</v>
      </c>
      <c r="J576" s="340">
        <v>129.857834344444</v>
      </c>
      <c r="K576" s="341" t="str">
        <f t="shared" si="33"/>
        <v>1º registro</v>
      </c>
      <c r="L576" s="342" t="str">
        <f t="shared" si="34"/>
        <v/>
      </c>
      <c r="M576" s="339" t="s">
        <v>1523</v>
      </c>
      <c r="N576" s="343" t="str">
        <f t="shared" si="35"/>
        <v>PIG HLR R | PIG HLR R — MÉDIA (140-160 KG/M³) | DN 4''|46241</v>
      </c>
    </row>
    <row r="577" spans="2:14" x14ac:dyDescent="0.3">
      <c r="B577" s="335" t="s">
        <v>586</v>
      </c>
      <c r="C577" s="336" t="s">
        <v>1520</v>
      </c>
      <c r="D577" s="337">
        <f t="shared" si="32"/>
        <v>228.32838694444399</v>
      </c>
      <c r="F577" s="338">
        <v>46241</v>
      </c>
      <c r="G577" s="339" t="s">
        <v>1520</v>
      </c>
      <c r="H577" s="339" t="s">
        <v>586</v>
      </c>
      <c r="I577" s="339" t="s">
        <v>1522</v>
      </c>
      <c r="J577" s="340">
        <v>228.32838694444399</v>
      </c>
      <c r="K577" s="341" t="str">
        <f t="shared" si="33"/>
        <v>1º registro</v>
      </c>
      <c r="L577" s="342" t="str">
        <f t="shared" si="34"/>
        <v/>
      </c>
      <c r="M577" s="339" t="s">
        <v>1523</v>
      </c>
      <c r="N577" s="343" t="str">
        <f t="shared" si="35"/>
        <v>PIG HLR R | PIG HLR R — MÉDIA (140-160 KG/M³) | DN 6''|46241</v>
      </c>
    </row>
    <row r="578" spans="2:14" x14ac:dyDescent="0.3">
      <c r="B578" s="335" t="s">
        <v>587</v>
      </c>
      <c r="C578" s="336" t="s">
        <v>1520</v>
      </c>
      <c r="D578" s="337">
        <f t="shared" si="32"/>
        <v>323.13751378888901</v>
      </c>
      <c r="F578" s="338">
        <v>46241</v>
      </c>
      <c r="G578" s="339" t="s">
        <v>1520</v>
      </c>
      <c r="H578" s="339" t="s">
        <v>587</v>
      </c>
      <c r="I578" s="339" t="s">
        <v>1522</v>
      </c>
      <c r="J578" s="340">
        <v>323.13751378888901</v>
      </c>
      <c r="K578" s="341" t="str">
        <f t="shared" si="33"/>
        <v>1º registro</v>
      </c>
      <c r="L578" s="342" t="str">
        <f t="shared" si="34"/>
        <v/>
      </c>
      <c r="M578" s="339" t="s">
        <v>1523</v>
      </c>
      <c r="N578" s="343" t="str">
        <f t="shared" si="35"/>
        <v>PIG HLR R | PIG HLR R — MÉDIA (140-160 KG/M³) | DN 7''|46241</v>
      </c>
    </row>
    <row r="579" spans="2:14" x14ac:dyDescent="0.3">
      <c r="B579" s="335" t="s">
        <v>588</v>
      </c>
      <c r="C579" s="336" t="s">
        <v>1520</v>
      </c>
      <c r="D579" s="337">
        <f t="shared" si="32"/>
        <v>379.39301073333303</v>
      </c>
      <c r="F579" s="338">
        <v>46241</v>
      </c>
      <c r="G579" s="339" t="s">
        <v>1520</v>
      </c>
      <c r="H579" s="339" t="s">
        <v>588</v>
      </c>
      <c r="I579" s="339" t="s">
        <v>1522</v>
      </c>
      <c r="J579" s="340">
        <v>379.39301073333303</v>
      </c>
      <c r="K579" s="341" t="str">
        <f t="shared" si="33"/>
        <v>1º registro</v>
      </c>
      <c r="L579" s="342" t="str">
        <f t="shared" si="34"/>
        <v/>
      </c>
      <c r="M579" s="339" t="s">
        <v>1523</v>
      </c>
      <c r="N579" s="343" t="str">
        <f t="shared" si="35"/>
        <v>PIG HLR R | PIG HLR R — MÉDIA (140-160 KG/M³) | DN 8''|46241</v>
      </c>
    </row>
    <row r="580" spans="2:14" x14ac:dyDescent="0.3">
      <c r="B580" s="335" t="s">
        <v>589</v>
      </c>
      <c r="C580" s="336" t="s">
        <v>1520</v>
      </c>
      <c r="D580" s="337">
        <f t="shared" si="32"/>
        <v>504.32993216666699</v>
      </c>
      <c r="F580" s="338">
        <v>46241</v>
      </c>
      <c r="G580" s="339" t="s">
        <v>1520</v>
      </c>
      <c r="H580" s="339" t="s">
        <v>589</v>
      </c>
      <c r="I580" s="339" t="s">
        <v>1522</v>
      </c>
      <c r="J580" s="340">
        <v>504.32993216666699</v>
      </c>
      <c r="K580" s="341" t="str">
        <f t="shared" si="33"/>
        <v>1º registro</v>
      </c>
      <c r="L580" s="342" t="str">
        <f t="shared" si="34"/>
        <v/>
      </c>
      <c r="M580" s="339" t="s">
        <v>1523</v>
      </c>
      <c r="N580" s="343" t="str">
        <f t="shared" si="35"/>
        <v>PIG HLR R | PIG HLR R — MÉDIA (140-160 KG/M³) | DN 10''|46241</v>
      </c>
    </row>
    <row r="581" spans="2:14" x14ac:dyDescent="0.3">
      <c r="B581" s="335" t="s">
        <v>590</v>
      </c>
      <c r="C581" s="336" t="s">
        <v>1520</v>
      </c>
      <c r="D581" s="337">
        <f t="shared" si="32"/>
        <v>685.848831066667</v>
      </c>
      <c r="F581" s="338">
        <v>46241</v>
      </c>
      <c r="G581" s="339" t="s">
        <v>1520</v>
      </c>
      <c r="H581" s="339" t="s">
        <v>590</v>
      </c>
      <c r="I581" s="339" t="s">
        <v>1522</v>
      </c>
      <c r="J581" s="340">
        <v>685.848831066667</v>
      </c>
      <c r="K581" s="341" t="str">
        <f t="shared" si="33"/>
        <v>1º registro</v>
      </c>
      <c r="L581" s="342" t="str">
        <f t="shared" si="34"/>
        <v/>
      </c>
      <c r="M581" s="339" t="s">
        <v>1523</v>
      </c>
      <c r="N581" s="343" t="str">
        <f t="shared" si="35"/>
        <v>PIG HLR R | PIG HLR R — MÉDIA (140-160 KG/M³) | DN 12''|46241</v>
      </c>
    </row>
    <row r="582" spans="2:14" x14ac:dyDescent="0.3">
      <c r="B582" s="335" t="s">
        <v>591</v>
      </c>
      <c r="C582" s="336" t="s">
        <v>1520</v>
      </c>
      <c r="D582" s="337">
        <f t="shared" si="32"/>
        <v>976.91463013333305</v>
      </c>
      <c r="F582" s="338">
        <v>46241</v>
      </c>
      <c r="G582" s="339" t="s">
        <v>1520</v>
      </c>
      <c r="H582" s="339" t="s">
        <v>591</v>
      </c>
      <c r="I582" s="339" t="s">
        <v>1522</v>
      </c>
      <c r="J582" s="340">
        <v>976.91463013333305</v>
      </c>
      <c r="K582" s="341" t="str">
        <f t="shared" si="33"/>
        <v>1º registro</v>
      </c>
      <c r="L582" s="342" t="str">
        <f t="shared" si="34"/>
        <v/>
      </c>
      <c r="M582" s="339" t="s">
        <v>1523</v>
      </c>
      <c r="N582" s="343" t="str">
        <f t="shared" si="35"/>
        <v>PIG HLR R | PIG HLR R — MÉDIA (140-160 KG/M³) | DN 14''|46241</v>
      </c>
    </row>
    <row r="583" spans="2:14" x14ac:dyDescent="0.3">
      <c r="B583" s="335" t="s">
        <v>592</v>
      </c>
      <c r="C583" s="336" t="s">
        <v>1520</v>
      </c>
      <c r="D583" s="337">
        <f t="shared" si="32"/>
        <v>1107.53446703333</v>
      </c>
      <c r="F583" s="338">
        <v>46241</v>
      </c>
      <c r="G583" s="339" t="s">
        <v>1520</v>
      </c>
      <c r="H583" s="339" t="s">
        <v>592</v>
      </c>
      <c r="I583" s="339" t="s">
        <v>1522</v>
      </c>
      <c r="J583" s="340">
        <v>1107.53446703333</v>
      </c>
      <c r="K583" s="341" t="str">
        <f t="shared" si="33"/>
        <v>1º registro</v>
      </c>
      <c r="L583" s="342" t="str">
        <f t="shared" si="34"/>
        <v/>
      </c>
      <c r="M583" s="339" t="s">
        <v>1523</v>
      </c>
      <c r="N583" s="343" t="str">
        <f t="shared" si="35"/>
        <v>PIG HLR R | PIG HLR R — MÉDIA (140-160 KG/M³) | DN 16''|46241</v>
      </c>
    </row>
    <row r="584" spans="2:14" x14ac:dyDescent="0.3">
      <c r="B584" s="335" t="s">
        <v>593</v>
      </c>
      <c r="C584" s="336" t="s">
        <v>1520</v>
      </c>
      <c r="D584" s="337">
        <f t="shared" si="32"/>
        <v>1512.53567313333</v>
      </c>
      <c r="F584" s="338">
        <v>46241</v>
      </c>
      <c r="G584" s="339" t="s">
        <v>1520</v>
      </c>
      <c r="H584" s="339" t="s">
        <v>593</v>
      </c>
      <c r="I584" s="339" t="s">
        <v>1522</v>
      </c>
      <c r="J584" s="340">
        <v>1512.53567313333</v>
      </c>
      <c r="K584" s="341" t="str">
        <f t="shared" si="33"/>
        <v>1º registro</v>
      </c>
      <c r="L584" s="342" t="str">
        <f t="shared" si="34"/>
        <v/>
      </c>
      <c r="M584" s="339" t="s">
        <v>1523</v>
      </c>
      <c r="N584" s="343" t="str">
        <f t="shared" si="35"/>
        <v>PIG HLR R | PIG HLR R — MÉDIA (140-160 KG/M³) | DN 18''|46241</v>
      </c>
    </row>
    <row r="585" spans="2:14" x14ac:dyDescent="0.3">
      <c r="B585" s="335" t="s">
        <v>594</v>
      </c>
      <c r="C585" s="336" t="s">
        <v>1520</v>
      </c>
      <c r="D585" s="337">
        <f t="shared" si="32"/>
        <v>1938.2451063333301</v>
      </c>
      <c r="F585" s="338">
        <v>46241</v>
      </c>
      <c r="G585" s="339" t="s">
        <v>1520</v>
      </c>
      <c r="H585" s="339" t="s">
        <v>594</v>
      </c>
      <c r="I585" s="339" t="s">
        <v>1522</v>
      </c>
      <c r="J585" s="340">
        <v>1938.2451063333301</v>
      </c>
      <c r="K585" s="341" t="str">
        <f t="shared" si="33"/>
        <v>1º registro</v>
      </c>
      <c r="L585" s="342" t="str">
        <f t="shared" si="34"/>
        <v/>
      </c>
      <c r="M585" s="339" t="s">
        <v>1523</v>
      </c>
      <c r="N585" s="343" t="str">
        <f t="shared" si="35"/>
        <v>PIG HLR R | PIG HLR R — MÉDIA (140-160 KG/M³) | DN 20''|46241</v>
      </c>
    </row>
    <row r="586" spans="2:14" x14ac:dyDescent="0.3">
      <c r="B586" s="335" t="s">
        <v>595</v>
      </c>
      <c r="C586" s="336" t="s">
        <v>1520</v>
      </c>
      <c r="D586" s="337">
        <f t="shared" si="32"/>
        <v>2042.3732897</v>
      </c>
      <c r="F586" s="338">
        <v>46241</v>
      </c>
      <c r="G586" s="339" t="s">
        <v>1520</v>
      </c>
      <c r="H586" s="339" t="s">
        <v>595</v>
      </c>
      <c r="I586" s="339" t="s">
        <v>1522</v>
      </c>
      <c r="J586" s="340">
        <v>2042.3732897</v>
      </c>
      <c r="K586" s="341" t="str">
        <f t="shared" si="33"/>
        <v>1º registro</v>
      </c>
      <c r="L586" s="342" t="str">
        <f t="shared" si="34"/>
        <v/>
      </c>
      <c r="M586" s="339" t="s">
        <v>1523</v>
      </c>
      <c r="N586" s="343" t="str">
        <f t="shared" si="35"/>
        <v>PIG HLR R | PIG HLR R — MÉDIA (140-160 KG/M³) | DN 22''|46241</v>
      </c>
    </row>
    <row r="587" spans="2:14" x14ac:dyDescent="0.3">
      <c r="B587" s="335" t="s">
        <v>596</v>
      </c>
      <c r="C587" s="336" t="s">
        <v>1520</v>
      </c>
      <c r="D587" s="337">
        <f t="shared" si="32"/>
        <v>2769.9692602333298</v>
      </c>
      <c r="F587" s="338">
        <v>46241</v>
      </c>
      <c r="G587" s="339" t="s">
        <v>1520</v>
      </c>
      <c r="H587" s="339" t="s">
        <v>596</v>
      </c>
      <c r="I587" s="339" t="s">
        <v>1522</v>
      </c>
      <c r="J587" s="340">
        <v>2769.9692602333298</v>
      </c>
      <c r="K587" s="341" t="str">
        <f t="shared" si="33"/>
        <v>1º registro</v>
      </c>
      <c r="L587" s="342" t="str">
        <f t="shared" si="34"/>
        <v/>
      </c>
      <c r="M587" s="339" t="s">
        <v>1523</v>
      </c>
      <c r="N587" s="343" t="str">
        <f t="shared" si="35"/>
        <v>PIG HLR R | PIG HLR R — MÉDIA (140-160 KG/M³) | DN 24''|46241</v>
      </c>
    </row>
    <row r="588" spans="2:14" x14ac:dyDescent="0.3">
      <c r="B588" s="335" t="s">
        <v>597</v>
      </c>
      <c r="C588" s="336" t="s">
        <v>1520</v>
      </c>
      <c r="D588" s="337">
        <f t="shared" si="32"/>
        <v>3043.9836439333299</v>
      </c>
      <c r="F588" s="338">
        <v>46241</v>
      </c>
      <c r="G588" s="339" t="s">
        <v>1520</v>
      </c>
      <c r="H588" s="339" t="s">
        <v>597</v>
      </c>
      <c r="I588" s="339" t="s">
        <v>1522</v>
      </c>
      <c r="J588" s="340">
        <v>3043.9836439333299</v>
      </c>
      <c r="K588" s="341" t="str">
        <f t="shared" si="33"/>
        <v>1º registro</v>
      </c>
      <c r="L588" s="342" t="str">
        <f t="shared" si="34"/>
        <v/>
      </c>
      <c r="M588" s="339" t="s">
        <v>1523</v>
      </c>
      <c r="N588" s="343" t="str">
        <f t="shared" si="35"/>
        <v>PIG HLR R | PIG HLR R — MÉDIA (140-160 KG/M³) | DN 26''|46241</v>
      </c>
    </row>
    <row r="589" spans="2:14" x14ac:dyDescent="0.3">
      <c r="B589" s="335" t="s">
        <v>598</v>
      </c>
      <c r="C589" s="336" t="s">
        <v>1520</v>
      </c>
      <c r="D589" s="337">
        <f t="shared" si="32"/>
        <v>3244.0960279333299</v>
      </c>
      <c r="F589" s="338">
        <v>46241</v>
      </c>
      <c r="G589" s="339" t="s">
        <v>1520</v>
      </c>
      <c r="H589" s="339" t="s">
        <v>598</v>
      </c>
      <c r="I589" s="339" t="s">
        <v>1522</v>
      </c>
      <c r="J589" s="340">
        <v>3244.0960279333299</v>
      </c>
      <c r="K589" s="341" t="str">
        <f t="shared" si="33"/>
        <v>1º registro</v>
      </c>
      <c r="L589" s="342" t="str">
        <f t="shared" si="34"/>
        <v/>
      </c>
      <c r="M589" s="339" t="s">
        <v>1523</v>
      </c>
      <c r="N589" s="343" t="str">
        <f t="shared" si="35"/>
        <v>PIG HLR R | PIG HLR R — MÉDIA (140-160 KG/M³) | DN 28''|46241</v>
      </c>
    </row>
    <row r="590" spans="2:14" x14ac:dyDescent="0.3">
      <c r="B590" s="335" t="s">
        <v>599</v>
      </c>
      <c r="C590" s="336" t="s">
        <v>1520</v>
      </c>
      <c r="D590" s="337">
        <f t="shared" si="32"/>
        <v>4207.0645113333303</v>
      </c>
      <c r="F590" s="338">
        <v>46241</v>
      </c>
      <c r="G590" s="339" t="s">
        <v>1520</v>
      </c>
      <c r="H590" s="339" t="s">
        <v>599</v>
      </c>
      <c r="I590" s="339" t="s">
        <v>1522</v>
      </c>
      <c r="J590" s="340">
        <v>4207.0645113333303</v>
      </c>
      <c r="K590" s="341" t="str">
        <f t="shared" si="33"/>
        <v>1º registro</v>
      </c>
      <c r="L590" s="342" t="str">
        <f t="shared" si="34"/>
        <v/>
      </c>
      <c r="M590" s="339" t="s">
        <v>1523</v>
      </c>
      <c r="N590" s="343" t="str">
        <f t="shared" si="35"/>
        <v>PIG HLR R | PIG HLR R — MÉDIA (140-160 KG/M³) | DN 30''|46241</v>
      </c>
    </row>
    <row r="591" spans="2:14" x14ac:dyDescent="0.3">
      <c r="B591" s="335" t="s">
        <v>600</v>
      </c>
      <c r="C591" s="336" t="s">
        <v>1520</v>
      </c>
      <c r="D591" s="337">
        <f t="shared" si="32"/>
        <v>4822.8188118333301</v>
      </c>
      <c r="F591" s="338">
        <v>46241</v>
      </c>
      <c r="G591" s="339" t="s">
        <v>1520</v>
      </c>
      <c r="H591" s="339" t="s">
        <v>600</v>
      </c>
      <c r="I591" s="339" t="s">
        <v>1522</v>
      </c>
      <c r="J591" s="340">
        <v>4822.8188118333301</v>
      </c>
      <c r="K591" s="341" t="str">
        <f t="shared" si="33"/>
        <v>1º registro</v>
      </c>
      <c r="L591" s="342" t="str">
        <f t="shared" si="34"/>
        <v/>
      </c>
      <c r="M591" s="339" t="s">
        <v>1523</v>
      </c>
      <c r="N591" s="343" t="str">
        <f t="shared" si="35"/>
        <v>PIG HLR R | PIG HLR R — MÉDIA (140-160 KG/M³) | DN 32''|46241</v>
      </c>
    </row>
    <row r="592" spans="2:14" x14ac:dyDescent="0.3">
      <c r="B592" s="335" t="s">
        <v>601</v>
      </c>
      <c r="C592" s="336" t="s">
        <v>1520</v>
      </c>
      <c r="D592" s="337">
        <f t="shared" si="32"/>
        <v>5276.1992793333302</v>
      </c>
      <c r="F592" s="338">
        <v>46241</v>
      </c>
      <c r="G592" s="339" t="s">
        <v>1520</v>
      </c>
      <c r="H592" s="339" t="s">
        <v>601</v>
      </c>
      <c r="I592" s="339" t="s">
        <v>1522</v>
      </c>
      <c r="J592" s="340">
        <v>5276.1992793333302</v>
      </c>
      <c r="K592" s="341" t="str">
        <f t="shared" si="33"/>
        <v>1º registro</v>
      </c>
      <c r="L592" s="342" t="str">
        <f t="shared" si="34"/>
        <v/>
      </c>
      <c r="M592" s="339" t="s">
        <v>1523</v>
      </c>
      <c r="N592" s="343" t="str">
        <f t="shared" si="35"/>
        <v>PIG HLR R | PIG HLR R — MÉDIA (140-160 KG/M³) | DN 34''|46241</v>
      </c>
    </row>
    <row r="593" spans="2:14" x14ac:dyDescent="0.3">
      <c r="B593" s="335" t="s">
        <v>602</v>
      </c>
      <c r="C593" s="336" t="s">
        <v>1520</v>
      </c>
      <c r="D593" s="337">
        <f t="shared" si="32"/>
        <v>5821.9549578333299</v>
      </c>
      <c r="F593" s="338">
        <v>46241</v>
      </c>
      <c r="G593" s="339" t="s">
        <v>1520</v>
      </c>
      <c r="H593" s="339" t="s">
        <v>602</v>
      </c>
      <c r="I593" s="339" t="s">
        <v>1522</v>
      </c>
      <c r="J593" s="340">
        <v>5821.9549578333299</v>
      </c>
      <c r="K593" s="341" t="str">
        <f t="shared" si="33"/>
        <v>1º registro</v>
      </c>
      <c r="L593" s="342" t="str">
        <f t="shared" si="34"/>
        <v/>
      </c>
      <c r="M593" s="339" t="s">
        <v>1523</v>
      </c>
      <c r="N593" s="343" t="str">
        <f t="shared" si="35"/>
        <v>PIG HLR R | PIG HLR R — MÉDIA (140-160 KG/M³) | DN 36''|46241</v>
      </c>
    </row>
    <row r="594" spans="2:14" x14ac:dyDescent="0.3">
      <c r="B594" s="335" t="s">
        <v>603</v>
      </c>
      <c r="C594" s="336" t="s">
        <v>1520</v>
      </c>
      <c r="D594" s="337">
        <f t="shared" si="32"/>
        <v>6646.6850828333299</v>
      </c>
      <c r="F594" s="338">
        <v>46241</v>
      </c>
      <c r="G594" s="339" t="s">
        <v>1520</v>
      </c>
      <c r="H594" s="339" t="s">
        <v>603</v>
      </c>
      <c r="I594" s="339" t="s">
        <v>1522</v>
      </c>
      <c r="J594" s="340">
        <v>6646.6850828333299</v>
      </c>
      <c r="K594" s="341" t="str">
        <f t="shared" si="33"/>
        <v>1º registro</v>
      </c>
      <c r="L594" s="342" t="str">
        <f t="shared" si="34"/>
        <v/>
      </c>
      <c r="M594" s="339" t="s">
        <v>1523</v>
      </c>
      <c r="N594" s="343" t="str">
        <f t="shared" si="35"/>
        <v>PIG HLR R | PIG HLR R — MÉDIA (140-160 KG/M³) | DN 38''|46241</v>
      </c>
    </row>
    <row r="595" spans="2:14" x14ac:dyDescent="0.3">
      <c r="B595" s="335" t="s">
        <v>604</v>
      </c>
      <c r="C595" s="336" t="s">
        <v>1520</v>
      </c>
      <c r="D595" s="337">
        <f t="shared" si="32"/>
        <v>7138.03572766667</v>
      </c>
      <c r="F595" s="338">
        <v>46241</v>
      </c>
      <c r="G595" s="339" t="s">
        <v>1520</v>
      </c>
      <c r="H595" s="339" t="s">
        <v>604</v>
      </c>
      <c r="I595" s="339" t="s">
        <v>1522</v>
      </c>
      <c r="J595" s="340">
        <v>7138.03572766667</v>
      </c>
      <c r="K595" s="341" t="str">
        <f t="shared" si="33"/>
        <v>1º registro</v>
      </c>
      <c r="L595" s="342" t="str">
        <f t="shared" si="34"/>
        <v/>
      </c>
      <c r="M595" s="339" t="s">
        <v>1523</v>
      </c>
      <c r="N595" s="343" t="str">
        <f t="shared" si="35"/>
        <v>PIG HLR R | PIG HLR R — MÉDIA (140-160 KG/M³) | DN 40''|46241</v>
      </c>
    </row>
    <row r="596" spans="2:14" x14ac:dyDescent="0.3">
      <c r="B596" s="335" t="s">
        <v>605</v>
      </c>
      <c r="C596" s="336" t="s">
        <v>1520</v>
      </c>
      <c r="D596" s="337">
        <f t="shared" si="32"/>
        <v>7902.5168939666701</v>
      </c>
      <c r="F596" s="338">
        <v>46241</v>
      </c>
      <c r="G596" s="339" t="s">
        <v>1520</v>
      </c>
      <c r="H596" s="339" t="s">
        <v>605</v>
      </c>
      <c r="I596" s="339" t="s">
        <v>1522</v>
      </c>
      <c r="J596" s="340">
        <v>7902.5168939666701</v>
      </c>
      <c r="K596" s="341" t="str">
        <f t="shared" si="33"/>
        <v>1º registro</v>
      </c>
      <c r="L596" s="342" t="str">
        <f t="shared" si="34"/>
        <v/>
      </c>
      <c r="M596" s="339" t="s">
        <v>1523</v>
      </c>
      <c r="N596" s="343" t="str">
        <f t="shared" si="35"/>
        <v>PIG HLR R | PIG HLR R — MÉDIA (140-160 KG/M³) | DN 42''|46241</v>
      </c>
    </row>
    <row r="597" spans="2:14" x14ac:dyDescent="0.3">
      <c r="B597" s="335" t="s">
        <v>606</v>
      </c>
      <c r="C597" s="336" t="s">
        <v>1520</v>
      </c>
      <c r="D597" s="337">
        <f t="shared" si="32"/>
        <v>9139.1382576666692</v>
      </c>
      <c r="F597" s="338">
        <v>46241</v>
      </c>
      <c r="G597" s="339" t="s">
        <v>1520</v>
      </c>
      <c r="H597" s="339" t="s">
        <v>606</v>
      </c>
      <c r="I597" s="339" t="s">
        <v>1522</v>
      </c>
      <c r="J597" s="340">
        <v>9139.1382576666692</v>
      </c>
      <c r="K597" s="341" t="str">
        <f t="shared" si="33"/>
        <v>1º registro</v>
      </c>
      <c r="L597" s="342" t="str">
        <f t="shared" si="34"/>
        <v/>
      </c>
      <c r="M597" s="339" t="s">
        <v>1523</v>
      </c>
      <c r="N597" s="343" t="str">
        <f t="shared" si="35"/>
        <v>PIG HLR R | PIG HLR R — MÉDIA (140-160 KG/M³) | DN 44''|46241</v>
      </c>
    </row>
    <row r="598" spans="2:14" x14ac:dyDescent="0.3">
      <c r="B598" s="335" t="s">
        <v>607</v>
      </c>
      <c r="C598" s="336" t="s">
        <v>1520</v>
      </c>
      <c r="D598" s="337">
        <f t="shared" ref="D598:D661" si="36">IF($B598="","",IFERROR(INDEX($J$21:$J$1200,MATCH($B598&amp;"|"&amp;TEXT(_xlfn.MAXIFS($F$21:$F$1200,$H$21:$H$1200,$B598,$F$21:$F$1200,"&lt;="&amp;EOMONTH(D$20,0)),"0"),$N$21:$N$1200,0)),"-"))</f>
        <v>57.894620433333301</v>
      </c>
      <c r="F598" s="338">
        <v>46241</v>
      </c>
      <c r="G598" s="339" t="s">
        <v>1520</v>
      </c>
      <c r="H598" s="339" t="s">
        <v>607</v>
      </c>
      <c r="I598" s="339" t="s">
        <v>1522</v>
      </c>
      <c r="J598" s="340">
        <v>57.894620433333301</v>
      </c>
      <c r="K598" s="341" t="str">
        <f t="shared" ref="K598:K661" si="37">IF($H598="","",IFERROR(INDEX($J$21:$J$1200,MATCH($H598&amp;"|"&amp;TEXT(_xlfn.MAXIFS($F$21:$F$1200,$H$21:$H$1200,$H598,$F$21:$F$1200,"&lt;"&amp;$F598),"0"),$N$21:$N$1200,0)),"1º registro"))</f>
        <v>1º registro</v>
      </c>
      <c r="L598" s="342" t="str">
        <f t="shared" ref="L598:L661" si="38">IF(OR($H598="",$K598="1º registro"),"",IFERROR(($J598-$K598)/$K598,""))</f>
        <v/>
      </c>
      <c r="M598" s="339" t="s">
        <v>1523</v>
      </c>
      <c r="N598" s="343" t="str">
        <f t="shared" ref="N598:N661" si="39">IF($H598="","",$H598&amp;"|"&amp;TEXT($F598,"0"))</f>
        <v>PIG HLR R | PIG HLR R — ALTA (170-190 KG/M³) | DN 2''|46241</v>
      </c>
    </row>
    <row r="599" spans="2:14" x14ac:dyDescent="0.3">
      <c r="B599" s="335" t="s">
        <v>609</v>
      </c>
      <c r="C599" s="336" t="s">
        <v>1520</v>
      </c>
      <c r="D599" s="337">
        <f t="shared" si="36"/>
        <v>79.844335333333305</v>
      </c>
      <c r="F599" s="338">
        <v>46241</v>
      </c>
      <c r="G599" s="339" t="s">
        <v>1520</v>
      </c>
      <c r="H599" s="339" t="s">
        <v>609</v>
      </c>
      <c r="I599" s="339" t="s">
        <v>1522</v>
      </c>
      <c r="J599" s="340">
        <v>79.844335333333305</v>
      </c>
      <c r="K599" s="341" t="str">
        <f t="shared" si="37"/>
        <v>1º registro</v>
      </c>
      <c r="L599" s="342" t="str">
        <f t="shared" si="38"/>
        <v/>
      </c>
      <c r="M599" s="339" t="s">
        <v>1523</v>
      </c>
      <c r="N599" s="343" t="str">
        <f t="shared" si="39"/>
        <v>PIG HLR R | PIG HLR R — ALTA (170-190 KG/M³) | DN 3''|46241</v>
      </c>
    </row>
    <row r="600" spans="2:14" x14ac:dyDescent="0.3">
      <c r="B600" s="335" t="s">
        <v>610</v>
      </c>
      <c r="C600" s="336" t="s">
        <v>1520</v>
      </c>
      <c r="D600" s="337">
        <f t="shared" si="36"/>
        <v>130.99799434444401</v>
      </c>
      <c r="F600" s="338">
        <v>46241</v>
      </c>
      <c r="G600" s="339" t="s">
        <v>1520</v>
      </c>
      <c r="H600" s="339" t="s">
        <v>610</v>
      </c>
      <c r="I600" s="339" t="s">
        <v>1522</v>
      </c>
      <c r="J600" s="340">
        <v>130.99799434444401</v>
      </c>
      <c r="K600" s="341" t="str">
        <f t="shared" si="37"/>
        <v>1º registro</v>
      </c>
      <c r="L600" s="342" t="str">
        <f t="shared" si="38"/>
        <v/>
      </c>
      <c r="M600" s="339" t="s">
        <v>1523</v>
      </c>
      <c r="N600" s="343" t="str">
        <f t="shared" si="39"/>
        <v>PIG HLR R | PIG HLR R — ALTA (170-190 KG/M³) | DN 4''|46241</v>
      </c>
    </row>
    <row r="601" spans="2:14" x14ac:dyDescent="0.3">
      <c r="B601" s="335" t="s">
        <v>611</v>
      </c>
      <c r="C601" s="336" t="s">
        <v>1520</v>
      </c>
      <c r="D601" s="337">
        <f t="shared" si="36"/>
        <v>232.80758694444401</v>
      </c>
      <c r="F601" s="338">
        <v>46241</v>
      </c>
      <c r="G601" s="339" t="s">
        <v>1520</v>
      </c>
      <c r="H601" s="339" t="s">
        <v>611</v>
      </c>
      <c r="I601" s="339" t="s">
        <v>1522</v>
      </c>
      <c r="J601" s="340">
        <v>232.80758694444401</v>
      </c>
      <c r="K601" s="341" t="str">
        <f t="shared" si="37"/>
        <v>1º registro</v>
      </c>
      <c r="L601" s="342" t="str">
        <f t="shared" si="38"/>
        <v/>
      </c>
      <c r="M601" s="339" t="s">
        <v>1523</v>
      </c>
      <c r="N601" s="343" t="str">
        <f t="shared" si="39"/>
        <v>PIG HLR R | PIG HLR R — ALTA (170-190 KG/M³) | DN 6''|46241</v>
      </c>
    </row>
    <row r="602" spans="2:14" x14ac:dyDescent="0.3">
      <c r="B602" s="335" t="s">
        <v>612</v>
      </c>
      <c r="C602" s="336" t="s">
        <v>1520</v>
      </c>
      <c r="D602" s="337">
        <f t="shared" si="36"/>
        <v>328.94011378888899</v>
      </c>
      <c r="F602" s="338">
        <v>46241</v>
      </c>
      <c r="G602" s="339" t="s">
        <v>1520</v>
      </c>
      <c r="H602" s="339" t="s">
        <v>612</v>
      </c>
      <c r="I602" s="339" t="s">
        <v>1522</v>
      </c>
      <c r="J602" s="340">
        <v>328.94011378888899</v>
      </c>
      <c r="K602" s="341" t="str">
        <f t="shared" si="37"/>
        <v>1º registro</v>
      </c>
      <c r="L602" s="342" t="str">
        <f t="shared" si="38"/>
        <v/>
      </c>
      <c r="M602" s="339" t="s">
        <v>1523</v>
      </c>
      <c r="N602" s="343" t="str">
        <f t="shared" si="39"/>
        <v>PIG HLR R | PIG HLR R — ALTA (170-190 KG/M³) | DN 7''|46241</v>
      </c>
    </row>
    <row r="603" spans="2:14" x14ac:dyDescent="0.3">
      <c r="B603" s="335" t="s">
        <v>613</v>
      </c>
      <c r="C603" s="336" t="s">
        <v>1520</v>
      </c>
      <c r="D603" s="337">
        <f t="shared" si="36"/>
        <v>388.08673073333301</v>
      </c>
      <c r="F603" s="338">
        <v>46241</v>
      </c>
      <c r="G603" s="339" t="s">
        <v>1520</v>
      </c>
      <c r="H603" s="339" t="s">
        <v>613</v>
      </c>
      <c r="I603" s="339" t="s">
        <v>1522</v>
      </c>
      <c r="J603" s="340">
        <v>388.08673073333301</v>
      </c>
      <c r="K603" s="341" t="str">
        <f t="shared" si="37"/>
        <v>1º registro</v>
      </c>
      <c r="L603" s="342" t="str">
        <f t="shared" si="38"/>
        <v/>
      </c>
      <c r="M603" s="339" t="s">
        <v>1523</v>
      </c>
      <c r="N603" s="343" t="str">
        <f t="shared" si="39"/>
        <v>PIG HLR R | PIG HLR R — ALTA (170-190 KG/M³) | DN 8''|46241</v>
      </c>
    </row>
    <row r="604" spans="2:14" x14ac:dyDescent="0.3">
      <c r="B604" s="335" t="s">
        <v>614</v>
      </c>
      <c r="C604" s="336" t="s">
        <v>1520</v>
      </c>
      <c r="D604" s="337">
        <f t="shared" si="36"/>
        <v>520.78081216666703</v>
      </c>
      <c r="F604" s="338">
        <v>46241</v>
      </c>
      <c r="G604" s="339" t="s">
        <v>1520</v>
      </c>
      <c r="H604" s="339" t="s">
        <v>614</v>
      </c>
      <c r="I604" s="339" t="s">
        <v>1522</v>
      </c>
      <c r="J604" s="340">
        <v>520.78081216666703</v>
      </c>
      <c r="K604" s="341" t="str">
        <f t="shared" si="37"/>
        <v>1º registro</v>
      </c>
      <c r="L604" s="342" t="str">
        <f t="shared" si="38"/>
        <v/>
      </c>
      <c r="M604" s="339" t="s">
        <v>1523</v>
      </c>
      <c r="N604" s="343" t="str">
        <f t="shared" si="39"/>
        <v>PIG HLR R | PIG HLR R — ALTA (170-190 KG/M³) | DN 10''|46241</v>
      </c>
    </row>
    <row r="605" spans="2:14" x14ac:dyDescent="0.3">
      <c r="B605" s="335" t="s">
        <v>615</v>
      </c>
      <c r="C605" s="336" t="s">
        <v>1520</v>
      </c>
      <c r="D605" s="337">
        <f t="shared" si="36"/>
        <v>712.927631066667</v>
      </c>
      <c r="F605" s="338">
        <v>46241</v>
      </c>
      <c r="G605" s="339" t="s">
        <v>1520</v>
      </c>
      <c r="H605" s="339" t="s">
        <v>615</v>
      </c>
      <c r="I605" s="339" t="s">
        <v>1522</v>
      </c>
      <c r="J605" s="340">
        <v>712.927631066667</v>
      </c>
      <c r="K605" s="341" t="str">
        <f t="shared" si="37"/>
        <v>1º registro</v>
      </c>
      <c r="L605" s="342" t="str">
        <f t="shared" si="38"/>
        <v/>
      </c>
      <c r="M605" s="339" t="s">
        <v>1523</v>
      </c>
      <c r="N605" s="343" t="str">
        <f t="shared" si="39"/>
        <v>PIG HLR R | PIG HLR R — ALTA (170-190 KG/M³) | DN 12''|46241</v>
      </c>
    </row>
    <row r="606" spans="2:14" x14ac:dyDescent="0.3">
      <c r="B606" s="335" t="s">
        <v>616</v>
      </c>
      <c r="C606" s="336" t="s">
        <v>1520</v>
      </c>
      <c r="D606" s="337">
        <f t="shared" si="36"/>
        <v>1015.08963013333</v>
      </c>
      <c r="F606" s="338">
        <v>46241</v>
      </c>
      <c r="G606" s="339" t="s">
        <v>1520</v>
      </c>
      <c r="H606" s="339" t="s">
        <v>616</v>
      </c>
      <c r="I606" s="339" t="s">
        <v>1522</v>
      </c>
      <c r="J606" s="340">
        <v>1015.08963013333</v>
      </c>
      <c r="K606" s="341" t="str">
        <f t="shared" si="37"/>
        <v>1º registro</v>
      </c>
      <c r="L606" s="342" t="str">
        <f t="shared" si="38"/>
        <v/>
      </c>
      <c r="M606" s="339" t="s">
        <v>1523</v>
      </c>
      <c r="N606" s="343" t="str">
        <f t="shared" si="39"/>
        <v>PIG HLR R | PIG HLR R — ALTA (170-190 KG/M³) | DN 14''|46241</v>
      </c>
    </row>
    <row r="607" spans="2:14" x14ac:dyDescent="0.3">
      <c r="B607" s="335" t="s">
        <v>617</v>
      </c>
      <c r="C607" s="336" t="s">
        <v>1520</v>
      </c>
      <c r="D607" s="337">
        <f t="shared" si="36"/>
        <v>1159.4524670333301</v>
      </c>
      <c r="F607" s="338">
        <v>46241</v>
      </c>
      <c r="G607" s="339" t="s">
        <v>1520</v>
      </c>
      <c r="H607" s="339" t="s">
        <v>617</v>
      </c>
      <c r="I607" s="339" t="s">
        <v>1522</v>
      </c>
      <c r="J607" s="340">
        <v>1159.4524670333301</v>
      </c>
      <c r="K607" s="341" t="str">
        <f t="shared" si="37"/>
        <v>1º registro</v>
      </c>
      <c r="L607" s="342" t="str">
        <f t="shared" si="38"/>
        <v/>
      </c>
      <c r="M607" s="339" t="s">
        <v>1523</v>
      </c>
      <c r="N607" s="343" t="str">
        <f t="shared" si="39"/>
        <v>PIG HLR R | PIG HLR R — ALTA (170-190 KG/M³) | DN 16''|46241</v>
      </c>
    </row>
    <row r="608" spans="2:14" x14ac:dyDescent="0.3">
      <c r="B608" s="335" t="s">
        <v>618</v>
      </c>
      <c r="C608" s="336" t="s">
        <v>1520</v>
      </c>
      <c r="D608" s="337">
        <f t="shared" si="36"/>
        <v>1614.5799931333299</v>
      </c>
      <c r="F608" s="338">
        <v>46241</v>
      </c>
      <c r="G608" s="339" t="s">
        <v>1520</v>
      </c>
      <c r="H608" s="339" t="s">
        <v>618</v>
      </c>
      <c r="I608" s="339" t="s">
        <v>1522</v>
      </c>
      <c r="J608" s="340">
        <v>1614.5799931333299</v>
      </c>
      <c r="K608" s="341" t="str">
        <f t="shared" si="37"/>
        <v>1º registro</v>
      </c>
      <c r="L608" s="342" t="str">
        <f t="shared" si="38"/>
        <v/>
      </c>
      <c r="M608" s="339" t="s">
        <v>1523</v>
      </c>
      <c r="N608" s="343" t="str">
        <f t="shared" si="39"/>
        <v>PIG HLR R | PIG HLR R — ALTA (170-190 KG/M³) | DN 18''|46241</v>
      </c>
    </row>
    <row r="609" spans="2:14" x14ac:dyDescent="0.3">
      <c r="B609" s="335" t="s">
        <v>619</v>
      </c>
      <c r="C609" s="336" t="s">
        <v>1520</v>
      </c>
      <c r="D609" s="337">
        <f t="shared" si="36"/>
        <v>2052.2611063333302</v>
      </c>
      <c r="F609" s="338">
        <v>46241</v>
      </c>
      <c r="G609" s="339" t="s">
        <v>1520</v>
      </c>
      <c r="H609" s="339" t="s">
        <v>619</v>
      </c>
      <c r="I609" s="339" t="s">
        <v>1522</v>
      </c>
      <c r="J609" s="340">
        <v>2052.2611063333302</v>
      </c>
      <c r="K609" s="341" t="str">
        <f t="shared" si="37"/>
        <v>1º registro</v>
      </c>
      <c r="L609" s="342" t="str">
        <f t="shared" si="38"/>
        <v/>
      </c>
      <c r="M609" s="339" t="s">
        <v>1523</v>
      </c>
      <c r="N609" s="343" t="str">
        <f t="shared" si="39"/>
        <v>PIG HLR R | PIG HLR R — ALTA (170-190 KG/M³) | DN 20''|46241</v>
      </c>
    </row>
    <row r="610" spans="2:14" x14ac:dyDescent="0.3">
      <c r="B610" s="335" t="s">
        <v>620</v>
      </c>
      <c r="C610" s="336" t="s">
        <v>1520</v>
      </c>
      <c r="D610" s="337">
        <f t="shared" si="36"/>
        <v>2195.0732896999998</v>
      </c>
      <c r="F610" s="338">
        <v>46241</v>
      </c>
      <c r="G610" s="339" t="s">
        <v>1520</v>
      </c>
      <c r="H610" s="339" t="s">
        <v>620</v>
      </c>
      <c r="I610" s="339" t="s">
        <v>1522</v>
      </c>
      <c r="J610" s="340">
        <v>2195.0732896999998</v>
      </c>
      <c r="K610" s="341" t="str">
        <f t="shared" si="37"/>
        <v>1º registro</v>
      </c>
      <c r="L610" s="342" t="str">
        <f t="shared" si="38"/>
        <v/>
      </c>
      <c r="M610" s="339" t="s">
        <v>1523</v>
      </c>
      <c r="N610" s="343" t="str">
        <f t="shared" si="39"/>
        <v>PIG HLR R | PIG HLR R — ALTA (170-190 KG/M³) | DN 22''|46241</v>
      </c>
    </row>
    <row r="611" spans="2:14" x14ac:dyDescent="0.3">
      <c r="B611" s="335" t="s">
        <v>621</v>
      </c>
      <c r="C611" s="336" t="s">
        <v>1520</v>
      </c>
      <c r="D611" s="337">
        <f t="shared" si="36"/>
        <v>2987.8212602333301</v>
      </c>
      <c r="F611" s="338">
        <v>46241</v>
      </c>
      <c r="G611" s="339" t="s">
        <v>1520</v>
      </c>
      <c r="H611" s="339" t="s">
        <v>621</v>
      </c>
      <c r="I611" s="339" t="s">
        <v>1522</v>
      </c>
      <c r="J611" s="340">
        <v>2987.8212602333301</v>
      </c>
      <c r="K611" s="341" t="str">
        <f t="shared" si="37"/>
        <v>1º registro</v>
      </c>
      <c r="L611" s="342" t="str">
        <f t="shared" si="38"/>
        <v/>
      </c>
      <c r="M611" s="339" t="s">
        <v>1523</v>
      </c>
      <c r="N611" s="343" t="str">
        <f t="shared" si="39"/>
        <v>PIG HLR R | PIG HLR R — ALTA (170-190 KG/M³) | DN 24''|46241</v>
      </c>
    </row>
    <row r="612" spans="2:14" x14ac:dyDescent="0.3">
      <c r="B612" s="335" t="s">
        <v>622</v>
      </c>
      <c r="C612" s="336" t="s">
        <v>1520</v>
      </c>
      <c r="D612" s="337">
        <f t="shared" si="36"/>
        <v>3392.1396439333298</v>
      </c>
      <c r="F612" s="338">
        <v>46241</v>
      </c>
      <c r="G612" s="339" t="s">
        <v>1520</v>
      </c>
      <c r="H612" s="339" t="s">
        <v>622</v>
      </c>
      <c r="I612" s="339" t="s">
        <v>1522</v>
      </c>
      <c r="J612" s="340">
        <v>3392.1396439333298</v>
      </c>
      <c r="K612" s="341" t="str">
        <f t="shared" si="37"/>
        <v>1º registro</v>
      </c>
      <c r="L612" s="342" t="str">
        <f t="shared" si="38"/>
        <v/>
      </c>
      <c r="M612" s="339" t="s">
        <v>1523</v>
      </c>
      <c r="N612" s="343" t="str">
        <f t="shared" si="39"/>
        <v>PIG HLR R | PIG HLR R — ALTA (170-190 KG/M³) | DN 26''|46241</v>
      </c>
    </row>
    <row r="613" spans="2:14" x14ac:dyDescent="0.3">
      <c r="B613" s="335" t="s">
        <v>623</v>
      </c>
      <c r="C613" s="336" t="s">
        <v>1520</v>
      </c>
      <c r="D613" s="337">
        <f t="shared" si="36"/>
        <v>3813.1580279333298</v>
      </c>
      <c r="F613" s="338">
        <v>46241</v>
      </c>
      <c r="G613" s="339" t="s">
        <v>1520</v>
      </c>
      <c r="H613" s="339" t="s">
        <v>623</v>
      </c>
      <c r="I613" s="339" t="s">
        <v>1522</v>
      </c>
      <c r="J613" s="340">
        <v>3813.1580279333298</v>
      </c>
      <c r="K613" s="341" t="str">
        <f t="shared" si="37"/>
        <v>1º registro</v>
      </c>
      <c r="L613" s="342" t="str">
        <f t="shared" si="38"/>
        <v/>
      </c>
      <c r="M613" s="339" t="s">
        <v>1523</v>
      </c>
      <c r="N613" s="343" t="str">
        <f t="shared" si="39"/>
        <v>PIG HLR R | PIG HLR R — ALTA (170-190 KG/M³) | DN 28''|46241</v>
      </c>
    </row>
    <row r="614" spans="2:14" x14ac:dyDescent="0.3">
      <c r="B614" s="335" t="s">
        <v>624</v>
      </c>
      <c r="C614" s="336" t="s">
        <v>1520</v>
      </c>
      <c r="D614" s="337">
        <f t="shared" si="36"/>
        <v>4648.8765113333302</v>
      </c>
      <c r="F614" s="338">
        <v>46241</v>
      </c>
      <c r="G614" s="339" t="s">
        <v>1520</v>
      </c>
      <c r="H614" s="339" t="s">
        <v>624</v>
      </c>
      <c r="I614" s="339" t="s">
        <v>1522</v>
      </c>
      <c r="J614" s="340">
        <v>4648.8765113333302</v>
      </c>
      <c r="K614" s="341" t="str">
        <f t="shared" si="37"/>
        <v>1º registro</v>
      </c>
      <c r="L614" s="342" t="str">
        <f t="shared" si="38"/>
        <v/>
      </c>
      <c r="M614" s="339" t="s">
        <v>1523</v>
      </c>
      <c r="N614" s="343" t="str">
        <f t="shared" si="39"/>
        <v>PIG HLR R | PIG HLR R — ALTA (170-190 KG/M³) | DN 30''|46241</v>
      </c>
    </row>
    <row r="615" spans="2:14" x14ac:dyDescent="0.3">
      <c r="B615" s="335" t="s">
        <v>625</v>
      </c>
      <c r="C615" s="336" t="s">
        <v>1520</v>
      </c>
      <c r="D615" s="337">
        <f t="shared" si="36"/>
        <v>5091.5708118333296</v>
      </c>
      <c r="F615" s="338">
        <v>46241</v>
      </c>
      <c r="G615" s="339" t="s">
        <v>1520</v>
      </c>
      <c r="H615" s="339" t="s">
        <v>625</v>
      </c>
      <c r="I615" s="339" t="s">
        <v>1522</v>
      </c>
      <c r="J615" s="340">
        <v>5091.5708118333296</v>
      </c>
      <c r="K615" s="341" t="str">
        <f t="shared" si="37"/>
        <v>1º registro</v>
      </c>
      <c r="L615" s="342" t="str">
        <f t="shared" si="38"/>
        <v/>
      </c>
      <c r="M615" s="339" t="s">
        <v>1523</v>
      </c>
      <c r="N615" s="343" t="str">
        <f t="shared" si="39"/>
        <v>PIG HLR R | PIG HLR R — ALTA (170-190 KG/M³) | DN 32''|46241</v>
      </c>
    </row>
    <row r="616" spans="2:14" x14ac:dyDescent="0.3">
      <c r="B616" s="335" t="s">
        <v>626</v>
      </c>
      <c r="C616" s="336" t="s">
        <v>1520</v>
      </c>
      <c r="D616" s="337">
        <f t="shared" si="36"/>
        <v>5973.5292793333301</v>
      </c>
      <c r="F616" s="338">
        <v>46241</v>
      </c>
      <c r="G616" s="339" t="s">
        <v>1520</v>
      </c>
      <c r="H616" s="339" t="s">
        <v>626</v>
      </c>
      <c r="I616" s="339" t="s">
        <v>1522</v>
      </c>
      <c r="J616" s="340">
        <v>5973.5292793333301</v>
      </c>
      <c r="K616" s="341" t="str">
        <f t="shared" si="37"/>
        <v>1º registro</v>
      </c>
      <c r="L616" s="342" t="str">
        <f t="shared" si="38"/>
        <v/>
      </c>
      <c r="M616" s="339" t="s">
        <v>1523</v>
      </c>
      <c r="N616" s="343" t="str">
        <f t="shared" si="39"/>
        <v>PIG HLR R | PIG HLR R — ALTA (170-190 KG/M³) | DN 34''|46241</v>
      </c>
    </row>
    <row r="617" spans="2:14" x14ac:dyDescent="0.3">
      <c r="B617" s="335" t="s">
        <v>627</v>
      </c>
      <c r="C617" s="336" t="s">
        <v>1520</v>
      </c>
      <c r="D617" s="337">
        <f t="shared" si="36"/>
        <v>6738.1549578333297</v>
      </c>
      <c r="F617" s="338">
        <v>46241</v>
      </c>
      <c r="G617" s="339" t="s">
        <v>1520</v>
      </c>
      <c r="H617" s="339" t="s">
        <v>627</v>
      </c>
      <c r="I617" s="339" t="s">
        <v>1522</v>
      </c>
      <c r="J617" s="340">
        <v>6738.1549578333297</v>
      </c>
      <c r="K617" s="341" t="str">
        <f t="shared" si="37"/>
        <v>1º registro</v>
      </c>
      <c r="L617" s="342" t="str">
        <f t="shared" si="38"/>
        <v/>
      </c>
      <c r="M617" s="339" t="s">
        <v>1523</v>
      </c>
      <c r="N617" s="343" t="str">
        <f t="shared" si="39"/>
        <v>PIG HLR R | PIG HLR R — ALTA (170-190 KG/M³) | DN 36''|46241</v>
      </c>
    </row>
    <row r="618" spans="2:14" x14ac:dyDescent="0.3">
      <c r="B618" s="335" t="s">
        <v>628</v>
      </c>
      <c r="C618" s="336" t="s">
        <v>1520</v>
      </c>
      <c r="D618" s="337">
        <f t="shared" si="36"/>
        <v>7705.4050828333302</v>
      </c>
      <c r="F618" s="338">
        <v>46241</v>
      </c>
      <c r="G618" s="339" t="s">
        <v>1520</v>
      </c>
      <c r="H618" s="339" t="s">
        <v>628</v>
      </c>
      <c r="I618" s="339" t="s">
        <v>1522</v>
      </c>
      <c r="J618" s="340">
        <v>7705.4050828333302</v>
      </c>
      <c r="K618" s="341" t="str">
        <f t="shared" si="37"/>
        <v>1º registro</v>
      </c>
      <c r="L618" s="342" t="str">
        <f t="shared" si="38"/>
        <v/>
      </c>
      <c r="M618" s="339" t="s">
        <v>1523</v>
      </c>
      <c r="N618" s="343" t="str">
        <f t="shared" si="39"/>
        <v>PIG HLR R | PIG HLR R — ALTA (170-190 KG/M³) | DN 38''|46241</v>
      </c>
    </row>
    <row r="619" spans="2:14" x14ac:dyDescent="0.3">
      <c r="B619" s="335" t="s">
        <v>629</v>
      </c>
      <c r="C619" s="336" t="s">
        <v>1520</v>
      </c>
      <c r="D619" s="337">
        <f t="shared" si="36"/>
        <v>8196.7557276666594</v>
      </c>
      <c r="F619" s="338">
        <v>46241</v>
      </c>
      <c r="G619" s="339" t="s">
        <v>1520</v>
      </c>
      <c r="H619" s="339" t="s">
        <v>629</v>
      </c>
      <c r="I619" s="339" t="s">
        <v>1522</v>
      </c>
      <c r="J619" s="340">
        <v>8196.7557276666594</v>
      </c>
      <c r="K619" s="341" t="str">
        <f t="shared" si="37"/>
        <v>1º registro</v>
      </c>
      <c r="L619" s="342" t="str">
        <f t="shared" si="38"/>
        <v/>
      </c>
      <c r="M619" s="339" t="s">
        <v>1523</v>
      </c>
      <c r="N619" s="343" t="str">
        <f t="shared" si="39"/>
        <v>PIG HLR R | PIG HLR R — ALTA (170-190 KG/M³) | DN 40''|46241</v>
      </c>
    </row>
    <row r="620" spans="2:14" x14ac:dyDescent="0.3">
      <c r="B620" s="335" t="s">
        <v>630</v>
      </c>
      <c r="C620" s="336" t="s">
        <v>1520</v>
      </c>
      <c r="D620" s="337">
        <f t="shared" si="36"/>
        <v>8991.7768939666694</v>
      </c>
      <c r="F620" s="338">
        <v>46241</v>
      </c>
      <c r="G620" s="339" t="s">
        <v>1520</v>
      </c>
      <c r="H620" s="339" t="s">
        <v>630</v>
      </c>
      <c r="I620" s="339" t="s">
        <v>1522</v>
      </c>
      <c r="J620" s="340">
        <v>8991.7768939666694</v>
      </c>
      <c r="K620" s="341" t="str">
        <f t="shared" si="37"/>
        <v>1º registro</v>
      </c>
      <c r="L620" s="342" t="str">
        <f t="shared" si="38"/>
        <v/>
      </c>
      <c r="M620" s="339" t="s">
        <v>1523</v>
      </c>
      <c r="N620" s="343" t="str">
        <f t="shared" si="39"/>
        <v>PIG HLR R | PIG HLR R — ALTA (170-190 KG/M³) | DN 42''|46241</v>
      </c>
    </row>
    <row r="621" spans="2:14" x14ac:dyDescent="0.3">
      <c r="B621" s="335" t="s">
        <v>631</v>
      </c>
      <c r="C621" s="336" t="s">
        <v>1520</v>
      </c>
      <c r="D621" s="337">
        <f t="shared" si="36"/>
        <v>10411.6382576667</v>
      </c>
      <c r="F621" s="338">
        <v>46241</v>
      </c>
      <c r="G621" s="339" t="s">
        <v>1520</v>
      </c>
      <c r="H621" s="339" t="s">
        <v>631</v>
      </c>
      <c r="I621" s="339" t="s">
        <v>1522</v>
      </c>
      <c r="J621" s="340">
        <v>10411.6382576667</v>
      </c>
      <c r="K621" s="341" t="str">
        <f t="shared" si="37"/>
        <v>1º registro</v>
      </c>
      <c r="L621" s="342" t="str">
        <f t="shared" si="38"/>
        <v/>
      </c>
      <c r="M621" s="339" t="s">
        <v>1523</v>
      </c>
      <c r="N621" s="343" t="str">
        <f t="shared" si="39"/>
        <v>PIG HLR R | PIG HLR R — ALTA (170-190 KG/M³) | DN 44''|46241</v>
      </c>
    </row>
    <row r="622" spans="2:14" x14ac:dyDescent="0.3">
      <c r="B622" s="335" t="s">
        <v>632</v>
      </c>
      <c r="C622" s="336" t="s">
        <v>1520</v>
      </c>
      <c r="D622" s="337">
        <f t="shared" si="36"/>
        <v>37.075100433333297</v>
      </c>
      <c r="F622" s="338">
        <v>46241</v>
      </c>
      <c r="G622" s="339" t="s">
        <v>1520</v>
      </c>
      <c r="H622" s="339" t="s">
        <v>632</v>
      </c>
      <c r="I622" s="339" t="s">
        <v>1522</v>
      </c>
      <c r="J622" s="340">
        <v>37.075100433333297</v>
      </c>
      <c r="K622" s="341" t="str">
        <f t="shared" si="37"/>
        <v>1º registro</v>
      </c>
      <c r="L622" s="342" t="str">
        <f t="shared" si="38"/>
        <v/>
      </c>
      <c r="M622" s="339" t="s">
        <v>1523</v>
      </c>
      <c r="N622" s="343" t="str">
        <f t="shared" si="39"/>
        <v>PIG HLR V | PIG HLR V — MÉDIA (140-160 KG/M³) | DN 2''|46241</v>
      </c>
    </row>
    <row r="623" spans="2:14" x14ac:dyDescent="0.3">
      <c r="B623" s="335" t="s">
        <v>635</v>
      </c>
      <c r="C623" s="336" t="s">
        <v>1520</v>
      </c>
      <c r="D623" s="337">
        <f t="shared" si="36"/>
        <v>41.247335333333297</v>
      </c>
      <c r="F623" s="338">
        <v>46241</v>
      </c>
      <c r="G623" s="339" t="s">
        <v>1520</v>
      </c>
      <c r="H623" s="339" t="s">
        <v>635</v>
      </c>
      <c r="I623" s="339" t="s">
        <v>1522</v>
      </c>
      <c r="J623" s="340">
        <v>41.247335333333297</v>
      </c>
      <c r="K623" s="341" t="str">
        <f t="shared" si="37"/>
        <v>1º registro</v>
      </c>
      <c r="L623" s="342" t="str">
        <f t="shared" si="38"/>
        <v/>
      </c>
      <c r="M623" s="339" t="s">
        <v>1523</v>
      </c>
      <c r="N623" s="343" t="str">
        <f t="shared" si="39"/>
        <v>PIG HLR V | PIG HLR V — MÉDIA (140-160 KG/M³) | DN 3''|46241</v>
      </c>
    </row>
    <row r="624" spans="2:14" x14ac:dyDescent="0.3">
      <c r="B624" s="335" t="s">
        <v>636</v>
      </c>
      <c r="C624" s="336" t="s">
        <v>1520</v>
      </c>
      <c r="D624" s="337">
        <f t="shared" si="36"/>
        <v>79.459096566666702</v>
      </c>
      <c r="F624" s="338">
        <v>46241</v>
      </c>
      <c r="G624" s="339" t="s">
        <v>1520</v>
      </c>
      <c r="H624" s="339" t="s">
        <v>636</v>
      </c>
      <c r="I624" s="339" t="s">
        <v>1522</v>
      </c>
      <c r="J624" s="340">
        <v>79.459096566666702</v>
      </c>
      <c r="K624" s="341" t="str">
        <f t="shared" si="37"/>
        <v>1º registro</v>
      </c>
      <c r="L624" s="342" t="str">
        <f t="shared" si="38"/>
        <v/>
      </c>
      <c r="M624" s="339" t="s">
        <v>1523</v>
      </c>
      <c r="N624" s="343" t="str">
        <f t="shared" si="39"/>
        <v>PIG HLR V | PIG HLR V — MÉDIA (140-160 KG/M³) | DN 4''|46241</v>
      </c>
    </row>
    <row r="625" spans="2:14" x14ac:dyDescent="0.3">
      <c r="B625" s="335" t="s">
        <v>637</v>
      </c>
      <c r="C625" s="336" t="s">
        <v>1520</v>
      </c>
      <c r="D625" s="337">
        <f t="shared" si="36"/>
        <v>87.387453611111098</v>
      </c>
      <c r="F625" s="338">
        <v>46241</v>
      </c>
      <c r="G625" s="339" t="s">
        <v>1520</v>
      </c>
      <c r="H625" s="339" t="s">
        <v>637</v>
      </c>
      <c r="I625" s="339" t="s">
        <v>1522</v>
      </c>
      <c r="J625" s="340">
        <v>87.387453611111098</v>
      </c>
      <c r="K625" s="341" t="str">
        <f t="shared" si="37"/>
        <v>1º registro</v>
      </c>
      <c r="L625" s="342" t="str">
        <f t="shared" si="38"/>
        <v/>
      </c>
      <c r="M625" s="339" t="s">
        <v>1523</v>
      </c>
      <c r="N625" s="343" t="str">
        <f t="shared" si="39"/>
        <v>PIG HLR V | PIG HLR V — MÉDIA (140-160 KG/M³) | DN 6''|46241</v>
      </c>
    </row>
    <row r="626" spans="2:14" x14ac:dyDescent="0.3">
      <c r="B626" s="335" t="s">
        <v>638</v>
      </c>
      <c r="C626" s="336" t="s">
        <v>1520</v>
      </c>
      <c r="D626" s="337">
        <f t="shared" si="36"/>
        <v>110.219736011111</v>
      </c>
      <c r="F626" s="338">
        <v>46241</v>
      </c>
      <c r="G626" s="339" t="s">
        <v>1520</v>
      </c>
      <c r="H626" s="339" t="s">
        <v>638</v>
      </c>
      <c r="I626" s="339" t="s">
        <v>1522</v>
      </c>
      <c r="J626" s="340">
        <v>110.219736011111</v>
      </c>
      <c r="K626" s="341" t="str">
        <f t="shared" si="37"/>
        <v>1º registro</v>
      </c>
      <c r="L626" s="342" t="str">
        <f t="shared" si="38"/>
        <v/>
      </c>
      <c r="M626" s="339" t="s">
        <v>1523</v>
      </c>
      <c r="N626" s="343" t="str">
        <f t="shared" si="39"/>
        <v>PIG HLR V | PIG HLR V — MÉDIA (140-160 KG/M³) | DN 7''|46241</v>
      </c>
    </row>
    <row r="627" spans="2:14" x14ac:dyDescent="0.3">
      <c r="B627" s="335" t="s">
        <v>639</v>
      </c>
      <c r="C627" s="336" t="s">
        <v>1520</v>
      </c>
      <c r="D627" s="337">
        <f t="shared" si="36"/>
        <v>141.8346774</v>
      </c>
      <c r="F627" s="338">
        <v>46241</v>
      </c>
      <c r="G627" s="339" t="s">
        <v>1520</v>
      </c>
      <c r="H627" s="339" t="s">
        <v>639</v>
      </c>
      <c r="I627" s="339" t="s">
        <v>1522</v>
      </c>
      <c r="J627" s="340">
        <v>141.8346774</v>
      </c>
      <c r="K627" s="341" t="str">
        <f t="shared" si="37"/>
        <v>1º registro</v>
      </c>
      <c r="L627" s="342" t="str">
        <f t="shared" si="38"/>
        <v/>
      </c>
      <c r="M627" s="339" t="s">
        <v>1523</v>
      </c>
      <c r="N627" s="343" t="str">
        <f t="shared" si="39"/>
        <v>PIG HLR V | PIG HLR V — MÉDIA (140-160 KG/M³) | DN 8''|46241</v>
      </c>
    </row>
    <row r="628" spans="2:14" x14ac:dyDescent="0.3">
      <c r="B628" s="335" t="s">
        <v>640</v>
      </c>
      <c r="C628" s="336" t="s">
        <v>1520</v>
      </c>
      <c r="D628" s="337">
        <f t="shared" si="36"/>
        <v>205.042432166667</v>
      </c>
      <c r="F628" s="338">
        <v>46241</v>
      </c>
      <c r="G628" s="339" t="s">
        <v>1520</v>
      </c>
      <c r="H628" s="339" t="s">
        <v>640</v>
      </c>
      <c r="I628" s="339" t="s">
        <v>1522</v>
      </c>
      <c r="J628" s="340">
        <v>205.042432166667</v>
      </c>
      <c r="K628" s="341" t="str">
        <f t="shared" si="37"/>
        <v>1º registro</v>
      </c>
      <c r="L628" s="342" t="str">
        <f t="shared" si="38"/>
        <v/>
      </c>
      <c r="M628" s="339" t="s">
        <v>1523</v>
      </c>
      <c r="N628" s="343" t="str">
        <f t="shared" si="39"/>
        <v>PIG HLR V | PIG HLR V — MÉDIA (140-160 KG/M³) | DN 10''|46241</v>
      </c>
    </row>
    <row r="629" spans="2:14" x14ac:dyDescent="0.3">
      <c r="B629" s="335" t="s">
        <v>641</v>
      </c>
      <c r="C629" s="336" t="s">
        <v>1520</v>
      </c>
      <c r="D629" s="337">
        <f t="shared" si="36"/>
        <v>282.46133106666701</v>
      </c>
      <c r="F629" s="338">
        <v>46241</v>
      </c>
      <c r="G629" s="339" t="s">
        <v>1520</v>
      </c>
      <c r="H629" s="339" t="s">
        <v>641</v>
      </c>
      <c r="I629" s="339" t="s">
        <v>1522</v>
      </c>
      <c r="J629" s="340">
        <v>282.46133106666701</v>
      </c>
      <c r="K629" s="341" t="str">
        <f t="shared" si="37"/>
        <v>1º registro</v>
      </c>
      <c r="L629" s="342" t="str">
        <f t="shared" si="38"/>
        <v/>
      </c>
      <c r="M629" s="339" t="s">
        <v>1523</v>
      </c>
      <c r="N629" s="343" t="str">
        <f t="shared" si="39"/>
        <v>PIG HLR V | PIG HLR V — MÉDIA (140-160 KG/M³) | DN 12''|46241</v>
      </c>
    </row>
    <row r="630" spans="2:14" x14ac:dyDescent="0.3">
      <c r="B630" s="335" t="s">
        <v>642</v>
      </c>
      <c r="C630" s="336" t="s">
        <v>1520</v>
      </c>
      <c r="D630" s="337">
        <f t="shared" si="36"/>
        <v>431.20963013333301</v>
      </c>
      <c r="F630" s="338">
        <v>46241</v>
      </c>
      <c r="G630" s="339" t="s">
        <v>1520</v>
      </c>
      <c r="H630" s="339" t="s">
        <v>642</v>
      </c>
      <c r="I630" s="339" t="s">
        <v>1522</v>
      </c>
      <c r="J630" s="340">
        <v>431.20963013333301</v>
      </c>
      <c r="K630" s="341" t="str">
        <f t="shared" si="37"/>
        <v>1º registro</v>
      </c>
      <c r="L630" s="342" t="str">
        <f t="shared" si="38"/>
        <v/>
      </c>
      <c r="M630" s="339" t="s">
        <v>1523</v>
      </c>
      <c r="N630" s="343" t="str">
        <f t="shared" si="39"/>
        <v>PIG HLR V | PIG HLR V — MÉDIA (140-160 KG/M³) | DN 14''|46241</v>
      </c>
    </row>
    <row r="631" spans="2:14" x14ac:dyDescent="0.3">
      <c r="B631" s="335" t="s">
        <v>643</v>
      </c>
      <c r="C631" s="336" t="s">
        <v>1520</v>
      </c>
      <c r="D631" s="337">
        <f t="shared" si="36"/>
        <v>537.26613369999995</v>
      </c>
      <c r="F631" s="338">
        <v>46241</v>
      </c>
      <c r="G631" s="339" t="s">
        <v>1520</v>
      </c>
      <c r="H631" s="339" t="s">
        <v>643</v>
      </c>
      <c r="I631" s="339" t="s">
        <v>1522</v>
      </c>
      <c r="J631" s="340">
        <v>537.26613369999995</v>
      </c>
      <c r="K631" s="341" t="str">
        <f t="shared" si="37"/>
        <v>1º registro</v>
      </c>
      <c r="L631" s="342" t="str">
        <f t="shared" si="38"/>
        <v/>
      </c>
      <c r="M631" s="339" t="s">
        <v>1523</v>
      </c>
      <c r="N631" s="343" t="str">
        <f t="shared" si="39"/>
        <v>PIG HLR V | PIG HLR V — MÉDIA (140-160 KG/M³) | DN 16''|46241</v>
      </c>
    </row>
    <row r="632" spans="2:14" x14ac:dyDescent="0.3">
      <c r="B632" s="335" t="s">
        <v>644</v>
      </c>
      <c r="C632" s="336" t="s">
        <v>1520</v>
      </c>
      <c r="D632" s="337">
        <f t="shared" si="36"/>
        <v>752.28483979999999</v>
      </c>
      <c r="F632" s="338">
        <v>46241</v>
      </c>
      <c r="G632" s="339" t="s">
        <v>1520</v>
      </c>
      <c r="H632" s="339" t="s">
        <v>644</v>
      </c>
      <c r="I632" s="339" t="s">
        <v>1522</v>
      </c>
      <c r="J632" s="340">
        <v>752.28483979999999</v>
      </c>
      <c r="K632" s="341" t="str">
        <f t="shared" si="37"/>
        <v>1º registro</v>
      </c>
      <c r="L632" s="342" t="str">
        <f t="shared" si="38"/>
        <v/>
      </c>
      <c r="M632" s="339" t="s">
        <v>1523</v>
      </c>
      <c r="N632" s="343" t="str">
        <f t="shared" si="39"/>
        <v>PIG HLR V | PIG HLR V — MÉDIA (140-160 KG/M³) | DN 18''|46241</v>
      </c>
    </row>
    <row r="633" spans="2:14" x14ac:dyDescent="0.3">
      <c r="B633" s="335" t="s">
        <v>645</v>
      </c>
      <c r="C633" s="336" t="s">
        <v>1520</v>
      </c>
      <c r="D633" s="337">
        <f t="shared" si="36"/>
        <v>967.46510633333298</v>
      </c>
      <c r="F633" s="338">
        <v>46241</v>
      </c>
      <c r="G633" s="339" t="s">
        <v>1520</v>
      </c>
      <c r="H633" s="339" t="s">
        <v>645</v>
      </c>
      <c r="I633" s="339" t="s">
        <v>1522</v>
      </c>
      <c r="J633" s="340">
        <v>967.46510633333298</v>
      </c>
      <c r="K633" s="341" t="str">
        <f t="shared" si="37"/>
        <v>1º registro</v>
      </c>
      <c r="L633" s="342" t="str">
        <f t="shared" si="38"/>
        <v/>
      </c>
      <c r="M633" s="339" t="s">
        <v>1523</v>
      </c>
      <c r="N633" s="343" t="str">
        <f t="shared" si="39"/>
        <v>PIG HLR V | PIG HLR V — MÉDIA (140-160 KG/M³) | DN 20''|46241</v>
      </c>
    </row>
    <row r="634" spans="2:14" x14ac:dyDescent="0.3">
      <c r="B634" s="335" t="s">
        <v>646</v>
      </c>
      <c r="C634" s="336" t="s">
        <v>1520</v>
      </c>
      <c r="D634" s="337">
        <f t="shared" si="36"/>
        <v>1247.00662303333</v>
      </c>
      <c r="F634" s="338">
        <v>46241</v>
      </c>
      <c r="G634" s="339" t="s">
        <v>1520</v>
      </c>
      <c r="H634" s="339" t="s">
        <v>646</v>
      </c>
      <c r="I634" s="339" t="s">
        <v>1522</v>
      </c>
      <c r="J634" s="340">
        <v>1247.00662303333</v>
      </c>
      <c r="K634" s="341" t="str">
        <f t="shared" si="37"/>
        <v>1º registro</v>
      </c>
      <c r="L634" s="342" t="str">
        <f t="shared" si="38"/>
        <v/>
      </c>
      <c r="M634" s="339" t="s">
        <v>1523</v>
      </c>
      <c r="N634" s="343" t="str">
        <f t="shared" si="39"/>
        <v>PIG HLR V | PIG HLR V — MÉDIA (140-160 KG/M³) | DN 22''|46241</v>
      </c>
    </row>
    <row r="635" spans="2:14" x14ac:dyDescent="0.3">
      <c r="B635" s="335" t="s">
        <v>647</v>
      </c>
      <c r="C635" s="336" t="s">
        <v>1520</v>
      </c>
      <c r="D635" s="337">
        <f t="shared" si="36"/>
        <v>1436.5625935666701</v>
      </c>
      <c r="F635" s="338">
        <v>46241</v>
      </c>
      <c r="G635" s="339" t="s">
        <v>1520</v>
      </c>
      <c r="H635" s="339" t="s">
        <v>647</v>
      </c>
      <c r="I635" s="339" t="s">
        <v>1522</v>
      </c>
      <c r="J635" s="340">
        <v>1436.5625935666701</v>
      </c>
      <c r="K635" s="341" t="str">
        <f t="shared" si="37"/>
        <v>1º registro</v>
      </c>
      <c r="L635" s="342" t="str">
        <f t="shared" si="38"/>
        <v/>
      </c>
      <c r="M635" s="339" t="s">
        <v>1523</v>
      </c>
      <c r="N635" s="343" t="str">
        <f t="shared" si="39"/>
        <v>PIG HLR V | PIG HLR V — MÉDIA (140-160 KG/M³) | DN 24''|46241</v>
      </c>
    </row>
    <row r="636" spans="2:14" x14ac:dyDescent="0.3">
      <c r="B636" s="335" t="s">
        <v>648</v>
      </c>
      <c r="C636" s="336" t="s">
        <v>1520</v>
      </c>
      <c r="D636" s="337">
        <f t="shared" si="36"/>
        <v>1703.6369772666701</v>
      </c>
      <c r="F636" s="338">
        <v>46241</v>
      </c>
      <c r="G636" s="339" t="s">
        <v>1520</v>
      </c>
      <c r="H636" s="339" t="s">
        <v>648</v>
      </c>
      <c r="I636" s="339" t="s">
        <v>1522</v>
      </c>
      <c r="J636" s="340">
        <v>1703.6369772666701</v>
      </c>
      <c r="K636" s="341" t="str">
        <f t="shared" si="37"/>
        <v>1º registro</v>
      </c>
      <c r="L636" s="342" t="str">
        <f t="shared" si="38"/>
        <v/>
      </c>
      <c r="M636" s="339" t="s">
        <v>1523</v>
      </c>
      <c r="N636" s="343" t="str">
        <f t="shared" si="39"/>
        <v>PIG HLR V | PIG HLR V — MÉDIA (140-160 KG/M³) | DN 26''|46241</v>
      </c>
    </row>
    <row r="637" spans="2:14" x14ac:dyDescent="0.3">
      <c r="B637" s="335" t="s">
        <v>649</v>
      </c>
      <c r="C637" s="336" t="s">
        <v>1520</v>
      </c>
      <c r="D637" s="337">
        <f t="shared" si="36"/>
        <v>1964.5693612666701</v>
      </c>
      <c r="F637" s="338">
        <v>46241</v>
      </c>
      <c r="G637" s="339" t="s">
        <v>1520</v>
      </c>
      <c r="H637" s="339" t="s">
        <v>649</v>
      </c>
      <c r="I637" s="339" t="s">
        <v>1522</v>
      </c>
      <c r="J637" s="340">
        <v>1964.5693612666701</v>
      </c>
      <c r="K637" s="341" t="str">
        <f t="shared" si="37"/>
        <v>1º registro</v>
      </c>
      <c r="L637" s="342" t="str">
        <f t="shared" si="38"/>
        <v/>
      </c>
      <c r="M637" s="339" t="s">
        <v>1523</v>
      </c>
      <c r="N637" s="343" t="str">
        <f t="shared" si="39"/>
        <v>PIG HLR V | PIG HLR V — MÉDIA (140-160 KG/M³) | DN 28''|46241</v>
      </c>
    </row>
    <row r="638" spans="2:14" x14ac:dyDescent="0.3">
      <c r="B638" s="335" t="s">
        <v>650</v>
      </c>
      <c r="C638" s="336" t="s">
        <v>1520</v>
      </c>
      <c r="D638" s="337">
        <f t="shared" si="36"/>
        <v>2740.1578446666699</v>
      </c>
      <c r="F638" s="338">
        <v>46241</v>
      </c>
      <c r="G638" s="339" t="s">
        <v>1520</v>
      </c>
      <c r="H638" s="339" t="s">
        <v>650</v>
      </c>
      <c r="I638" s="339" t="s">
        <v>1522</v>
      </c>
      <c r="J638" s="340">
        <v>2740.1578446666699</v>
      </c>
      <c r="K638" s="341" t="str">
        <f t="shared" si="37"/>
        <v>1º registro</v>
      </c>
      <c r="L638" s="342" t="str">
        <f t="shared" si="38"/>
        <v/>
      </c>
      <c r="M638" s="339" t="s">
        <v>1523</v>
      </c>
      <c r="N638" s="343" t="str">
        <f t="shared" si="39"/>
        <v>PIG HLR V | PIG HLR V — MÉDIA (140-160 KG/M³) | DN 30''|46241</v>
      </c>
    </row>
    <row r="639" spans="2:14" x14ac:dyDescent="0.3">
      <c r="B639" s="335" t="s">
        <v>651</v>
      </c>
      <c r="C639" s="336" t="s">
        <v>1520</v>
      </c>
      <c r="D639" s="337">
        <f t="shared" si="36"/>
        <v>3071.3721451666702</v>
      </c>
      <c r="F639" s="338">
        <v>46241</v>
      </c>
      <c r="G639" s="339" t="s">
        <v>1520</v>
      </c>
      <c r="H639" s="339" t="s">
        <v>651</v>
      </c>
      <c r="I639" s="339" t="s">
        <v>1522</v>
      </c>
      <c r="J639" s="340">
        <v>3071.3721451666702</v>
      </c>
      <c r="K639" s="341" t="str">
        <f t="shared" si="37"/>
        <v>1º registro</v>
      </c>
      <c r="L639" s="342" t="str">
        <f t="shared" si="38"/>
        <v/>
      </c>
      <c r="M639" s="339" t="s">
        <v>1523</v>
      </c>
      <c r="N639" s="343" t="str">
        <f t="shared" si="39"/>
        <v>PIG HLR V | PIG HLR V — MÉDIA (140-160 KG/M³) | DN 32''|46241</v>
      </c>
    </row>
    <row r="640" spans="2:14" x14ac:dyDescent="0.3">
      <c r="B640" s="335" t="s">
        <v>652</v>
      </c>
      <c r="C640" s="336" t="s">
        <v>1520</v>
      </c>
      <c r="D640" s="337">
        <f t="shared" si="36"/>
        <v>3456.9926126666701</v>
      </c>
      <c r="F640" s="338">
        <v>46241</v>
      </c>
      <c r="G640" s="339" t="s">
        <v>1520</v>
      </c>
      <c r="H640" s="339" t="s">
        <v>652</v>
      </c>
      <c r="I640" s="339" t="s">
        <v>1522</v>
      </c>
      <c r="J640" s="340">
        <v>3456.9926126666701</v>
      </c>
      <c r="K640" s="341" t="str">
        <f t="shared" si="37"/>
        <v>1º registro</v>
      </c>
      <c r="L640" s="342" t="str">
        <f t="shared" si="38"/>
        <v/>
      </c>
      <c r="M640" s="339" t="s">
        <v>1523</v>
      </c>
      <c r="N640" s="343" t="str">
        <f t="shared" si="39"/>
        <v>PIG HLR V | PIG HLR V — MÉDIA (140-160 KG/M³) | DN 34''|46241</v>
      </c>
    </row>
    <row r="641" spans="2:14" x14ac:dyDescent="0.3">
      <c r="B641" s="335" t="s">
        <v>653</v>
      </c>
      <c r="C641" s="336" t="s">
        <v>1520</v>
      </c>
      <c r="D641" s="337">
        <f t="shared" si="36"/>
        <v>4044.3882911666701</v>
      </c>
      <c r="F641" s="338">
        <v>46241</v>
      </c>
      <c r="G641" s="339" t="s">
        <v>1520</v>
      </c>
      <c r="H641" s="339" t="s">
        <v>653</v>
      </c>
      <c r="I641" s="339" t="s">
        <v>1522</v>
      </c>
      <c r="J641" s="340">
        <v>4044.3882911666701</v>
      </c>
      <c r="K641" s="341" t="str">
        <f t="shared" si="37"/>
        <v>1º registro</v>
      </c>
      <c r="L641" s="342" t="str">
        <f t="shared" si="38"/>
        <v/>
      </c>
      <c r="M641" s="339" t="s">
        <v>1523</v>
      </c>
      <c r="N641" s="343" t="str">
        <f t="shared" si="39"/>
        <v>PIG HLR V | PIG HLR V — MÉDIA (140-160 KG/M³) | DN 36''|46241</v>
      </c>
    </row>
    <row r="642" spans="2:14" x14ac:dyDescent="0.3">
      <c r="B642" s="335" t="s">
        <v>654</v>
      </c>
      <c r="C642" s="336" t="s">
        <v>1520</v>
      </c>
      <c r="D642" s="337">
        <f t="shared" si="36"/>
        <v>4889.9384161666703</v>
      </c>
      <c r="F642" s="338">
        <v>46241</v>
      </c>
      <c r="G642" s="339" t="s">
        <v>1520</v>
      </c>
      <c r="H642" s="339" t="s">
        <v>654</v>
      </c>
      <c r="I642" s="339" t="s">
        <v>1522</v>
      </c>
      <c r="J642" s="340">
        <v>4889.9384161666703</v>
      </c>
      <c r="K642" s="341" t="str">
        <f t="shared" si="37"/>
        <v>1º registro</v>
      </c>
      <c r="L642" s="342" t="str">
        <f t="shared" si="38"/>
        <v/>
      </c>
      <c r="M642" s="339" t="s">
        <v>1523</v>
      </c>
      <c r="N642" s="343" t="str">
        <f t="shared" si="39"/>
        <v>PIG HLR V | PIG HLR V — MÉDIA (140-160 KG/M³) | DN 38''|46241</v>
      </c>
    </row>
    <row r="643" spans="2:14" x14ac:dyDescent="0.3">
      <c r="B643" s="335" t="s">
        <v>655</v>
      </c>
      <c r="C643" s="336" t="s">
        <v>1520</v>
      </c>
      <c r="D643" s="337">
        <f t="shared" si="36"/>
        <v>5236.0957276666704</v>
      </c>
      <c r="F643" s="338">
        <v>46241</v>
      </c>
      <c r="G643" s="339" t="s">
        <v>1520</v>
      </c>
      <c r="H643" s="339" t="s">
        <v>655</v>
      </c>
      <c r="I643" s="339" t="s">
        <v>1522</v>
      </c>
      <c r="J643" s="340">
        <v>5236.0957276666704</v>
      </c>
      <c r="K643" s="341" t="str">
        <f t="shared" si="37"/>
        <v>1º registro</v>
      </c>
      <c r="L643" s="342" t="str">
        <f t="shared" si="38"/>
        <v/>
      </c>
      <c r="M643" s="339" t="s">
        <v>1523</v>
      </c>
      <c r="N643" s="343" t="str">
        <f t="shared" si="39"/>
        <v>PIG HLR V | PIG HLR V — MÉDIA (140-160 KG/M³) | DN 40''|46241</v>
      </c>
    </row>
    <row r="644" spans="2:14" x14ac:dyDescent="0.3">
      <c r="B644" s="335" t="s">
        <v>656</v>
      </c>
      <c r="C644" s="336" t="s">
        <v>1520</v>
      </c>
      <c r="D644" s="337">
        <f t="shared" si="36"/>
        <v>5861.7768939666703</v>
      </c>
      <c r="F644" s="338">
        <v>46241</v>
      </c>
      <c r="G644" s="339" t="s">
        <v>1520</v>
      </c>
      <c r="H644" s="339" t="s">
        <v>656</v>
      </c>
      <c r="I644" s="339" t="s">
        <v>1522</v>
      </c>
      <c r="J644" s="340">
        <v>5861.7768939666703</v>
      </c>
      <c r="K644" s="341" t="str">
        <f t="shared" si="37"/>
        <v>1º registro</v>
      </c>
      <c r="L644" s="342" t="str">
        <f t="shared" si="38"/>
        <v/>
      </c>
      <c r="M644" s="339" t="s">
        <v>1523</v>
      </c>
      <c r="N644" s="343" t="str">
        <f t="shared" si="39"/>
        <v>PIG HLR V | PIG HLR V — MÉDIA (140-160 KG/M³) | DN 42''|46241</v>
      </c>
    </row>
    <row r="645" spans="2:14" x14ac:dyDescent="0.3">
      <c r="B645" s="335" t="s">
        <v>657</v>
      </c>
      <c r="C645" s="336" t="s">
        <v>1520</v>
      </c>
      <c r="D645" s="337">
        <f t="shared" si="36"/>
        <v>6820.79825766667</v>
      </c>
      <c r="F645" s="338">
        <v>46241</v>
      </c>
      <c r="G645" s="339" t="s">
        <v>1520</v>
      </c>
      <c r="H645" s="339" t="s">
        <v>657</v>
      </c>
      <c r="I645" s="339" t="s">
        <v>1522</v>
      </c>
      <c r="J645" s="340">
        <v>6820.79825766667</v>
      </c>
      <c r="K645" s="341" t="str">
        <f t="shared" si="37"/>
        <v>1º registro</v>
      </c>
      <c r="L645" s="342" t="str">
        <f t="shared" si="38"/>
        <v/>
      </c>
      <c r="M645" s="339" t="s">
        <v>1523</v>
      </c>
      <c r="N645" s="343" t="str">
        <f t="shared" si="39"/>
        <v>PIG HLR V | PIG HLR V — MÉDIA (140-160 KG/M³) | DN 44''|46241</v>
      </c>
    </row>
    <row r="646" spans="2:14" x14ac:dyDescent="0.3">
      <c r="B646" s="335" t="s">
        <v>658</v>
      </c>
      <c r="C646" s="336" t="s">
        <v>1520</v>
      </c>
      <c r="D646" s="337">
        <f t="shared" si="36"/>
        <v>37.339780433333303</v>
      </c>
      <c r="F646" s="338">
        <v>46241</v>
      </c>
      <c r="G646" s="339" t="s">
        <v>1520</v>
      </c>
      <c r="H646" s="339" t="s">
        <v>658</v>
      </c>
      <c r="I646" s="339" t="s">
        <v>1522</v>
      </c>
      <c r="J646" s="340">
        <v>37.339780433333303</v>
      </c>
      <c r="K646" s="341" t="str">
        <f t="shared" si="37"/>
        <v>1º registro</v>
      </c>
      <c r="L646" s="342" t="str">
        <f t="shared" si="38"/>
        <v/>
      </c>
      <c r="M646" s="339" t="s">
        <v>1523</v>
      </c>
      <c r="N646" s="343" t="str">
        <f t="shared" si="39"/>
        <v>PIG HLR V | PIG HLR V — ALTA (170-190 KG/M³) | DN 2''|46241</v>
      </c>
    </row>
    <row r="647" spans="2:14" x14ac:dyDescent="0.3">
      <c r="B647" s="335" t="s">
        <v>660</v>
      </c>
      <c r="C647" s="336" t="s">
        <v>1520</v>
      </c>
      <c r="D647" s="337">
        <f t="shared" si="36"/>
        <v>41.6545353333333</v>
      </c>
      <c r="F647" s="338">
        <v>46241</v>
      </c>
      <c r="G647" s="339" t="s">
        <v>1520</v>
      </c>
      <c r="H647" s="339" t="s">
        <v>660</v>
      </c>
      <c r="I647" s="339" t="s">
        <v>1522</v>
      </c>
      <c r="J647" s="340">
        <v>41.6545353333333</v>
      </c>
      <c r="K647" s="341" t="str">
        <f t="shared" si="37"/>
        <v>1º registro</v>
      </c>
      <c r="L647" s="342" t="str">
        <f t="shared" si="38"/>
        <v/>
      </c>
      <c r="M647" s="339" t="s">
        <v>1523</v>
      </c>
      <c r="N647" s="343" t="str">
        <f t="shared" si="39"/>
        <v>PIG HLR V | PIG HLR V — ALTA (170-190 KG/M³) | DN 3''|46241</v>
      </c>
    </row>
    <row r="648" spans="2:14" x14ac:dyDescent="0.3">
      <c r="B648" s="335" t="s">
        <v>661</v>
      </c>
      <c r="C648" s="336" t="s">
        <v>1520</v>
      </c>
      <c r="D648" s="337">
        <f t="shared" si="36"/>
        <v>61.043701011111096</v>
      </c>
      <c r="F648" s="338">
        <v>46241</v>
      </c>
      <c r="G648" s="339" t="s">
        <v>1520</v>
      </c>
      <c r="H648" s="339" t="s">
        <v>661</v>
      </c>
      <c r="I648" s="339" t="s">
        <v>1522</v>
      </c>
      <c r="J648" s="340">
        <v>61.043701011111096</v>
      </c>
      <c r="K648" s="341" t="str">
        <f t="shared" si="37"/>
        <v>1º registro</v>
      </c>
      <c r="L648" s="342" t="str">
        <f t="shared" si="38"/>
        <v/>
      </c>
      <c r="M648" s="339" t="s">
        <v>1523</v>
      </c>
      <c r="N648" s="343" t="str">
        <f t="shared" si="39"/>
        <v>PIG HLR V | PIG HLR V — ALTA (170-190 KG/M³) | DN 4''|46241</v>
      </c>
    </row>
    <row r="649" spans="2:14" x14ac:dyDescent="0.3">
      <c r="B649" s="335" t="s">
        <v>662</v>
      </c>
      <c r="C649" s="336" t="s">
        <v>1520</v>
      </c>
      <c r="D649" s="337">
        <f t="shared" si="36"/>
        <v>91.866653611111104</v>
      </c>
      <c r="F649" s="338">
        <v>46241</v>
      </c>
      <c r="G649" s="339" t="s">
        <v>1520</v>
      </c>
      <c r="H649" s="339" t="s">
        <v>662</v>
      </c>
      <c r="I649" s="339" t="s">
        <v>1522</v>
      </c>
      <c r="J649" s="340">
        <v>91.866653611111104</v>
      </c>
      <c r="K649" s="341" t="str">
        <f t="shared" si="37"/>
        <v>1º registro</v>
      </c>
      <c r="L649" s="342" t="str">
        <f t="shared" si="38"/>
        <v/>
      </c>
      <c r="M649" s="339" t="s">
        <v>1523</v>
      </c>
      <c r="N649" s="343" t="str">
        <f t="shared" si="39"/>
        <v>PIG HLR V | PIG HLR V — ALTA (170-190 KG/M³) | DN 6''|46241</v>
      </c>
    </row>
    <row r="650" spans="2:14" x14ac:dyDescent="0.3">
      <c r="B650" s="335" t="s">
        <v>663</v>
      </c>
      <c r="C650" s="336" t="s">
        <v>1520</v>
      </c>
      <c r="D650" s="337">
        <f t="shared" si="36"/>
        <v>116.02233601111099</v>
      </c>
      <c r="F650" s="338">
        <v>46241</v>
      </c>
      <c r="G650" s="339" t="s">
        <v>1520</v>
      </c>
      <c r="H650" s="339" t="s">
        <v>663</v>
      </c>
      <c r="I650" s="339" t="s">
        <v>1522</v>
      </c>
      <c r="J650" s="340">
        <v>116.02233601111099</v>
      </c>
      <c r="K650" s="341" t="str">
        <f t="shared" si="37"/>
        <v>1º registro</v>
      </c>
      <c r="L650" s="342" t="str">
        <f t="shared" si="38"/>
        <v/>
      </c>
      <c r="M650" s="339" t="s">
        <v>1523</v>
      </c>
      <c r="N650" s="343" t="str">
        <f t="shared" si="39"/>
        <v>PIG HLR V | PIG HLR V — ALTA (170-190 KG/M³) | DN 7''|46241</v>
      </c>
    </row>
    <row r="651" spans="2:14" x14ac:dyDescent="0.3">
      <c r="B651" s="335" t="s">
        <v>664</v>
      </c>
      <c r="C651" s="336" t="s">
        <v>1520</v>
      </c>
      <c r="D651" s="337">
        <f t="shared" si="36"/>
        <v>150.52839739999999</v>
      </c>
      <c r="F651" s="338">
        <v>46241</v>
      </c>
      <c r="G651" s="339" t="s">
        <v>1520</v>
      </c>
      <c r="H651" s="339" t="s">
        <v>664</v>
      </c>
      <c r="I651" s="339" t="s">
        <v>1522</v>
      </c>
      <c r="J651" s="340">
        <v>150.52839739999999</v>
      </c>
      <c r="K651" s="341" t="str">
        <f t="shared" si="37"/>
        <v>1º registro</v>
      </c>
      <c r="L651" s="342" t="str">
        <f t="shared" si="38"/>
        <v/>
      </c>
      <c r="M651" s="339" t="s">
        <v>1523</v>
      </c>
      <c r="N651" s="343" t="str">
        <f t="shared" si="39"/>
        <v>PIG HLR V | PIG HLR V — ALTA (170-190 KG/M³) | DN 8''|46241</v>
      </c>
    </row>
    <row r="652" spans="2:14" x14ac:dyDescent="0.3">
      <c r="B652" s="335" t="s">
        <v>665</v>
      </c>
      <c r="C652" s="336" t="s">
        <v>1520</v>
      </c>
      <c r="D652" s="337">
        <f t="shared" si="36"/>
        <v>221.49331216666701</v>
      </c>
      <c r="F652" s="338">
        <v>46241</v>
      </c>
      <c r="G652" s="339" t="s">
        <v>1520</v>
      </c>
      <c r="H652" s="339" t="s">
        <v>665</v>
      </c>
      <c r="I652" s="339" t="s">
        <v>1522</v>
      </c>
      <c r="J652" s="340">
        <v>221.49331216666701</v>
      </c>
      <c r="K652" s="341" t="str">
        <f t="shared" si="37"/>
        <v>1º registro</v>
      </c>
      <c r="L652" s="342" t="str">
        <f t="shared" si="38"/>
        <v/>
      </c>
      <c r="M652" s="339" t="s">
        <v>1523</v>
      </c>
      <c r="N652" s="343" t="str">
        <f t="shared" si="39"/>
        <v>PIG HLR V | PIG HLR V — ALTA (170-190 KG/M³) | DN 10''|46241</v>
      </c>
    </row>
    <row r="653" spans="2:14" x14ac:dyDescent="0.3">
      <c r="B653" s="335" t="s">
        <v>666</v>
      </c>
      <c r="C653" s="336" t="s">
        <v>1520</v>
      </c>
      <c r="D653" s="337">
        <f t="shared" si="36"/>
        <v>309.54013106666702</v>
      </c>
      <c r="F653" s="338">
        <v>46241</v>
      </c>
      <c r="G653" s="339" t="s">
        <v>1520</v>
      </c>
      <c r="H653" s="339" t="s">
        <v>666</v>
      </c>
      <c r="I653" s="339" t="s">
        <v>1522</v>
      </c>
      <c r="J653" s="340">
        <v>309.54013106666702</v>
      </c>
      <c r="K653" s="341" t="str">
        <f t="shared" si="37"/>
        <v>1º registro</v>
      </c>
      <c r="L653" s="342" t="str">
        <f t="shared" si="38"/>
        <v/>
      </c>
      <c r="M653" s="339" t="s">
        <v>1523</v>
      </c>
      <c r="N653" s="343" t="str">
        <f t="shared" si="39"/>
        <v>PIG HLR V | PIG HLR V — ALTA (170-190 KG/M³) | DN 12''|46241</v>
      </c>
    </row>
    <row r="654" spans="2:14" x14ac:dyDescent="0.3">
      <c r="B654" s="335" t="s">
        <v>667</v>
      </c>
      <c r="C654" s="336" t="s">
        <v>1520</v>
      </c>
      <c r="D654" s="337">
        <f t="shared" si="36"/>
        <v>469.38463013333302</v>
      </c>
      <c r="F654" s="338">
        <v>46241</v>
      </c>
      <c r="G654" s="339" t="s">
        <v>1520</v>
      </c>
      <c r="H654" s="339" t="s">
        <v>667</v>
      </c>
      <c r="I654" s="339" t="s">
        <v>1522</v>
      </c>
      <c r="J654" s="340">
        <v>469.38463013333302</v>
      </c>
      <c r="K654" s="341" t="str">
        <f t="shared" si="37"/>
        <v>1º registro</v>
      </c>
      <c r="L654" s="342" t="str">
        <f t="shared" si="38"/>
        <v/>
      </c>
      <c r="M654" s="339" t="s">
        <v>1523</v>
      </c>
      <c r="N654" s="343" t="str">
        <f t="shared" si="39"/>
        <v>PIG HLR V | PIG HLR V — ALTA (170-190 KG/M³) | DN 14''|46241</v>
      </c>
    </row>
    <row r="655" spans="2:14" x14ac:dyDescent="0.3">
      <c r="B655" s="335" t="s">
        <v>668</v>
      </c>
      <c r="C655" s="336" t="s">
        <v>1520</v>
      </c>
      <c r="D655" s="337">
        <f t="shared" si="36"/>
        <v>589.18413369999996</v>
      </c>
      <c r="F655" s="338">
        <v>46241</v>
      </c>
      <c r="G655" s="339" t="s">
        <v>1520</v>
      </c>
      <c r="H655" s="339" t="s">
        <v>668</v>
      </c>
      <c r="I655" s="339" t="s">
        <v>1522</v>
      </c>
      <c r="J655" s="340">
        <v>589.18413369999996</v>
      </c>
      <c r="K655" s="341" t="str">
        <f t="shared" si="37"/>
        <v>1º registro</v>
      </c>
      <c r="L655" s="342" t="str">
        <f t="shared" si="38"/>
        <v/>
      </c>
      <c r="M655" s="339" t="s">
        <v>1523</v>
      </c>
      <c r="N655" s="343" t="str">
        <f t="shared" si="39"/>
        <v>PIG HLR V | PIG HLR V — ALTA (170-190 KG/M³) | DN 16''|46241</v>
      </c>
    </row>
    <row r="656" spans="2:14" x14ac:dyDescent="0.3">
      <c r="B656" s="335" t="s">
        <v>669</v>
      </c>
      <c r="C656" s="336" t="s">
        <v>1520</v>
      </c>
      <c r="D656" s="337">
        <f t="shared" si="36"/>
        <v>854.32915979999996</v>
      </c>
      <c r="F656" s="338">
        <v>46241</v>
      </c>
      <c r="G656" s="339" t="s">
        <v>1520</v>
      </c>
      <c r="H656" s="339" t="s">
        <v>669</v>
      </c>
      <c r="I656" s="339" t="s">
        <v>1522</v>
      </c>
      <c r="J656" s="340">
        <v>854.32915979999996</v>
      </c>
      <c r="K656" s="341" t="str">
        <f t="shared" si="37"/>
        <v>1º registro</v>
      </c>
      <c r="L656" s="342" t="str">
        <f t="shared" si="38"/>
        <v/>
      </c>
      <c r="M656" s="339" t="s">
        <v>1523</v>
      </c>
      <c r="N656" s="343" t="str">
        <f t="shared" si="39"/>
        <v>PIG HLR V | PIG HLR V — ALTA (170-190 KG/M³) | DN 18''|46241</v>
      </c>
    </row>
    <row r="657" spans="2:14" x14ac:dyDescent="0.3">
      <c r="B657" s="335" t="s">
        <v>670</v>
      </c>
      <c r="C657" s="336" t="s">
        <v>1520</v>
      </c>
      <c r="D657" s="337">
        <f t="shared" si="36"/>
        <v>1081.48110633333</v>
      </c>
      <c r="F657" s="338">
        <v>46241</v>
      </c>
      <c r="G657" s="339" t="s">
        <v>1520</v>
      </c>
      <c r="H657" s="339" t="s">
        <v>670</v>
      </c>
      <c r="I657" s="339" t="s">
        <v>1522</v>
      </c>
      <c r="J657" s="340">
        <v>1081.48110633333</v>
      </c>
      <c r="K657" s="341" t="str">
        <f t="shared" si="37"/>
        <v>1º registro</v>
      </c>
      <c r="L657" s="342" t="str">
        <f t="shared" si="38"/>
        <v/>
      </c>
      <c r="M657" s="339" t="s">
        <v>1523</v>
      </c>
      <c r="N657" s="343" t="str">
        <f t="shared" si="39"/>
        <v>PIG HLR V | PIG HLR V — ALTA (170-190 KG/M³) | DN 20''|46241</v>
      </c>
    </row>
    <row r="658" spans="2:14" x14ac:dyDescent="0.3">
      <c r="B658" s="335" t="s">
        <v>671</v>
      </c>
      <c r="C658" s="336" t="s">
        <v>1520</v>
      </c>
      <c r="D658" s="337">
        <f t="shared" si="36"/>
        <v>1399.7066230333301</v>
      </c>
      <c r="F658" s="338">
        <v>46241</v>
      </c>
      <c r="G658" s="339" t="s">
        <v>1520</v>
      </c>
      <c r="H658" s="339" t="s">
        <v>671</v>
      </c>
      <c r="I658" s="339" t="s">
        <v>1522</v>
      </c>
      <c r="J658" s="340">
        <v>1399.7066230333301</v>
      </c>
      <c r="K658" s="341" t="str">
        <f t="shared" si="37"/>
        <v>1º registro</v>
      </c>
      <c r="L658" s="342" t="str">
        <f t="shared" si="38"/>
        <v/>
      </c>
      <c r="M658" s="339" t="s">
        <v>1523</v>
      </c>
      <c r="N658" s="343" t="str">
        <f t="shared" si="39"/>
        <v>PIG HLR V | PIG HLR V — ALTA (170-190 KG/M³) | DN 22''|46241</v>
      </c>
    </row>
    <row r="659" spans="2:14" x14ac:dyDescent="0.3">
      <c r="B659" s="335" t="s">
        <v>672</v>
      </c>
      <c r="C659" s="336" t="s">
        <v>1520</v>
      </c>
      <c r="D659" s="337">
        <f t="shared" si="36"/>
        <v>1654.41459356667</v>
      </c>
      <c r="F659" s="338">
        <v>46241</v>
      </c>
      <c r="G659" s="339" t="s">
        <v>1520</v>
      </c>
      <c r="H659" s="339" t="s">
        <v>672</v>
      </c>
      <c r="I659" s="339" t="s">
        <v>1522</v>
      </c>
      <c r="J659" s="340">
        <v>1654.41459356667</v>
      </c>
      <c r="K659" s="341" t="str">
        <f t="shared" si="37"/>
        <v>1º registro</v>
      </c>
      <c r="L659" s="342" t="str">
        <f t="shared" si="38"/>
        <v/>
      </c>
      <c r="M659" s="339" t="s">
        <v>1523</v>
      </c>
      <c r="N659" s="343" t="str">
        <f t="shared" si="39"/>
        <v>PIG HLR V | PIG HLR V — ALTA (170-190 KG/M³) | DN 24''|46241</v>
      </c>
    </row>
    <row r="660" spans="2:14" x14ac:dyDescent="0.3">
      <c r="B660" s="335" t="s">
        <v>673</v>
      </c>
      <c r="C660" s="336" t="s">
        <v>1520</v>
      </c>
      <c r="D660" s="337">
        <f t="shared" si="36"/>
        <v>2051.7929772666698</v>
      </c>
      <c r="F660" s="338">
        <v>46241</v>
      </c>
      <c r="G660" s="339" t="s">
        <v>1520</v>
      </c>
      <c r="H660" s="339" t="s">
        <v>673</v>
      </c>
      <c r="I660" s="339" t="s">
        <v>1522</v>
      </c>
      <c r="J660" s="340">
        <v>2051.7929772666698</v>
      </c>
      <c r="K660" s="341" t="str">
        <f t="shared" si="37"/>
        <v>1º registro</v>
      </c>
      <c r="L660" s="342" t="str">
        <f t="shared" si="38"/>
        <v/>
      </c>
      <c r="M660" s="339" t="s">
        <v>1523</v>
      </c>
      <c r="N660" s="343" t="str">
        <f t="shared" si="39"/>
        <v>PIG HLR V | PIG HLR V — ALTA (170-190 KG/M³) | DN 26''|46241</v>
      </c>
    </row>
    <row r="661" spans="2:14" x14ac:dyDescent="0.3">
      <c r="B661" s="335" t="s">
        <v>674</v>
      </c>
      <c r="C661" s="336" t="s">
        <v>1520</v>
      </c>
      <c r="D661" s="337">
        <f t="shared" si="36"/>
        <v>2533.63136126667</v>
      </c>
      <c r="F661" s="338">
        <v>46241</v>
      </c>
      <c r="G661" s="339" t="s">
        <v>1520</v>
      </c>
      <c r="H661" s="339" t="s">
        <v>674</v>
      </c>
      <c r="I661" s="339" t="s">
        <v>1522</v>
      </c>
      <c r="J661" s="340">
        <v>2533.63136126667</v>
      </c>
      <c r="K661" s="341" t="str">
        <f t="shared" si="37"/>
        <v>1º registro</v>
      </c>
      <c r="L661" s="342" t="str">
        <f t="shared" si="38"/>
        <v/>
      </c>
      <c r="M661" s="339" t="s">
        <v>1523</v>
      </c>
      <c r="N661" s="343" t="str">
        <f t="shared" si="39"/>
        <v>PIG HLR V | PIG HLR V — ALTA (170-190 KG/M³) | DN 28''|46241</v>
      </c>
    </row>
    <row r="662" spans="2:14" x14ac:dyDescent="0.3">
      <c r="B662" s="335" t="s">
        <v>675</v>
      </c>
      <c r="C662" s="336" t="s">
        <v>1520</v>
      </c>
      <c r="D662" s="337">
        <f t="shared" ref="D662:D725" si="40">IF($B662="","",IFERROR(INDEX($J$21:$J$1200,MATCH($B662&amp;"|"&amp;TEXT(_xlfn.MAXIFS($F$21:$F$1200,$H$21:$H$1200,$B662,$F$21:$F$1200,"&lt;="&amp;EOMONTH(D$20,0)),"0"),$N$21:$N$1200,0)),"-"))</f>
        <v>3181.9698446666698</v>
      </c>
      <c r="F662" s="338">
        <v>46241</v>
      </c>
      <c r="G662" s="339" t="s">
        <v>1520</v>
      </c>
      <c r="H662" s="339" t="s">
        <v>675</v>
      </c>
      <c r="I662" s="339" t="s">
        <v>1522</v>
      </c>
      <c r="J662" s="340">
        <v>3181.9698446666698</v>
      </c>
      <c r="K662" s="341" t="str">
        <f t="shared" ref="K662:K725" si="41">IF($H662="","",IFERROR(INDEX($J$21:$J$1200,MATCH($H662&amp;"|"&amp;TEXT(_xlfn.MAXIFS($F$21:$F$1200,$H$21:$H$1200,$H662,$F$21:$F$1200,"&lt;"&amp;$F662),"0"),$N$21:$N$1200,0)),"1º registro"))</f>
        <v>1º registro</v>
      </c>
      <c r="L662" s="342" t="str">
        <f t="shared" ref="L662:L725" si="42">IF(OR($H662="",$K662="1º registro"),"",IFERROR(($J662-$K662)/$K662,""))</f>
        <v/>
      </c>
      <c r="M662" s="339" t="s">
        <v>1523</v>
      </c>
      <c r="N662" s="343" t="str">
        <f t="shared" ref="N662:N725" si="43">IF($H662="","",$H662&amp;"|"&amp;TEXT($F662,"0"))</f>
        <v>PIG HLR V | PIG HLR V — ALTA (170-190 KG/M³) | DN 30''|46241</v>
      </c>
    </row>
    <row r="663" spans="2:14" x14ac:dyDescent="0.3">
      <c r="B663" s="335" t="s">
        <v>676</v>
      </c>
      <c r="C663" s="336" t="s">
        <v>1520</v>
      </c>
      <c r="D663" s="337">
        <f t="shared" si="40"/>
        <v>3340.1241451666701</v>
      </c>
      <c r="F663" s="338">
        <v>46241</v>
      </c>
      <c r="G663" s="339" t="s">
        <v>1520</v>
      </c>
      <c r="H663" s="339" t="s">
        <v>676</v>
      </c>
      <c r="I663" s="339" t="s">
        <v>1522</v>
      </c>
      <c r="J663" s="340">
        <v>3340.1241451666701</v>
      </c>
      <c r="K663" s="341" t="str">
        <f t="shared" si="41"/>
        <v>1º registro</v>
      </c>
      <c r="L663" s="342" t="str">
        <f t="shared" si="42"/>
        <v/>
      </c>
      <c r="M663" s="339" t="s">
        <v>1523</v>
      </c>
      <c r="N663" s="343" t="str">
        <f t="shared" si="43"/>
        <v>PIG HLR V | PIG HLR V — ALTA (170-190 KG/M³) | DN 32''|46241</v>
      </c>
    </row>
    <row r="664" spans="2:14" x14ac:dyDescent="0.3">
      <c r="B664" s="335" t="s">
        <v>677</v>
      </c>
      <c r="C664" s="336" t="s">
        <v>1520</v>
      </c>
      <c r="D664" s="337">
        <f t="shared" si="40"/>
        <v>4154.3226126666696</v>
      </c>
      <c r="F664" s="338">
        <v>46241</v>
      </c>
      <c r="G664" s="339" t="s">
        <v>1520</v>
      </c>
      <c r="H664" s="339" t="s">
        <v>677</v>
      </c>
      <c r="I664" s="339" t="s">
        <v>1522</v>
      </c>
      <c r="J664" s="340">
        <v>4154.3226126666696</v>
      </c>
      <c r="K664" s="341" t="str">
        <f t="shared" si="41"/>
        <v>1º registro</v>
      </c>
      <c r="L664" s="342" t="str">
        <f t="shared" si="42"/>
        <v/>
      </c>
      <c r="M664" s="339" t="s">
        <v>1523</v>
      </c>
      <c r="N664" s="343" t="str">
        <f t="shared" si="43"/>
        <v>PIG HLR V | PIG HLR V — ALTA (170-190 KG/M³) | DN 34''|46241</v>
      </c>
    </row>
    <row r="665" spans="2:14" x14ac:dyDescent="0.3">
      <c r="B665" s="335" t="s">
        <v>678</v>
      </c>
      <c r="C665" s="336" t="s">
        <v>1520</v>
      </c>
      <c r="D665" s="337">
        <f t="shared" si="40"/>
        <v>4960.5882911666704</v>
      </c>
      <c r="F665" s="338">
        <v>46241</v>
      </c>
      <c r="G665" s="339" t="s">
        <v>1520</v>
      </c>
      <c r="H665" s="339" t="s">
        <v>678</v>
      </c>
      <c r="I665" s="339" t="s">
        <v>1522</v>
      </c>
      <c r="J665" s="340">
        <v>4960.5882911666704</v>
      </c>
      <c r="K665" s="341" t="str">
        <f t="shared" si="41"/>
        <v>1º registro</v>
      </c>
      <c r="L665" s="342" t="str">
        <f t="shared" si="42"/>
        <v/>
      </c>
      <c r="M665" s="339" t="s">
        <v>1523</v>
      </c>
      <c r="N665" s="343" t="str">
        <f t="shared" si="43"/>
        <v>PIG HLR V | PIG HLR V — ALTA (170-190 KG/M³) | DN 36''|46241</v>
      </c>
    </row>
    <row r="666" spans="2:14" x14ac:dyDescent="0.3">
      <c r="B666" s="335" t="s">
        <v>679</v>
      </c>
      <c r="C666" s="336" t="s">
        <v>1520</v>
      </c>
      <c r="D666" s="337">
        <f t="shared" si="40"/>
        <v>5948.6584161666697</v>
      </c>
      <c r="F666" s="338">
        <v>46241</v>
      </c>
      <c r="G666" s="339" t="s">
        <v>1520</v>
      </c>
      <c r="H666" s="339" t="s">
        <v>679</v>
      </c>
      <c r="I666" s="339" t="s">
        <v>1522</v>
      </c>
      <c r="J666" s="340">
        <v>5948.6584161666697</v>
      </c>
      <c r="K666" s="341" t="str">
        <f t="shared" si="41"/>
        <v>1º registro</v>
      </c>
      <c r="L666" s="342" t="str">
        <f t="shared" si="42"/>
        <v/>
      </c>
      <c r="M666" s="339" t="s">
        <v>1523</v>
      </c>
      <c r="N666" s="343" t="str">
        <f t="shared" si="43"/>
        <v>PIG HLR V | PIG HLR V — ALTA (170-190 KG/M³) | DN 38''|46241</v>
      </c>
    </row>
    <row r="667" spans="2:14" x14ac:dyDescent="0.3">
      <c r="B667" s="335" t="s">
        <v>680</v>
      </c>
      <c r="C667" s="336" t="s">
        <v>1520</v>
      </c>
      <c r="D667" s="337">
        <f t="shared" si="40"/>
        <v>6294.8157276666698</v>
      </c>
      <c r="F667" s="338">
        <v>46241</v>
      </c>
      <c r="G667" s="339" t="s">
        <v>1520</v>
      </c>
      <c r="H667" s="339" t="s">
        <v>680</v>
      </c>
      <c r="I667" s="339" t="s">
        <v>1522</v>
      </c>
      <c r="J667" s="340">
        <v>6294.8157276666698</v>
      </c>
      <c r="K667" s="341" t="str">
        <f t="shared" si="41"/>
        <v>1º registro</v>
      </c>
      <c r="L667" s="342" t="str">
        <f t="shared" si="42"/>
        <v/>
      </c>
      <c r="M667" s="339" t="s">
        <v>1523</v>
      </c>
      <c r="N667" s="343" t="str">
        <f t="shared" si="43"/>
        <v>PIG HLR V | PIG HLR V — ALTA (170-190 KG/M³) | DN 40''|46241</v>
      </c>
    </row>
    <row r="668" spans="2:14" x14ac:dyDescent="0.3">
      <c r="B668" s="335" t="s">
        <v>681</v>
      </c>
      <c r="C668" s="336" t="s">
        <v>1520</v>
      </c>
      <c r="D668" s="337">
        <f t="shared" si="40"/>
        <v>6951.0368939666696</v>
      </c>
      <c r="F668" s="338">
        <v>46241</v>
      </c>
      <c r="G668" s="339" t="s">
        <v>1520</v>
      </c>
      <c r="H668" s="339" t="s">
        <v>681</v>
      </c>
      <c r="I668" s="339" t="s">
        <v>1522</v>
      </c>
      <c r="J668" s="340">
        <v>6951.0368939666696</v>
      </c>
      <c r="K668" s="341" t="str">
        <f t="shared" si="41"/>
        <v>1º registro</v>
      </c>
      <c r="L668" s="342" t="str">
        <f t="shared" si="42"/>
        <v/>
      </c>
      <c r="M668" s="339" t="s">
        <v>1523</v>
      </c>
      <c r="N668" s="343" t="str">
        <f t="shared" si="43"/>
        <v>PIG HLR V | PIG HLR V — ALTA (170-190 KG/M³) | DN 42''|46241</v>
      </c>
    </row>
    <row r="669" spans="2:14" x14ac:dyDescent="0.3">
      <c r="B669" s="335" t="s">
        <v>682</v>
      </c>
      <c r="C669" s="336" t="s">
        <v>1520</v>
      </c>
      <c r="D669" s="337">
        <f t="shared" si="40"/>
        <v>8093.29825766667</v>
      </c>
      <c r="F669" s="338">
        <v>46241</v>
      </c>
      <c r="G669" s="339" t="s">
        <v>1520</v>
      </c>
      <c r="H669" s="339" t="s">
        <v>682</v>
      </c>
      <c r="I669" s="339" t="s">
        <v>1522</v>
      </c>
      <c r="J669" s="340">
        <v>8093.29825766667</v>
      </c>
      <c r="K669" s="341" t="str">
        <f t="shared" si="41"/>
        <v>1º registro</v>
      </c>
      <c r="L669" s="342" t="str">
        <f t="shared" si="42"/>
        <v/>
      </c>
      <c r="M669" s="339" t="s">
        <v>1523</v>
      </c>
      <c r="N669" s="343" t="str">
        <f t="shared" si="43"/>
        <v>PIG HLR V | PIG HLR V — ALTA (170-190 KG/M³) | DN 44''|46241</v>
      </c>
    </row>
    <row r="670" spans="2:14" x14ac:dyDescent="0.3">
      <c r="B670" s="335" t="s">
        <v>1765</v>
      </c>
      <c r="C670" s="336" t="s">
        <v>1520</v>
      </c>
      <c r="D670" s="337">
        <f t="shared" si="40"/>
        <v>43.575100433333297</v>
      </c>
      <c r="F670" s="338">
        <v>46241</v>
      </c>
      <c r="G670" s="339" t="s">
        <v>1520</v>
      </c>
      <c r="H670" s="339" t="s">
        <v>1765</v>
      </c>
      <c r="I670" s="339" t="s">
        <v>1522</v>
      </c>
      <c r="J670" s="340">
        <v>43.575100433333297</v>
      </c>
      <c r="K670" s="341" t="str">
        <f t="shared" si="41"/>
        <v>1º registro</v>
      </c>
      <c r="L670" s="342" t="str">
        <f t="shared" si="42"/>
        <v/>
      </c>
      <c r="M670" s="339" t="s">
        <v>1523</v>
      </c>
      <c r="N670" s="343" t="str">
        <f t="shared" si="43"/>
        <v>PIG HLB | PIG HLB — MÉDIA (140-160 KG/M³) | DN 2''|46241</v>
      </c>
    </row>
    <row r="671" spans="2:14" x14ac:dyDescent="0.3">
      <c r="B671" s="335" t="s">
        <v>1766</v>
      </c>
      <c r="C671" s="336" t="s">
        <v>1520</v>
      </c>
      <c r="D671" s="337">
        <f t="shared" si="40"/>
        <v>47.747335333333297</v>
      </c>
      <c r="F671" s="338">
        <v>46241</v>
      </c>
      <c r="G671" s="339" t="s">
        <v>1520</v>
      </c>
      <c r="H671" s="339" t="s">
        <v>1766</v>
      </c>
      <c r="I671" s="339" t="s">
        <v>1522</v>
      </c>
      <c r="J671" s="340">
        <v>47.747335333333297</v>
      </c>
      <c r="K671" s="341" t="str">
        <f t="shared" si="41"/>
        <v>1º registro</v>
      </c>
      <c r="L671" s="342" t="str">
        <f t="shared" si="42"/>
        <v/>
      </c>
      <c r="M671" s="339" t="s">
        <v>1523</v>
      </c>
      <c r="N671" s="343" t="str">
        <f t="shared" si="43"/>
        <v>PIG HLB | PIG HLB — MÉDIA (140-160 KG/M³) | DN 3''|46241</v>
      </c>
    </row>
    <row r="672" spans="2:14" x14ac:dyDescent="0.3">
      <c r="B672" s="335" t="s">
        <v>1767</v>
      </c>
      <c r="C672" s="336" t="s">
        <v>1520</v>
      </c>
      <c r="D672" s="337">
        <f t="shared" si="40"/>
        <v>68.570207677777802</v>
      </c>
      <c r="F672" s="338">
        <v>46241</v>
      </c>
      <c r="G672" s="339" t="s">
        <v>1520</v>
      </c>
      <c r="H672" s="339" t="s">
        <v>1767</v>
      </c>
      <c r="I672" s="339" t="s">
        <v>1522</v>
      </c>
      <c r="J672" s="340">
        <v>68.570207677777802</v>
      </c>
      <c r="K672" s="341" t="str">
        <f t="shared" si="41"/>
        <v>1º registro</v>
      </c>
      <c r="L672" s="342" t="str">
        <f t="shared" si="42"/>
        <v/>
      </c>
      <c r="M672" s="339" t="s">
        <v>1523</v>
      </c>
      <c r="N672" s="343" t="str">
        <f t="shared" si="43"/>
        <v>PIG HLB | PIG HLB — MÉDIA (140-160 KG/M³) | DN 4''|46241</v>
      </c>
    </row>
    <row r="673" spans="2:14" x14ac:dyDescent="0.3">
      <c r="B673" s="335" t="s">
        <v>1768</v>
      </c>
      <c r="C673" s="336" t="s">
        <v>1520</v>
      </c>
      <c r="D673" s="337">
        <f t="shared" si="40"/>
        <v>96.054120277777798</v>
      </c>
      <c r="F673" s="338">
        <v>46241</v>
      </c>
      <c r="G673" s="339" t="s">
        <v>1520</v>
      </c>
      <c r="H673" s="339" t="s">
        <v>1768</v>
      </c>
      <c r="I673" s="339" t="s">
        <v>1522</v>
      </c>
      <c r="J673" s="340">
        <v>96.054120277777798</v>
      </c>
      <c r="K673" s="341" t="str">
        <f t="shared" si="41"/>
        <v>1º registro</v>
      </c>
      <c r="L673" s="342" t="str">
        <f t="shared" si="42"/>
        <v/>
      </c>
      <c r="M673" s="339" t="s">
        <v>1523</v>
      </c>
      <c r="N673" s="343" t="str">
        <f t="shared" si="43"/>
        <v>PIG HLB | PIG HLB — MÉDIA (140-160 KG/M³) | DN 6''|46241</v>
      </c>
    </row>
    <row r="674" spans="2:14" x14ac:dyDescent="0.3">
      <c r="B674" s="335" t="s">
        <v>1769</v>
      </c>
      <c r="C674" s="336" t="s">
        <v>1520</v>
      </c>
      <c r="D674" s="337">
        <f t="shared" si="40"/>
        <v>114.441958233333</v>
      </c>
      <c r="F674" s="338">
        <v>46241</v>
      </c>
      <c r="G674" s="339" t="s">
        <v>1520</v>
      </c>
      <c r="H674" s="339" t="s">
        <v>1769</v>
      </c>
      <c r="I674" s="339" t="s">
        <v>1522</v>
      </c>
      <c r="J674" s="340">
        <v>114.441958233333</v>
      </c>
      <c r="K674" s="341" t="str">
        <f t="shared" si="41"/>
        <v>1º registro</v>
      </c>
      <c r="L674" s="342" t="str">
        <f t="shared" si="42"/>
        <v/>
      </c>
      <c r="M674" s="339" t="s">
        <v>1523</v>
      </c>
      <c r="N674" s="343" t="str">
        <f t="shared" si="43"/>
        <v>PIG HLB | PIG HLB — MÉDIA (140-160 KG/M³) | DN 7''|46241</v>
      </c>
    </row>
    <row r="675" spans="2:14" x14ac:dyDescent="0.3">
      <c r="B675" s="335" t="s">
        <v>1770</v>
      </c>
      <c r="C675" s="336" t="s">
        <v>1520</v>
      </c>
      <c r="D675" s="337">
        <f t="shared" si="40"/>
        <v>154.8346774</v>
      </c>
      <c r="F675" s="338">
        <v>46241</v>
      </c>
      <c r="G675" s="339" t="s">
        <v>1520</v>
      </c>
      <c r="H675" s="339" t="s">
        <v>1770</v>
      </c>
      <c r="I675" s="339" t="s">
        <v>1522</v>
      </c>
      <c r="J675" s="340">
        <v>154.8346774</v>
      </c>
      <c r="K675" s="341" t="str">
        <f t="shared" si="41"/>
        <v>1º registro</v>
      </c>
      <c r="L675" s="342" t="str">
        <f t="shared" si="42"/>
        <v/>
      </c>
      <c r="M675" s="339" t="s">
        <v>1523</v>
      </c>
      <c r="N675" s="343" t="str">
        <f t="shared" si="43"/>
        <v>PIG HLB | PIG HLB — MÉDIA (140-160 KG/M³) | DN 8''|46241</v>
      </c>
    </row>
    <row r="676" spans="2:14" x14ac:dyDescent="0.3">
      <c r="B676" s="335" t="s">
        <v>1771</v>
      </c>
      <c r="C676" s="336" t="s">
        <v>1520</v>
      </c>
      <c r="D676" s="337">
        <f t="shared" si="40"/>
        <v>214.709098833333</v>
      </c>
      <c r="F676" s="338">
        <v>46241</v>
      </c>
      <c r="G676" s="339" t="s">
        <v>1520</v>
      </c>
      <c r="H676" s="339" t="s">
        <v>1771</v>
      </c>
      <c r="I676" s="339" t="s">
        <v>1522</v>
      </c>
      <c r="J676" s="340">
        <v>214.709098833333</v>
      </c>
      <c r="K676" s="341" t="str">
        <f t="shared" si="41"/>
        <v>1º registro</v>
      </c>
      <c r="L676" s="342" t="str">
        <f t="shared" si="42"/>
        <v/>
      </c>
      <c r="M676" s="339" t="s">
        <v>1523</v>
      </c>
      <c r="N676" s="343" t="str">
        <f t="shared" si="43"/>
        <v>PIG HLB | PIG HLB — MÉDIA (140-160 KG/M³) | DN 10''|46241</v>
      </c>
    </row>
    <row r="677" spans="2:14" x14ac:dyDescent="0.3">
      <c r="B677" s="335" t="s">
        <v>1772</v>
      </c>
      <c r="C677" s="336" t="s">
        <v>1520</v>
      </c>
      <c r="D677" s="337">
        <f t="shared" si="40"/>
        <v>292.12799773333302</v>
      </c>
      <c r="F677" s="338">
        <v>46241</v>
      </c>
      <c r="G677" s="339" t="s">
        <v>1520</v>
      </c>
      <c r="H677" s="339" t="s">
        <v>1772</v>
      </c>
      <c r="I677" s="339" t="s">
        <v>1522</v>
      </c>
      <c r="J677" s="340">
        <v>292.12799773333302</v>
      </c>
      <c r="K677" s="341" t="str">
        <f t="shared" si="41"/>
        <v>1º registro</v>
      </c>
      <c r="L677" s="342" t="str">
        <f t="shared" si="42"/>
        <v/>
      </c>
      <c r="M677" s="339" t="s">
        <v>1523</v>
      </c>
      <c r="N677" s="343" t="str">
        <f t="shared" si="43"/>
        <v>PIG HLB | PIG HLB — MÉDIA (140-160 KG/M³) | DN 12''|46241</v>
      </c>
    </row>
    <row r="678" spans="2:14" x14ac:dyDescent="0.3">
      <c r="B678" s="335" t="s">
        <v>1773</v>
      </c>
      <c r="C678" s="336" t="s">
        <v>1520</v>
      </c>
      <c r="D678" s="337">
        <f t="shared" si="40"/>
        <v>423.87629679999998</v>
      </c>
      <c r="F678" s="338">
        <v>46241</v>
      </c>
      <c r="G678" s="339" t="s">
        <v>1520</v>
      </c>
      <c r="H678" s="339" t="s">
        <v>1773</v>
      </c>
      <c r="I678" s="339" t="s">
        <v>1522</v>
      </c>
      <c r="J678" s="340">
        <v>423.87629679999998</v>
      </c>
      <c r="K678" s="341" t="str">
        <f t="shared" si="41"/>
        <v>1º registro</v>
      </c>
      <c r="L678" s="342" t="str">
        <f t="shared" si="42"/>
        <v/>
      </c>
      <c r="M678" s="339" t="s">
        <v>1523</v>
      </c>
      <c r="N678" s="343" t="str">
        <f t="shared" si="43"/>
        <v>PIG HLB | PIG HLB — MÉDIA (140-160 KG/M³) | DN 14''|46241</v>
      </c>
    </row>
    <row r="679" spans="2:14" x14ac:dyDescent="0.3">
      <c r="B679" s="335" t="s">
        <v>1774</v>
      </c>
      <c r="C679" s="336" t="s">
        <v>1520</v>
      </c>
      <c r="D679" s="337">
        <f t="shared" si="40"/>
        <v>539.93280036666704</v>
      </c>
      <c r="F679" s="338">
        <v>46241</v>
      </c>
      <c r="G679" s="339" t="s">
        <v>1520</v>
      </c>
      <c r="H679" s="339" t="s">
        <v>1774</v>
      </c>
      <c r="I679" s="339" t="s">
        <v>1522</v>
      </c>
      <c r="J679" s="340">
        <v>539.93280036666704</v>
      </c>
      <c r="K679" s="341" t="str">
        <f t="shared" si="41"/>
        <v>1º registro</v>
      </c>
      <c r="L679" s="342" t="str">
        <f t="shared" si="42"/>
        <v/>
      </c>
      <c r="M679" s="339" t="s">
        <v>1523</v>
      </c>
      <c r="N679" s="343" t="str">
        <f t="shared" si="43"/>
        <v>PIG HLB | PIG HLB — MÉDIA (140-160 KG/M³) | DN 16''|46241</v>
      </c>
    </row>
    <row r="680" spans="2:14" x14ac:dyDescent="0.3">
      <c r="B680" s="335" t="s">
        <v>1775</v>
      </c>
      <c r="C680" s="336" t="s">
        <v>1520</v>
      </c>
      <c r="D680" s="337">
        <f t="shared" si="40"/>
        <v>754.95150646666696</v>
      </c>
      <c r="F680" s="338">
        <v>46241</v>
      </c>
      <c r="G680" s="339" t="s">
        <v>1520</v>
      </c>
      <c r="H680" s="339" t="s">
        <v>1775</v>
      </c>
      <c r="I680" s="339" t="s">
        <v>1522</v>
      </c>
      <c r="J680" s="340">
        <v>754.95150646666696</v>
      </c>
      <c r="K680" s="341" t="str">
        <f t="shared" si="41"/>
        <v>1º registro</v>
      </c>
      <c r="L680" s="342" t="str">
        <f t="shared" si="42"/>
        <v/>
      </c>
      <c r="M680" s="339" t="s">
        <v>1523</v>
      </c>
      <c r="N680" s="343" t="str">
        <f t="shared" si="43"/>
        <v>PIG HLB | PIG HLB — MÉDIA (140-160 KG/M³) | DN 18''|46241</v>
      </c>
    </row>
    <row r="681" spans="2:14" x14ac:dyDescent="0.3">
      <c r="B681" s="335" t="s">
        <v>1776</v>
      </c>
      <c r="C681" s="336" t="s">
        <v>1520</v>
      </c>
      <c r="D681" s="337">
        <f t="shared" si="40"/>
        <v>963.46510633333298</v>
      </c>
      <c r="F681" s="338">
        <v>46241</v>
      </c>
      <c r="G681" s="339" t="s">
        <v>1520</v>
      </c>
      <c r="H681" s="339" t="s">
        <v>1776</v>
      </c>
      <c r="I681" s="339" t="s">
        <v>1522</v>
      </c>
      <c r="J681" s="340">
        <v>963.46510633333298</v>
      </c>
      <c r="K681" s="341" t="str">
        <f t="shared" si="41"/>
        <v>1º registro</v>
      </c>
      <c r="L681" s="342" t="str">
        <f t="shared" si="42"/>
        <v/>
      </c>
      <c r="M681" s="339" t="s">
        <v>1523</v>
      </c>
      <c r="N681" s="343" t="str">
        <f t="shared" si="43"/>
        <v>PIG HLB | PIG HLB — MÉDIA (140-160 KG/M³) | DN 20''|46241</v>
      </c>
    </row>
    <row r="682" spans="2:14" x14ac:dyDescent="0.3">
      <c r="B682" s="335" t="s">
        <v>1777</v>
      </c>
      <c r="C682" s="336" t="s">
        <v>1520</v>
      </c>
      <c r="D682" s="337">
        <f t="shared" si="40"/>
        <v>1243.00662303333</v>
      </c>
      <c r="F682" s="338">
        <v>46241</v>
      </c>
      <c r="G682" s="339" t="s">
        <v>1520</v>
      </c>
      <c r="H682" s="339" t="s">
        <v>1777</v>
      </c>
      <c r="I682" s="339" t="s">
        <v>1522</v>
      </c>
      <c r="J682" s="340">
        <v>1243.00662303333</v>
      </c>
      <c r="K682" s="341" t="str">
        <f t="shared" si="41"/>
        <v>1º registro</v>
      </c>
      <c r="L682" s="342" t="str">
        <f t="shared" si="42"/>
        <v/>
      </c>
      <c r="M682" s="339" t="s">
        <v>1523</v>
      </c>
      <c r="N682" s="343" t="str">
        <f t="shared" si="43"/>
        <v>PIG HLB | PIG HLB — MÉDIA (140-160 KG/M³) | DN 22''|46241</v>
      </c>
    </row>
    <row r="683" spans="2:14" x14ac:dyDescent="0.3">
      <c r="B683" s="335" t="s">
        <v>1778</v>
      </c>
      <c r="C683" s="336" t="s">
        <v>1520</v>
      </c>
      <c r="D683" s="337">
        <f t="shared" si="40"/>
        <v>1413.22926023333</v>
      </c>
      <c r="F683" s="338">
        <v>46241</v>
      </c>
      <c r="G683" s="339" t="s">
        <v>1520</v>
      </c>
      <c r="H683" s="339" t="s">
        <v>1778</v>
      </c>
      <c r="I683" s="339" t="s">
        <v>1522</v>
      </c>
      <c r="J683" s="340">
        <v>1413.22926023333</v>
      </c>
      <c r="K683" s="341" t="str">
        <f t="shared" si="41"/>
        <v>1º registro</v>
      </c>
      <c r="L683" s="342" t="str">
        <f t="shared" si="42"/>
        <v/>
      </c>
      <c r="M683" s="339" t="s">
        <v>1523</v>
      </c>
      <c r="N683" s="343" t="str">
        <f t="shared" si="43"/>
        <v>PIG HLB | PIG HLB — MÉDIA (140-160 KG/M³) | DN 24''|46241</v>
      </c>
    </row>
    <row r="684" spans="2:14" x14ac:dyDescent="0.3">
      <c r="B684" s="335" t="s">
        <v>1779</v>
      </c>
      <c r="C684" s="336" t="s">
        <v>1520</v>
      </c>
      <c r="D684" s="337">
        <f t="shared" si="40"/>
        <v>1693.6369772666701</v>
      </c>
      <c r="F684" s="338">
        <v>46241</v>
      </c>
      <c r="G684" s="339" t="s">
        <v>1520</v>
      </c>
      <c r="H684" s="339" t="s">
        <v>1779</v>
      </c>
      <c r="I684" s="339" t="s">
        <v>1522</v>
      </c>
      <c r="J684" s="340">
        <v>1693.6369772666701</v>
      </c>
      <c r="K684" s="341" t="str">
        <f t="shared" si="41"/>
        <v>1º registro</v>
      </c>
      <c r="L684" s="342" t="str">
        <f t="shared" si="42"/>
        <v/>
      </c>
      <c r="M684" s="339" t="s">
        <v>1523</v>
      </c>
      <c r="N684" s="343" t="str">
        <f t="shared" si="43"/>
        <v>PIG HLB | PIG HLB — MÉDIA (140-160 KG/M³) | DN 26''|46241</v>
      </c>
    </row>
    <row r="685" spans="2:14" x14ac:dyDescent="0.3">
      <c r="B685" s="335" t="s">
        <v>1780</v>
      </c>
      <c r="C685" s="336" t="s">
        <v>1520</v>
      </c>
      <c r="D685" s="337">
        <f t="shared" si="40"/>
        <v>1954.5693612666701</v>
      </c>
      <c r="F685" s="338">
        <v>46241</v>
      </c>
      <c r="G685" s="339" t="s">
        <v>1520</v>
      </c>
      <c r="H685" s="339" t="s">
        <v>1780</v>
      </c>
      <c r="I685" s="339" t="s">
        <v>1522</v>
      </c>
      <c r="J685" s="340">
        <v>1954.5693612666701</v>
      </c>
      <c r="K685" s="341" t="str">
        <f t="shared" si="41"/>
        <v>1º registro</v>
      </c>
      <c r="L685" s="342" t="str">
        <f t="shared" si="42"/>
        <v/>
      </c>
      <c r="M685" s="339" t="s">
        <v>1523</v>
      </c>
      <c r="N685" s="343" t="str">
        <f t="shared" si="43"/>
        <v>PIG HLB | PIG HLB — MÉDIA (140-160 KG/M³) | DN 28''|46241</v>
      </c>
    </row>
    <row r="686" spans="2:14" x14ac:dyDescent="0.3">
      <c r="B686" s="335" t="s">
        <v>1781</v>
      </c>
      <c r="C686" s="336" t="s">
        <v>1520</v>
      </c>
      <c r="D686" s="337">
        <f t="shared" si="40"/>
        <v>2776.8245113333301</v>
      </c>
      <c r="F686" s="338">
        <v>46241</v>
      </c>
      <c r="G686" s="339" t="s">
        <v>1520</v>
      </c>
      <c r="H686" s="339" t="s">
        <v>1781</v>
      </c>
      <c r="I686" s="339" t="s">
        <v>1522</v>
      </c>
      <c r="J686" s="340">
        <v>2776.8245113333301</v>
      </c>
      <c r="K686" s="341" t="str">
        <f t="shared" si="41"/>
        <v>1º registro</v>
      </c>
      <c r="L686" s="342" t="str">
        <f t="shared" si="42"/>
        <v/>
      </c>
      <c r="M686" s="339" t="s">
        <v>1523</v>
      </c>
      <c r="N686" s="343" t="str">
        <f t="shared" si="43"/>
        <v>PIG HLB | PIG HLB — MÉDIA (140-160 KG/M³) | DN 30''|46241</v>
      </c>
    </row>
    <row r="687" spans="2:14" x14ac:dyDescent="0.3">
      <c r="B687" s="335" t="s">
        <v>1782</v>
      </c>
      <c r="C687" s="336" t="s">
        <v>1520</v>
      </c>
      <c r="D687" s="337">
        <f t="shared" si="40"/>
        <v>3108.0388118333299</v>
      </c>
      <c r="F687" s="338">
        <v>46241</v>
      </c>
      <c r="G687" s="339" t="s">
        <v>1520</v>
      </c>
      <c r="H687" s="339" t="s">
        <v>1782</v>
      </c>
      <c r="I687" s="339" t="s">
        <v>1522</v>
      </c>
      <c r="J687" s="340">
        <v>3108.0388118333299</v>
      </c>
      <c r="K687" s="341" t="str">
        <f t="shared" si="41"/>
        <v>1º registro</v>
      </c>
      <c r="L687" s="342" t="str">
        <f t="shared" si="42"/>
        <v/>
      </c>
      <c r="M687" s="339" t="s">
        <v>1523</v>
      </c>
      <c r="N687" s="343" t="str">
        <f t="shared" si="43"/>
        <v>PIG HLB | PIG HLB — MÉDIA (140-160 KG/M³) | DN 32''|46241</v>
      </c>
    </row>
    <row r="688" spans="2:14" x14ac:dyDescent="0.3">
      <c r="B688" s="335" t="s">
        <v>1783</v>
      </c>
      <c r="C688" s="336" t="s">
        <v>1520</v>
      </c>
      <c r="D688" s="337">
        <f t="shared" si="40"/>
        <v>3493.6592793333298</v>
      </c>
      <c r="F688" s="338">
        <v>46241</v>
      </c>
      <c r="G688" s="339" t="s">
        <v>1520</v>
      </c>
      <c r="H688" s="339" t="s">
        <v>1783</v>
      </c>
      <c r="I688" s="339" t="s">
        <v>1522</v>
      </c>
      <c r="J688" s="340">
        <v>3493.6592793333298</v>
      </c>
      <c r="K688" s="341" t="str">
        <f t="shared" si="41"/>
        <v>1º registro</v>
      </c>
      <c r="L688" s="342" t="str">
        <f t="shared" si="42"/>
        <v/>
      </c>
      <c r="M688" s="339" t="s">
        <v>1523</v>
      </c>
      <c r="N688" s="343" t="str">
        <f t="shared" si="43"/>
        <v>PIG HLB | PIG HLB — MÉDIA (140-160 KG/M³) | DN 34''|46241</v>
      </c>
    </row>
    <row r="689" spans="2:14" x14ac:dyDescent="0.3">
      <c r="B689" s="335" t="s">
        <v>1784</v>
      </c>
      <c r="C689" s="336" t="s">
        <v>1520</v>
      </c>
      <c r="D689" s="337">
        <f t="shared" si="40"/>
        <v>4081.0549578333298</v>
      </c>
      <c r="F689" s="338">
        <v>46241</v>
      </c>
      <c r="G689" s="339" t="s">
        <v>1520</v>
      </c>
      <c r="H689" s="339" t="s">
        <v>1784</v>
      </c>
      <c r="I689" s="339" t="s">
        <v>1522</v>
      </c>
      <c r="J689" s="340">
        <v>4081.0549578333298</v>
      </c>
      <c r="K689" s="341" t="str">
        <f t="shared" si="41"/>
        <v>1º registro</v>
      </c>
      <c r="L689" s="342" t="str">
        <f t="shared" si="42"/>
        <v/>
      </c>
      <c r="M689" s="339" t="s">
        <v>1523</v>
      </c>
      <c r="N689" s="343" t="str">
        <f t="shared" si="43"/>
        <v>PIG HLB | PIG HLB — MÉDIA (140-160 KG/M³) | DN 36''|46241</v>
      </c>
    </row>
    <row r="690" spans="2:14" x14ac:dyDescent="0.3">
      <c r="B690" s="335" t="s">
        <v>1785</v>
      </c>
      <c r="C690" s="336" t="s">
        <v>1520</v>
      </c>
      <c r="D690" s="337">
        <f t="shared" si="40"/>
        <v>4916.60508283333</v>
      </c>
      <c r="F690" s="338">
        <v>46241</v>
      </c>
      <c r="G690" s="339" t="s">
        <v>1520</v>
      </c>
      <c r="H690" s="339" t="s">
        <v>1785</v>
      </c>
      <c r="I690" s="339" t="s">
        <v>1522</v>
      </c>
      <c r="J690" s="340">
        <v>4916.60508283333</v>
      </c>
      <c r="K690" s="341" t="str">
        <f t="shared" si="41"/>
        <v>1º registro</v>
      </c>
      <c r="L690" s="342" t="str">
        <f t="shared" si="42"/>
        <v/>
      </c>
      <c r="M690" s="339" t="s">
        <v>1523</v>
      </c>
      <c r="N690" s="343" t="str">
        <f t="shared" si="43"/>
        <v>PIG HLB | PIG HLB — MÉDIA (140-160 KG/M³) | DN 38''|46241</v>
      </c>
    </row>
    <row r="691" spans="2:14" x14ac:dyDescent="0.3">
      <c r="B691" s="335" t="s">
        <v>1786</v>
      </c>
      <c r="C691" s="336" t="s">
        <v>1520</v>
      </c>
      <c r="D691" s="337">
        <f t="shared" si="40"/>
        <v>5262.7623943333301</v>
      </c>
      <c r="F691" s="338">
        <v>46241</v>
      </c>
      <c r="G691" s="339" t="s">
        <v>1520</v>
      </c>
      <c r="H691" s="339" t="s">
        <v>1786</v>
      </c>
      <c r="I691" s="339" t="s">
        <v>1522</v>
      </c>
      <c r="J691" s="340">
        <v>5262.7623943333301</v>
      </c>
      <c r="K691" s="341" t="str">
        <f t="shared" si="41"/>
        <v>1º registro</v>
      </c>
      <c r="L691" s="342" t="str">
        <f t="shared" si="42"/>
        <v/>
      </c>
      <c r="M691" s="339" t="s">
        <v>1523</v>
      </c>
      <c r="N691" s="343" t="str">
        <f t="shared" si="43"/>
        <v>PIG HLB | PIG HLB — MÉDIA (140-160 KG/M³) | DN 40''|46241</v>
      </c>
    </row>
    <row r="692" spans="2:14" x14ac:dyDescent="0.3">
      <c r="B692" s="335" t="s">
        <v>1787</v>
      </c>
      <c r="C692" s="336" t="s">
        <v>1520</v>
      </c>
      <c r="D692" s="337">
        <f t="shared" si="40"/>
        <v>5888.44356063333</v>
      </c>
      <c r="F692" s="338">
        <v>46241</v>
      </c>
      <c r="G692" s="339" t="s">
        <v>1520</v>
      </c>
      <c r="H692" s="339" t="s">
        <v>1787</v>
      </c>
      <c r="I692" s="339" t="s">
        <v>1522</v>
      </c>
      <c r="J692" s="340">
        <v>5888.44356063333</v>
      </c>
      <c r="K692" s="341" t="str">
        <f t="shared" si="41"/>
        <v>1º registro</v>
      </c>
      <c r="L692" s="342" t="str">
        <f t="shared" si="42"/>
        <v/>
      </c>
      <c r="M692" s="339" t="s">
        <v>1523</v>
      </c>
      <c r="N692" s="343" t="str">
        <f t="shared" si="43"/>
        <v>PIG HLB | PIG HLB — MÉDIA (140-160 KG/M³) | DN 42''|46241</v>
      </c>
    </row>
    <row r="693" spans="2:14" x14ac:dyDescent="0.3">
      <c r="B693" s="335" t="s">
        <v>1788</v>
      </c>
      <c r="C693" s="336" t="s">
        <v>1520</v>
      </c>
      <c r="D693" s="337">
        <f t="shared" si="40"/>
        <v>6847.4649243333297</v>
      </c>
      <c r="F693" s="338">
        <v>46241</v>
      </c>
      <c r="G693" s="339" t="s">
        <v>1520</v>
      </c>
      <c r="H693" s="339" t="s">
        <v>1788</v>
      </c>
      <c r="I693" s="339" t="s">
        <v>1522</v>
      </c>
      <c r="J693" s="340">
        <v>6847.4649243333297</v>
      </c>
      <c r="K693" s="341" t="str">
        <f t="shared" si="41"/>
        <v>1º registro</v>
      </c>
      <c r="L693" s="342" t="str">
        <f t="shared" si="42"/>
        <v/>
      </c>
      <c r="M693" s="339" t="s">
        <v>1523</v>
      </c>
      <c r="N693" s="343" t="str">
        <f t="shared" si="43"/>
        <v>PIG HLB | PIG HLB — MÉDIA (140-160 KG/M³) | DN 44''|46241</v>
      </c>
    </row>
    <row r="694" spans="2:14" x14ac:dyDescent="0.3">
      <c r="B694" s="335" t="s">
        <v>1789</v>
      </c>
      <c r="C694" s="336" t="s">
        <v>1520</v>
      </c>
      <c r="D694" s="337">
        <f t="shared" si="40"/>
        <v>43.839780433333303</v>
      </c>
      <c r="F694" s="338">
        <v>46241</v>
      </c>
      <c r="G694" s="339" t="s">
        <v>1520</v>
      </c>
      <c r="H694" s="339" t="s">
        <v>1789</v>
      </c>
      <c r="I694" s="339" t="s">
        <v>1522</v>
      </c>
      <c r="J694" s="340">
        <v>43.839780433333303</v>
      </c>
      <c r="K694" s="341" t="str">
        <f t="shared" si="41"/>
        <v>1º registro</v>
      </c>
      <c r="L694" s="342" t="str">
        <f t="shared" si="42"/>
        <v/>
      </c>
      <c r="M694" s="339" t="s">
        <v>1523</v>
      </c>
      <c r="N694" s="343" t="str">
        <f t="shared" si="43"/>
        <v>PIG HLB | PIG HLB — ALTA (170-190 KG/M³) | DN 2''|46241</v>
      </c>
    </row>
    <row r="695" spans="2:14" x14ac:dyDescent="0.3">
      <c r="B695" s="335" t="s">
        <v>1790</v>
      </c>
      <c r="C695" s="336" t="s">
        <v>1520</v>
      </c>
      <c r="D695" s="337">
        <f t="shared" si="40"/>
        <v>48.1545353333333</v>
      </c>
      <c r="F695" s="338">
        <v>46241</v>
      </c>
      <c r="G695" s="339" t="s">
        <v>1520</v>
      </c>
      <c r="H695" s="339" t="s">
        <v>1790</v>
      </c>
      <c r="I695" s="339" t="s">
        <v>1522</v>
      </c>
      <c r="J695" s="340">
        <v>48.1545353333333</v>
      </c>
      <c r="K695" s="341" t="str">
        <f t="shared" si="41"/>
        <v>1º registro</v>
      </c>
      <c r="L695" s="342" t="str">
        <f t="shared" si="42"/>
        <v/>
      </c>
      <c r="M695" s="339" t="s">
        <v>1523</v>
      </c>
      <c r="N695" s="343" t="str">
        <f t="shared" si="43"/>
        <v>PIG HLB | PIG HLB — ALTA (170-190 KG/M³) | DN 3''|46241</v>
      </c>
    </row>
    <row r="696" spans="2:14" x14ac:dyDescent="0.3">
      <c r="B696" s="335" t="s">
        <v>1791</v>
      </c>
      <c r="C696" s="336" t="s">
        <v>1520</v>
      </c>
      <c r="D696" s="337">
        <f t="shared" si="40"/>
        <v>69.710367677777796</v>
      </c>
      <c r="F696" s="338">
        <v>46241</v>
      </c>
      <c r="G696" s="339" t="s">
        <v>1520</v>
      </c>
      <c r="H696" s="339" t="s">
        <v>1791</v>
      </c>
      <c r="I696" s="339" t="s">
        <v>1522</v>
      </c>
      <c r="J696" s="340">
        <v>69.710367677777796</v>
      </c>
      <c r="K696" s="341" t="str">
        <f t="shared" si="41"/>
        <v>1º registro</v>
      </c>
      <c r="L696" s="342" t="str">
        <f t="shared" si="42"/>
        <v/>
      </c>
      <c r="M696" s="339" t="s">
        <v>1523</v>
      </c>
      <c r="N696" s="343" t="str">
        <f t="shared" si="43"/>
        <v>PIG HLB | PIG HLB — ALTA (170-190 KG/M³) | DN 4''|46241</v>
      </c>
    </row>
    <row r="697" spans="2:14" x14ac:dyDescent="0.3">
      <c r="B697" s="335" t="s">
        <v>1792</v>
      </c>
      <c r="C697" s="336" t="s">
        <v>1520</v>
      </c>
      <c r="D697" s="337">
        <f t="shared" si="40"/>
        <v>100.533320277778</v>
      </c>
      <c r="F697" s="338">
        <v>46241</v>
      </c>
      <c r="G697" s="339" t="s">
        <v>1520</v>
      </c>
      <c r="H697" s="339" t="s">
        <v>1792</v>
      </c>
      <c r="I697" s="339" t="s">
        <v>1522</v>
      </c>
      <c r="J697" s="340">
        <v>100.533320277778</v>
      </c>
      <c r="K697" s="341" t="str">
        <f t="shared" si="41"/>
        <v>1º registro</v>
      </c>
      <c r="L697" s="342" t="str">
        <f t="shared" si="42"/>
        <v/>
      </c>
      <c r="M697" s="339" t="s">
        <v>1523</v>
      </c>
      <c r="N697" s="343" t="str">
        <f t="shared" si="43"/>
        <v>PIG HLB | PIG HLB — ALTA (170-190 KG/M³) | DN 6''|46241</v>
      </c>
    </row>
    <row r="698" spans="2:14" x14ac:dyDescent="0.3">
      <c r="B698" s="335" t="s">
        <v>1793</v>
      </c>
      <c r="C698" s="336" t="s">
        <v>1520</v>
      </c>
      <c r="D698" s="337">
        <f t="shared" si="40"/>
        <v>120.244558233333</v>
      </c>
      <c r="F698" s="338">
        <v>46241</v>
      </c>
      <c r="G698" s="339" t="s">
        <v>1520</v>
      </c>
      <c r="H698" s="339" t="s">
        <v>1793</v>
      </c>
      <c r="I698" s="339" t="s">
        <v>1522</v>
      </c>
      <c r="J698" s="340">
        <v>120.244558233333</v>
      </c>
      <c r="K698" s="341" t="str">
        <f t="shared" si="41"/>
        <v>1º registro</v>
      </c>
      <c r="L698" s="342" t="str">
        <f t="shared" si="42"/>
        <v/>
      </c>
      <c r="M698" s="339" t="s">
        <v>1523</v>
      </c>
      <c r="N698" s="343" t="str">
        <f t="shared" si="43"/>
        <v>PIG HLB | PIG HLB — ALTA (170-190 KG/M³) | DN 7''|46241</v>
      </c>
    </row>
    <row r="699" spans="2:14" x14ac:dyDescent="0.3">
      <c r="B699" s="335" t="s">
        <v>1794</v>
      </c>
      <c r="C699" s="336" t="s">
        <v>1520</v>
      </c>
      <c r="D699" s="337">
        <f t="shared" si="40"/>
        <v>163.52839739999999</v>
      </c>
      <c r="F699" s="338">
        <v>46241</v>
      </c>
      <c r="G699" s="339" t="s">
        <v>1520</v>
      </c>
      <c r="H699" s="339" t="s">
        <v>1794</v>
      </c>
      <c r="I699" s="339" t="s">
        <v>1522</v>
      </c>
      <c r="J699" s="340">
        <v>163.52839739999999</v>
      </c>
      <c r="K699" s="341" t="str">
        <f t="shared" si="41"/>
        <v>1º registro</v>
      </c>
      <c r="L699" s="342" t="str">
        <f t="shared" si="42"/>
        <v/>
      </c>
      <c r="M699" s="339" t="s">
        <v>1523</v>
      </c>
      <c r="N699" s="343" t="str">
        <f t="shared" si="43"/>
        <v>PIG HLB | PIG HLB — ALTA (170-190 KG/M³) | DN 8''|46241</v>
      </c>
    </row>
    <row r="700" spans="2:14" x14ac:dyDescent="0.3">
      <c r="B700" s="335" t="s">
        <v>1795</v>
      </c>
      <c r="C700" s="336" t="s">
        <v>1520</v>
      </c>
      <c r="D700" s="337">
        <f t="shared" si="40"/>
        <v>231.15997883333301</v>
      </c>
      <c r="F700" s="338">
        <v>46241</v>
      </c>
      <c r="G700" s="339" t="s">
        <v>1520</v>
      </c>
      <c r="H700" s="339" t="s">
        <v>1795</v>
      </c>
      <c r="I700" s="339" t="s">
        <v>1522</v>
      </c>
      <c r="J700" s="340">
        <v>231.15997883333301</v>
      </c>
      <c r="K700" s="341" t="str">
        <f t="shared" si="41"/>
        <v>1º registro</v>
      </c>
      <c r="L700" s="342" t="str">
        <f t="shared" si="42"/>
        <v/>
      </c>
      <c r="M700" s="339" t="s">
        <v>1523</v>
      </c>
      <c r="N700" s="343" t="str">
        <f t="shared" si="43"/>
        <v>PIG HLB | PIG HLB — ALTA (170-190 KG/M³) | DN 10''|46241</v>
      </c>
    </row>
    <row r="701" spans="2:14" x14ac:dyDescent="0.3">
      <c r="B701" s="335" t="s">
        <v>1796</v>
      </c>
      <c r="C701" s="336" t="s">
        <v>1520</v>
      </c>
      <c r="D701" s="337">
        <f t="shared" si="40"/>
        <v>319.20679773333302</v>
      </c>
      <c r="F701" s="338">
        <v>46241</v>
      </c>
      <c r="G701" s="339" t="s">
        <v>1520</v>
      </c>
      <c r="H701" s="339" t="s">
        <v>1796</v>
      </c>
      <c r="I701" s="339" t="s">
        <v>1522</v>
      </c>
      <c r="J701" s="340">
        <v>319.20679773333302</v>
      </c>
      <c r="K701" s="341" t="str">
        <f t="shared" si="41"/>
        <v>1º registro</v>
      </c>
      <c r="L701" s="342" t="str">
        <f t="shared" si="42"/>
        <v/>
      </c>
      <c r="M701" s="339" t="s">
        <v>1523</v>
      </c>
      <c r="N701" s="343" t="str">
        <f t="shared" si="43"/>
        <v>PIG HLB | PIG HLB — ALTA (170-190 KG/M³) | DN 12''|46241</v>
      </c>
    </row>
    <row r="702" spans="2:14" x14ac:dyDescent="0.3">
      <c r="B702" s="335" t="s">
        <v>1797</v>
      </c>
      <c r="C702" s="336" t="s">
        <v>1520</v>
      </c>
      <c r="D702" s="337">
        <f t="shared" si="40"/>
        <v>462.05129679999999</v>
      </c>
      <c r="F702" s="338">
        <v>46241</v>
      </c>
      <c r="G702" s="339" t="s">
        <v>1520</v>
      </c>
      <c r="H702" s="339" t="s">
        <v>1797</v>
      </c>
      <c r="I702" s="339" t="s">
        <v>1522</v>
      </c>
      <c r="J702" s="340">
        <v>462.05129679999999</v>
      </c>
      <c r="K702" s="341" t="str">
        <f t="shared" si="41"/>
        <v>1º registro</v>
      </c>
      <c r="L702" s="342" t="str">
        <f t="shared" si="42"/>
        <v/>
      </c>
      <c r="M702" s="339" t="s">
        <v>1523</v>
      </c>
      <c r="N702" s="343" t="str">
        <f t="shared" si="43"/>
        <v>PIG HLB | PIG HLB — ALTA (170-190 KG/M³) | DN 14''|46241</v>
      </c>
    </row>
    <row r="703" spans="2:14" x14ac:dyDescent="0.3">
      <c r="B703" s="335" t="s">
        <v>1798</v>
      </c>
      <c r="C703" s="336" t="s">
        <v>1520</v>
      </c>
      <c r="D703" s="337">
        <f t="shared" si="40"/>
        <v>591.85080036666704</v>
      </c>
      <c r="F703" s="338">
        <v>46241</v>
      </c>
      <c r="G703" s="339" t="s">
        <v>1520</v>
      </c>
      <c r="H703" s="339" t="s">
        <v>1798</v>
      </c>
      <c r="I703" s="339" t="s">
        <v>1522</v>
      </c>
      <c r="J703" s="340">
        <v>591.85080036666704</v>
      </c>
      <c r="K703" s="341" t="str">
        <f t="shared" si="41"/>
        <v>1º registro</v>
      </c>
      <c r="L703" s="342" t="str">
        <f t="shared" si="42"/>
        <v/>
      </c>
      <c r="M703" s="339" t="s">
        <v>1523</v>
      </c>
      <c r="N703" s="343" t="str">
        <f t="shared" si="43"/>
        <v>PIG HLB | PIG HLB — ALTA (170-190 KG/M³) | DN 16''|46241</v>
      </c>
    </row>
    <row r="704" spans="2:14" x14ac:dyDescent="0.3">
      <c r="B704" s="335" t="s">
        <v>1799</v>
      </c>
      <c r="C704" s="336" t="s">
        <v>1520</v>
      </c>
      <c r="D704" s="337">
        <f t="shared" si="40"/>
        <v>856.99582646666704</v>
      </c>
      <c r="F704" s="338">
        <v>46241</v>
      </c>
      <c r="G704" s="339" t="s">
        <v>1520</v>
      </c>
      <c r="H704" s="339" t="s">
        <v>1799</v>
      </c>
      <c r="I704" s="339" t="s">
        <v>1522</v>
      </c>
      <c r="J704" s="340">
        <v>856.99582646666704</v>
      </c>
      <c r="K704" s="341" t="str">
        <f t="shared" si="41"/>
        <v>1º registro</v>
      </c>
      <c r="L704" s="342" t="str">
        <f t="shared" si="42"/>
        <v/>
      </c>
      <c r="M704" s="339" t="s">
        <v>1523</v>
      </c>
      <c r="N704" s="343" t="str">
        <f t="shared" si="43"/>
        <v>PIG HLB | PIG HLB — ALTA (170-190 KG/M³) | DN 18''|46241</v>
      </c>
    </row>
    <row r="705" spans="2:14" x14ac:dyDescent="0.3">
      <c r="B705" s="335" t="s">
        <v>1800</v>
      </c>
      <c r="C705" s="336" t="s">
        <v>1520</v>
      </c>
      <c r="D705" s="337">
        <f t="shared" si="40"/>
        <v>1077.48110633333</v>
      </c>
      <c r="F705" s="338">
        <v>46241</v>
      </c>
      <c r="G705" s="339" t="s">
        <v>1520</v>
      </c>
      <c r="H705" s="339" t="s">
        <v>1800</v>
      </c>
      <c r="I705" s="339" t="s">
        <v>1522</v>
      </c>
      <c r="J705" s="340">
        <v>1077.48110633333</v>
      </c>
      <c r="K705" s="341" t="str">
        <f t="shared" si="41"/>
        <v>1º registro</v>
      </c>
      <c r="L705" s="342" t="str">
        <f t="shared" si="42"/>
        <v/>
      </c>
      <c r="M705" s="339" t="s">
        <v>1523</v>
      </c>
      <c r="N705" s="343" t="str">
        <f t="shared" si="43"/>
        <v>PIG HLB | PIG HLB — ALTA (170-190 KG/M³) | DN 20''|46241</v>
      </c>
    </row>
    <row r="706" spans="2:14" x14ac:dyDescent="0.3">
      <c r="B706" s="335" t="s">
        <v>1801</v>
      </c>
      <c r="C706" s="336" t="s">
        <v>1520</v>
      </c>
      <c r="D706" s="337">
        <f t="shared" si="40"/>
        <v>1395.7066230333301</v>
      </c>
      <c r="F706" s="338">
        <v>46241</v>
      </c>
      <c r="G706" s="339" t="s">
        <v>1520</v>
      </c>
      <c r="H706" s="339" t="s">
        <v>1801</v>
      </c>
      <c r="I706" s="339" t="s">
        <v>1522</v>
      </c>
      <c r="J706" s="340">
        <v>1395.7066230333301</v>
      </c>
      <c r="K706" s="341" t="str">
        <f t="shared" si="41"/>
        <v>1º registro</v>
      </c>
      <c r="L706" s="342" t="str">
        <f t="shared" si="42"/>
        <v/>
      </c>
      <c r="M706" s="339" t="s">
        <v>1523</v>
      </c>
      <c r="N706" s="343" t="str">
        <f t="shared" si="43"/>
        <v>PIG HLB | PIG HLB — ALTA (170-190 KG/M³) | DN 22''|46241</v>
      </c>
    </row>
    <row r="707" spans="2:14" x14ac:dyDescent="0.3">
      <c r="B707" s="335" t="s">
        <v>1802</v>
      </c>
      <c r="C707" s="336" t="s">
        <v>1520</v>
      </c>
      <c r="D707" s="337">
        <f t="shared" si="40"/>
        <v>1631.0812602333301</v>
      </c>
      <c r="F707" s="338">
        <v>46241</v>
      </c>
      <c r="G707" s="339" t="s">
        <v>1520</v>
      </c>
      <c r="H707" s="339" t="s">
        <v>1802</v>
      </c>
      <c r="I707" s="339" t="s">
        <v>1522</v>
      </c>
      <c r="J707" s="340">
        <v>1631.0812602333301</v>
      </c>
      <c r="K707" s="341" t="str">
        <f t="shared" si="41"/>
        <v>1º registro</v>
      </c>
      <c r="L707" s="342" t="str">
        <f t="shared" si="42"/>
        <v/>
      </c>
      <c r="M707" s="339" t="s">
        <v>1523</v>
      </c>
      <c r="N707" s="343" t="str">
        <f t="shared" si="43"/>
        <v>PIG HLB | PIG HLB — ALTA (170-190 KG/M³) | DN 24''|46241</v>
      </c>
    </row>
    <row r="708" spans="2:14" x14ac:dyDescent="0.3">
      <c r="B708" s="335" t="s">
        <v>1803</v>
      </c>
      <c r="C708" s="336" t="s">
        <v>1520</v>
      </c>
      <c r="D708" s="337">
        <f t="shared" si="40"/>
        <v>2041.7929772666701</v>
      </c>
      <c r="F708" s="338">
        <v>46241</v>
      </c>
      <c r="G708" s="339" t="s">
        <v>1520</v>
      </c>
      <c r="H708" s="339" t="s">
        <v>1803</v>
      </c>
      <c r="I708" s="339" t="s">
        <v>1522</v>
      </c>
      <c r="J708" s="340">
        <v>2041.7929772666701</v>
      </c>
      <c r="K708" s="341" t="str">
        <f t="shared" si="41"/>
        <v>1º registro</v>
      </c>
      <c r="L708" s="342" t="str">
        <f t="shared" si="42"/>
        <v/>
      </c>
      <c r="M708" s="339" t="s">
        <v>1523</v>
      </c>
      <c r="N708" s="343" t="str">
        <f t="shared" si="43"/>
        <v>PIG HLB | PIG HLB — ALTA (170-190 KG/M³) | DN 26''|46241</v>
      </c>
    </row>
    <row r="709" spans="2:14" x14ac:dyDescent="0.3">
      <c r="B709" s="335" t="s">
        <v>1804</v>
      </c>
      <c r="C709" s="336" t="s">
        <v>1520</v>
      </c>
      <c r="D709" s="337">
        <f t="shared" si="40"/>
        <v>2523.63136126667</v>
      </c>
      <c r="F709" s="338">
        <v>46241</v>
      </c>
      <c r="G709" s="339" t="s">
        <v>1520</v>
      </c>
      <c r="H709" s="339" t="s">
        <v>1804</v>
      </c>
      <c r="I709" s="339" t="s">
        <v>1522</v>
      </c>
      <c r="J709" s="340">
        <v>2523.63136126667</v>
      </c>
      <c r="K709" s="341" t="str">
        <f t="shared" si="41"/>
        <v>1º registro</v>
      </c>
      <c r="L709" s="342" t="str">
        <f t="shared" si="42"/>
        <v/>
      </c>
      <c r="M709" s="339" t="s">
        <v>1523</v>
      </c>
      <c r="N709" s="343" t="str">
        <f t="shared" si="43"/>
        <v>PIG HLB | PIG HLB — ALTA (170-190 KG/M³) | DN 28''|46241</v>
      </c>
    </row>
    <row r="710" spans="2:14" x14ac:dyDescent="0.3">
      <c r="B710" s="335" t="s">
        <v>1805</v>
      </c>
      <c r="C710" s="336" t="s">
        <v>1520</v>
      </c>
      <c r="D710" s="337">
        <f t="shared" si="40"/>
        <v>3218.63651133333</v>
      </c>
      <c r="F710" s="338">
        <v>46241</v>
      </c>
      <c r="G710" s="339" t="s">
        <v>1520</v>
      </c>
      <c r="H710" s="339" t="s">
        <v>1805</v>
      </c>
      <c r="I710" s="339" t="s">
        <v>1522</v>
      </c>
      <c r="J710" s="340">
        <v>3218.63651133333</v>
      </c>
      <c r="K710" s="341" t="str">
        <f t="shared" si="41"/>
        <v>1º registro</v>
      </c>
      <c r="L710" s="342" t="str">
        <f t="shared" si="42"/>
        <v/>
      </c>
      <c r="M710" s="339" t="s">
        <v>1523</v>
      </c>
      <c r="N710" s="343" t="str">
        <f t="shared" si="43"/>
        <v>PIG HLB | PIG HLB — ALTA (170-190 KG/M³) | DN 30''|46241</v>
      </c>
    </row>
    <row r="711" spans="2:14" x14ac:dyDescent="0.3">
      <c r="B711" s="335" t="s">
        <v>1806</v>
      </c>
      <c r="C711" s="336" t="s">
        <v>1520</v>
      </c>
      <c r="D711" s="337">
        <f t="shared" si="40"/>
        <v>3376.7908118333298</v>
      </c>
      <c r="F711" s="338">
        <v>46241</v>
      </c>
      <c r="G711" s="339" t="s">
        <v>1520</v>
      </c>
      <c r="H711" s="339" t="s">
        <v>1806</v>
      </c>
      <c r="I711" s="339" t="s">
        <v>1522</v>
      </c>
      <c r="J711" s="340">
        <v>3376.7908118333298</v>
      </c>
      <c r="K711" s="341" t="str">
        <f t="shared" si="41"/>
        <v>1º registro</v>
      </c>
      <c r="L711" s="342" t="str">
        <f t="shared" si="42"/>
        <v/>
      </c>
      <c r="M711" s="339" t="s">
        <v>1523</v>
      </c>
      <c r="N711" s="343" t="str">
        <f t="shared" si="43"/>
        <v>PIG HLB | PIG HLB — ALTA (170-190 KG/M³) | DN 32''|46241</v>
      </c>
    </row>
    <row r="712" spans="2:14" x14ac:dyDescent="0.3">
      <c r="B712" s="335" t="s">
        <v>1807</v>
      </c>
      <c r="C712" s="336" t="s">
        <v>1520</v>
      </c>
      <c r="D712" s="337">
        <f t="shared" si="40"/>
        <v>4190.9892793333302</v>
      </c>
      <c r="F712" s="338">
        <v>46241</v>
      </c>
      <c r="G712" s="339" t="s">
        <v>1520</v>
      </c>
      <c r="H712" s="339" t="s">
        <v>1807</v>
      </c>
      <c r="I712" s="339" t="s">
        <v>1522</v>
      </c>
      <c r="J712" s="340">
        <v>4190.9892793333302</v>
      </c>
      <c r="K712" s="341" t="str">
        <f t="shared" si="41"/>
        <v>1º registro</v>
      </c>
      <c r="L712" s="342" t="str">
        <f t="shared" si="42"/>
        <v/>
      </c>
      <c r="M712" s="339" t="s">
        <v>1523</v>
      </c>
      <c r="N712" s="343" t="str">
        <f t="shared" si="43"/>
        <v>PIG HLB | PIG HLB — ALTA (170-190 KG/M³) | DN 34''|46241</v>
      </c>
    </row>
    <row r="713" spans="2:14" x14ac:dyDescent="0.3">
      <c r="B713" s="335" t="s">
        <v>1808</v>
      </c>
      <c r="C713" s="336" t="s">
        <v>1520</v>
      </c>
      <c r="D713" s="337">
        <f t="shared" si="40"/>
        <v>4997.2549578333301</v>
      </c>
      <c r="F713" s="338">
        <v>46241</v>
      </c>
      <c r="G713" s="339" t="s">
        <v>1520</v>
      </c>
      <c r="H713" s="339" t="s">
        <v>1808</v>
      </c>
      <c r="I713" s="339" t="s">
        <v>1522</v>
      </c>
      <c r="J713" s="340">
        <v>4997.2549578333301</v>
      </c>
      <c r="K713" s="341" t="str">
        <f t="shared" si="41"/>
        <v>1º registro</v>
      </c>
      <c r="L713" s="342" t="str">
        <f t="shared" si="42"/>
        <v/>
      </c>
      <c r="M713" s="339" t="s">
        <v>1523</v>
      </c>
      <c r="N713" s="343" t="str">
        <f t="shared" si="43"/>
        <v>PIG HLB | PIG HLB — ALTA (170-190 KG/M³) | DN 36''|46241</v>
      </c>
    </row>
    <row r="714" spans="2:14" x14ac:dyDescent="0.3">
      <c r="B714" s="335" t="s">
        <v>1809</v>
      </c>
      <c r="C714" s="336" t="s">
        <v>1520</v>
      </c>
      <c r="D714" s="337">
        <f t="shared" si="40"/>
        <v>5975.3250828333303</v>
      </c>
      <c r="F714" s="338">
        <v>46241</v>
      </c>
      <c r="G714" s="339" t="s">
        <v>1520</v>
      </c>
      <c r="H714" s="339" t="s">
        <v>1809</v>
      </c>
      <c r="I714" s="339" t="s">
        <v>1522</v>
      </c>
      <c r="J714" s="340">
        <v>5975.3250828333303</v>
      </c>
      <c r="K714" s="341" t="str">
        <f t="shared" si="41"/>
        <v>1º registro</v>
      </c>
      <c r="L714" s="342" t="str">
        <f t="shared" si="42"/>
        <v/>
      </c>
      <c r="M714" s="339" t="s">
        <v>1523</v>
      </c>
      <c r="N714" s="343" t="str">
        <f t="shared" si="43"/>
        <v>PIG HLB | PIG HLB — ALTA (170-190 KG/M³) | DN 38''|46241</v>
      </c>
    </row>
    <row r="715" spans="2:14" x14ac:dyDescent="0.3">
      <c r="B715" s="335" t="s">
        <v>1810</v>
      </c>
      <c r="C715" s="336" t="s">
        <v>1520</v>
      </c>
      <c r="D715" s="337">
        <f t="shared" si="40"/>
        <v>6321.4823943333304</v>
      </c>
      <c r="F715" s="338">
        <v>46241</v>
      </c>
      <c r="G715" s="339" t="s">
        <v>1520</v>
      </c>
      <c r="H715" s="339" t="s">
        <v>1810</v>
      </c>
      <c r="I715" s="339" t="s">
        <v>1522</v>
      </c>
      <c r="J715" s="340">
        <v>6321.4823943333304</v>
      </c>
      <c r="K715" s="341" t="str">
        <f t="shared" si="41"/>
        <v>1º registro</v>
      </c>
      <c r="L715" s="342" t="str">
        <f t="shared" si="42"/>
        <v/>
      </c>
      <c r="M715" s="339" t="s">
        <v>1523</v>
      </c>
      <c r="N715" s="343" t="str">
        <f t="shared" si="43"/>
        <v>PIG HLB | PIG HLB — ALTA (170-190 KG/M³) | DN 40''|46241</v>
      </c>
    </row>
    <row r="716" spans="2:14" x14ac:dyDescent="0.3">
      <c r="B716" s="335" t="s">
        <v>1811</v>
      </c>
      <c r="C716" s="336" t="s">
        <v>1520</v>
      </c>
      <c r="D716" s="337">
        <f t="shared" si="40"/>
        <v>6977.7035606333302</v>
      </c>
      <c r="F716" s="338">
        <v>46241</v>
      </c>
      <c r="G716" s="339" t="s">
        <v>1520</v>
      </c>
      <c r="H716" s="339" t="s">
        <v>1811</v>
      </c>
      <c r="I716" s="339" t="s">
        <v>1522</v>
      </c>
      <c r="J716" s="340">
        <v>6977.7035606333302</v>
      </c>
      <c r="K716" s="341" t="str">
        <f t="shared" si="41"/>
        <v>1º registro</v>
      </c>
      <c r="L716" s="342" t="str">
        <f t="shared" si="42"/>
        <v/>
      </c>
      <c r="M716" s="339" t="s">
        <v>1523</v>
      </c>
      <c r="N716" s="343" t="str">
        <f t="shared" si="43"/>
        <v>PIG HLB | PIG HLB — ALTA (170-190 KG/M³) | DN 42''|46241</v>
      </c>
    </row>
    <row r="717" spans="2:14" x14ac:dyDescent="0.3">
      <c r="B717" s="335" t="s">
        <v>1812</v>
      </c>
      <c r="C717" s="336" t="s">
        <v>1520</v>
      </c>
      <c r="D717" s="337">
        <f t="shared" si="40"/>
        <v>8119.9649243333297</v>
      </c>
      <c r="F717" s="338">
        <v>46241</v>
      </c>
      <c r="G717" s="339" t="s">
        <v>1520</v>
      </c>
      <c r="H717" s="339" t="s">
        <v>1812</v>
      </c>
      <c r="I717" s="339" t="s">
        <v>1522</v>
      </c>
      <c r="J717" s="340">
        <v>8119.9649243333297</v>
      </c>
      <c r="K717" s="341" t="str">
        <f t="shared" si="41"/>
        <v>1º registro</v>
      </c>
      <c r="L717" s="342" t="str">
        <f t="shared" si="42"/>
        <v/>
      </c>
      <c r="M717" s="339" t="s">
        <v>1523</v>
      </c>
      <c r="N717" s="343" t="str">
        <f t="shared" si="43"/>
        <v>PIG HLB | PIG HLB — ALTA (170-190 KG/M³) | DN 44''|46241</v>
      </c>
    </row>
    <row r="718" spans="2:14" x14ac:dyDescent="0.3">
      <c r="B718" s="335" t="s">
        <v>683</v>
      </c>
      <c r="C718" s="336" t="s">
        <v>1520</v>
      </c>
      <c r="D718" s="337">
        <f t="shared" si="40"/>
        <v>39.214202617333299</v>
      </c>
      <c r="F718" s="338">
        <v>46241</v>
      </c>
      <c r="G718" s="339" t="s">
        <v>1520</v>
      </c>
      <c r="H718" s="339" t="s">
        <v>683</v>
      </c>
      <c r="I718" s="339" t="s">
        <v>1522</v>
      </c>
      <c r="J718" s="340">
        <v>39.214202617333299</v>
      </c>
      <c r="K718" s="341" t="str">
        <f t="shared" si="41"/>
        <v>1º registro</v>
      </c>
      <c r="L718" s="342" t="str">
        <f t="shared" si="42"/>
        <v/>
      </c>
      <c r="M718" s="339" t="s">
        <v>1523</v>
      </c>
      <c r="N718" s="343" t="str">
        <f t="shared" si="43"/>
        <v>PIG HDISC | PIG HDISC — MÉDIA (140-160 KG/M³) | DN 2''|46241</v>
      </c>
    </row>
    <row r="719" spans="2:14" x14ac:dyDescent="0.3">
      <c r="B719" s="335" t="s">
        <v>686</v>
      </c>
      <c r="C719" s="336" t="s">
        <v>1520</v>
      </c>
      <c r="D719" s="337">
        <f t="shared" si="40"/>
        <v>43.014979473333298</v>
      </c>
      <c r="F719" s="338">
        <v>46241</v>
      </c>
      <c r="G719" s="339" t="s">
        <v>1520</v>
      </c>
      <c r="H719" s="339" t="s">
        <v>686</v>
      </c>
      <c r="I719" s="339" t="s">
        <v>1522</v>
      </c>
      <c r="J719" s="340">
        <v>43.014979473333298</v>
      </c>
      <c r="K719" s="341" t="str">
        <f t="shared" si="41"/>
        <v>1º registro</v>
      </c>
      <c r="L719" s="342" t="str">
        <f t="shared" si="42"/>
        <v/>
      </c>
      <c r="M719" s="339" t="s">
        <v>1523</v>
      </c>
      <c r="N719" s="343" t="str">
        <f t="shared" si="43"/>
        <v>PIG HDISC | PIG HDISC — MÉDIA (140-160 KG/M³) | DN 3''|46241</v>
      </c>
    </row>
    <row r="720" spans="2:14" x14ac:dyDescent="0.3">
      <c r="B720" s="335" t="s">
        <v>687</v>
      </c>
      <c r="C720" s="336" t="s">
        <v>1520</v>
      </c>
      <c r="D720" s="337">
        <f t="shared" si="40"/>
        <v>82.943632714666606</v>
      </c>
      <c r="F720" s="338">
        <v>46241</v>
      </c>
      <c r="G720" s="339" t="s">
        <v>1520</v>
      </c>
      <c r="H720" s="339" t="s">
        <v>687</v>
      </c>
      <c r="I720" s="339" t="s">
        <v>1522</v>
      </c>
      <c r="J720" s="340">
        <v>82.943632714666606</v>
      </c>
      <c r="K720" s="341" t="str">
        <f t="shared" si="41"/>
        <v>1º registro</v>
      </c>
      <c r="L720" s="342" t="str">
        <f t="shared" si="42"/>
        <v/>
      </c>
      <c r="M720" s="339" t="s">
        <v>1523</v>
      </c>
      <c r="N720" s="343" t="str">
        <f t="shared" si="43"/>
        <v>PIG HDISC | PIG HDISC — MÉDIA (140-160 KG/M³) | DN 4''|46241</v>
      </c>
    </row>
    <row r="721" spans="2:14" x14ac:dyDescent="0.3">
      <c r="B721" s="335" t="s">
        <v>688</v>
      </c>
      <c r="C721" s="336" t="s">
        <v>1520</v>
      </c>
      <c r="D721" s="337">
        <f t="shared" si="40"/>
        <v>175.97552959333299</v>
      </c>
      <c r="F721" s="338">
        <v>46241</v>
      </c>
      <c r="G721" s="339" t="s">
        <v>1520</v>
      </c>
      <c r="H721" s="339" t="s">
        <v>688</v>
      </c>
      <c r="I721" s="339" t="s">
        <v>1522</v>
      </c>
      <c r="J721" s="340">
        <v>175.97552959333299</v>
      </c>
      <c r="K721" s="341" t="str">
        <f t="shared" si="41"/>
        <v>1º registro</v>
      </c>
      <c r="L721" s="342" t="str">
        <f t="shared" si="42"/>
        <v/>
      </c>
      <c r="M721" s="339" t="s">
        <v>1523</v>
      </c>
      <c r="N721" s="343" t="str">
        <f t="shared" si="43"/>
        <v>PIG HDISC | PIG HDISC — MÉDIA (140-160 KG/M³) | DN 6''|46241</v>
      </c>
    </row>
    <row r="722" spans="2:14" x14ac:dyDescent="0.3">
      <c r="B722" s="335" t="s">
        <v>689</v>
      </c>
      <c r="C722" s="336" t="s">
        <v>1520</v>
      </c>
      <c r="D722" s="337">
        <f t="shared" si="40"/>
        <v>104.63815988888901</v>
      </c>
      <c r="F722" s="338">
        <v>46241</v>
      </c>
      <c r="G722" s="339" t="s">
        <v>1520</v>
      </c>
      <c r="H722" s="339" t="s">
        <v>689</v>
      </c>
      <c r="I722" s="339" t="s">
        <v>1522</v>
      </c>
      <c r="J722" s="340">
        <v>104.63815988888901</v>
      </c>
      <c r="K722" s="341" t="str">
        <f t="shared" si="41"/>
        <v>1º registro</v>
      </c>
      <c r="L722" s="342" t="str">
        <f t="shared" si="42"/>
        <v/>
      </c>
      <c r="M722" s="339" t="s">
        <v>1523</v>
      </c>
      <c r="N722" s="343" t="str">
        <f t="shared" si="43"/>
        <v>PIG HDISC | PIG HDISC — MÉDIA (140-160 KG/M³) | DN 7''|46241</v>
      </c>
    </row>
    <row r="723" spans="2:14" x14ac:dyDescent="0.3">
      <c r="B723" s="335" t="s">
        <v>690</v>
      </c>
      <c r="C723" s="336" t="s">
        <v>1520</v>
      </c>
      <c r="D723" s="337">
        <f t="shared" si="40"/>
        <v>143.76652874933299</v>
      </c>
      <c r="F723" s="338">
        <v>46241</v>
      </c>
      <c r="G723" s="339" t="s">
        <v>1520</v>
      </c>
      <c r="H723" s="339" t="s">
        <v>690</v>
      </c>
      <c r="I723" s="339" t="s">
        <v>1522</v>
      </c>
      <c r="J723" s="340">
        <v>143.76652874933299</v>
      </c>
      <c r="K723" s="341" t="str">
        <f t="shared" si="41"/>
        <v>1º registro</v>
      </c>
      <c r="L723" s="342" t="str">
        <f t="shared" si="42"/>
        <v/>
      </c>
      <c r="M723" s="339" t="s">
        <v>1523</v>
      </c>
      <c r="N723" s="343" t="str">
        <f t="shared" si="43"/>
        <v>PIG HDISC | PIG HDISC — MÉDIA (140-160 KG/M³) | DN 8''|46241</v>
      </c>
    </row>
    <row r="724" spans="2:14" x14ac:dyDescent="0.3">
      <c r="B724" s="335" t="s">
        <v>691</v>
      </c>
      <c r="C724" s="336" t="s">
        <v>1520</v>
      </c>
      <c r="D724" s="337">
        <f t="shared" si="40"/>
        <v>212.34785289066701</v>
      </c>
      <c r="F724" s="338">
        <v>46241</v>
      </c>
      <c r="G724" s="339" t="s">
        <v>1520</v>
      </c>
      <c r="H724" s="339" t="s">
        <v>691</v>
      </c>
      <c r="I724" s="339" t="s">
        <v>1522</v>
      </c>
      <c r="J724" s="340">
        <v>212.34785289066701</v>
      </c>
      <c r="K724" s="341" t="str">
        <f t="shared" si="41"/>
        <v>1º registro</v>
      </c>
      <c r="L724" s="342" t="str">
        <f t="shared" si="42"/>
        <v/>
      </c>
      <c r="M724" s="339" t="s">
        <v>1523</v>
      </c>
      <c r="N724" s="343" t="str">
        <f t="shared" si="43"/>
        <v>PIG HDISC | PIG HDISC — MÉDIA (140-160 KG/M³) | DN 10''|46241</v>
      </c>
    </row>
    <row r="725" spans="2:14" x14ac:dyDescent="0.3">
      <c r="B725" s="335" t="s">
        <v>692</v>
      </c>
      <c r="C725" s="336" t="s">
        <v>1520</v>
      </c>
      <c r="D725" s="337">
        <f t="shared" si="40"/>
        <v>299.23971823866702</v>
      </c>
      <c r="F725" s="338">
        <v>46241</v>
      </c>
      <c r="G725" s="339" t="s">
        <v>1520</v>
      </c>
      <c r="H725" s="339" t="s">
        <v>692</v>
      </c>
      <c r="I725" s="339" t="s">
        <v>1522</v>
      </c>
      <c r="J725" s="340">
        <v>299.23971823866702</v>
      </c>
      <c r="K725" s="341" t="str">
        <f t="shared" si="41"/>
        <v>1º registro</v>
      </c>
      <c r="L725" s="342" t="str">
        <f t="shared" si="42"/>
        <v/>
      </c>
      <c r="M725" s="339" t="s">
        <v>1523</v>
      </c>
      <c r="N725" s="343" t="str">
        <f t="shared" si="43"/>
        <v>PIG HDISC | PIG HDISC — MÉDIA (140-160 KG/M³) | DN 12''|46241</v>
      </c>
    </row>
    <row r="726" spans="2:14" x14ac:dyDescent="0.3">
      <c r="B726" s="335" t="s">
        <v>693</v>
      </c>
      <c r="C726" s="336" t="s">
        <v>1520</v>
      </c>
      <c r="D726" s="337">
        <f t="shared" ref="D726:D789" si="44">IF($B726="","",IFERROR(INDEX($J$21:$J$1200,MATCH($B726&amp;"|"&amp;TEXT(_xlfn.MAXIFS($F$21:$F$1200,$H$21:$H$1200,$B726,$F$21:$F$1200,"&lt;="&amp;EOMONTH(D$20,0)),"0"),$N$21:$N$1200,0)),"-"))</f>
        <v>479.74573623333299</v>
      </c>
      <c r="F726" s="338">
        <v>46241</v>
      </c>
      <c r="G726" s="339" t="s">
        <v>1520</v>
      </c>
      <c r="H726" s="339" t="s">
        <v>693</v>
      </c>
      <c r="I726" s="339" t="s">
        <v>1522</v>
      </c>
      <c r="J726" s="340">
        <v>479.74573623333299</v>
      </c>
      <c r="K726" s="341" t="str">
        <f t="shared" ref="K726:K789" si="45">IF($H726="","",IFERROR(INDEX($J$21:$J$1200,MATCH($H726&amp;"|"&amp;TEXT(_xlfn.MAXIFS($F$21:$F$1200,$H$21:$H$1200,$H726,$F$21:$F$1200,"&lt;"&amp;$F726),"0"),$N$21:$N$1200,0)),"1º registro"))</f>
        <v>1º registro</v>
      </c>
      <c r="L726" s="342" t="str">
        <f t="shared" ref="L726:L789" si="46">IF(OR($H726="",$K726="1º registro"),"",IFERROR(($J726-$K726)/$K726,""))</f>
        <v/>
      </c>
      <c r="M726" s="339" t="s">
        <v>1523</v>
      </c>
      <c r="N726" s="343" t="str">
        <f t="shared" ref="N726:N789" si="47">IF($H726="","",$H726&amp;"|"&amp;TEXT($F726,"0"))</f>
        <v>PIG HDISC | PIG HDISC — MÉDIA (140-160 KG/M³) | DN 14''|46241</v>
      </c>
    </row>
    <row r="727" spans="2:14" x14ac:dyDescent="0.3">
      <c r="B727" s="335" t="s">
        <v>694</v>
      </c>
      <c r="C727" s="336" t="s">
        <v>1520</v>
      </c>
      <c r="D727" s="337">
        <f t="shared" si="44"/>
        <v>595.69821593333302</v>
      </c>
      <c r="F727" s="338">
        <v>46241</v>
      </c>
      <c r="G727" s="339" t="s">
        <v>1520</v>
      </c>
      <c r="H727" s="339" t="s">
        <v>694</v>
      </c>
      <c r="I727" s="339" t="s">
        <v>1522</v>
      </c>
      <c r="J727" s="340">
        <v>595.69821593333302</v>
      </c>
      <c r="K727" s="341" t="str">
        <f t="shared" si="45"/>
        <v>1º registro</v>
      </c>
      <c r="L727" s="342" t="str">
        <f t="shared" si="46"/>
        <v/>
      </c>
      <c r="M727" s="339" t="s">
        <v>1523</v>
      </c>
      <c r="N727" s="343" t="str">
        <f t="shared" si="47"/>
        <v>PIG HDISC | PIG HDISC — MÉDIA (140-160 KG/M³) | DN 16''|46241</v>
      </c>
    </row>
    <row r="728" spans="2:14" x14ac:dyDescent="0.3">
      <c r="B728" s="335" t="s">
        <v>695</v>
      </c>
      <c r="C728" s="336" t="s">
        <v>1520</v>
      </c>
      <c r="D728" s="337">
        <f t="shared" si="44"/>
        <v>851.75434902933296</v>
      </c>
      <c r="F728" s="338">
        <v>46241</v>
      </c>
      <c r="G728" s="339" t="s">
        <v>1520</v>
      </c>
      <c r="H728" s="339" t="s">
        <v>695</v>
      </c>
      <c r="I728" s="339" t="s">
        <v>1522</v>
      </c>
      <c r="J728" s="340">
        <v>851.75434902933296</v>
      </c>
      <c r="K728" s="341" t="str">
        <f t="shared" si="45"/>
        <v>1º registro</v>
      </c>
      <c r="L728" s="342" t="str">
        <f t="shared" si="46"/>
        <v/>
      </c>
      <c r="M728" s="339" t="s">
        <v>1523</v>
      </c>
      <c r="N728" s="343" t="str">
        <f t="shared" si="47"/>
        <v>PIG HDISC | PIG HDISC — MÉDIA (140-160 KG/M³) | DN 18''|46241</v>
      </c>
    </row>
    <row r="729" spans="2:14" x14ac:dyDescent="0.3">
      <c r="B729" s="335" t="s">
        <v>696</v>
      </c>
      <c r="C729" s="336" t="s">
        <v>1520</v>
      </c>
      <c r="D729" s="337">
        <f t="shared" si="44"/>
        <v>1110.9552381333301</v>
      </c>
      <c r="F729" s="338">
        <v>46241</v>
      </c>
      <c r="G729" s="339" t="s">
        <v>1520</v>
      </c>
      <c r="H729" s="339" t="s">
        <v>696</v>
      </c>
      <c r="I729" s="339" t="s">
        <v>1522</v>
      </c>
      <c r="J729" s="340">
        <v>1110.9552381333301</v>
      </c>
      <c r="K729" s="341" t="str">
        <f t="shared" si="45"/>
        <v>1º registro</v>
      </c>
      <c r="L729" s="342" t="str">
        <f t="shared" si="46"/>
        <v/>
      </c>
      <c r="M729" s="339" t="s">
        <v>1523</v>
      </c>
      <c r="N729" s="343" t="str">
        <f t="shared" si="47"/>
        <v>PIG HDISC | PIG HDISC — MÉDIA (140-160 KG/M³) | DN 20''|46241</v>
      </c>
    </row>
    <row r="730" spans="2:14" x14ac:dyDescent="0.3">
      <c r="B730" s="335" t="s">
        <v>697</v>
      </c>
      <c r="C730" s="336" t="s">
        <v>1520</v>
      </c>
      <c r="D730" s="337">
        <f t="shared" si="44"/>
        <v>1522.9633719999999</v>
      </c>
      <c r="F730" s="338">
        <v>46241</v>
      </c>
      <c r="G730" s="339" t="s">
        <v>1520</v>
      </c>
      <c r="H730" s="339" t="s">
        <v>697</v>
      </c>
      <c r="I730" s="339" t="s">
        <v>1522</v>
      </c>
      <c r="J730" s="340">
        <v>1522.9633719999999</v>
      </c>
      <c r="K730" s="341" t="str">
        <f t="shared" si="45"/>
        <v>1º registro</v>
      </c>
      <c r="L730" s="342" t="str">
        <f t="shared" si="46"/>
        <v/>
      </c>
      <c r="M730" s="339" t="s">
        <v>1523</v>
      </c>
      <c r="N730" s="343" t="str">
        <f t="shared" si="47"/>
        <v>PIG HDISC | PIG HDISC — MÉDIA (140-160 KG/M³) | DN 22''|46241</v>
      </c>
    </row>
    <row r="731" spans="2:14" x14ac:dyDescent="0.3">
      <c r="B731" s="335" t="s">
        <v>698</v>
      </c>
      <c r="C731" s="336" t="s">
        <v>1520</v>
      </c>
      <c r="D731" s="337">
        <f t="shared" si="44"/>
        <v>1801.9482729333299</v>
      </c>
      <c r="F731" s="338">
        <v>46241</v>
      </c>
      <c r="G731" s="339" t="s">
        <v>1520</v>
      </c>
      <c r="H731" s="339" t="s">
        <v>698</v>
      </c>
      <c r="I731" s="339" t="s">
        <v>1522</v>
      </c>
      <c r="J731" s="340">
        <v>1801.9482729333299</v>
      </c>
      <c r="K731" s="341" t="str">
        <f t="shared" si="45"/>
        <v>1º registro</v>
      </c>
      <c r="L731" s="342" t="str">
        <f t="shared" si="46"/>
        <v/>
      </c>
      <c r="M731" s="339" t="s">
        <v>1523</v>
      </c>
      <c r="N731" s="343" t="str">
        <f t="shared" si="47"/>
        <v>PIG HDISC | PIG HDISC — MÉDIA (140-160 KG/M³) | DN 24''|46241</v>
      </c>
    </row>
    <row r="732" spans="2:14" x14ac:dyDescent="0.3">
      <c r="B732" s="335" t="s">
        <v>699</v>
      </c>
      <c r="C732" s="336" t="s">
        <v>1520</v>
      </c>
      <c r="D732" s="337">
        <f t="shared" si="44"/>
        <v>2128.66087213333</v>
      </c>
      <c r="F732" s="338">
        <v>46241</v>
      </c>
      <c r="G732" s="339" t="s">
        <v>1520</v>
      </c>
      <c r="H732" s="339" t="s">
        <v>699</v>
      </c>
      <c r="I732" s="339" t="s">
        <v>1522</v>
      </c>
      <c r="J732" s="340">
        <v>2128.66087213333</v>
      </c>
      <c r="K732" s="341" t="str">
        <f t="shared" si="45"/>
        <v>1º registro</v>
      </c>
      <c r="L732" s="342" t="str">
        <f t="shared" si="46"/>
        <v/>
      </c>
      <c r="M732" s="339" t="s">
        <v>1523</v>
      </c>
      <c r="N732" s="343" t="str">
        <f t="shared" si="47"/>
        <v>PIG HDISC | PIG HDISC — MÉDIA (140-160 KG/M³) | DN 26''|46241</v>
      </c>
    </row>
    <row r="733" spans="2:14" x14ac:dyDescent="0.3">
      <c r="B733" s="335" t="s">
        <v>700</v>
      </c>
      <c r="C733" s="336" t="s">
        <v>1520</v>
      </c>
      <c r="D733" s="337">
        <f t="shared" si="44"/>
        <v>2414.1724239333298</v>
      </c>
      <c r="F733" s="338">
        <v>46241</v>
      </c>
      <c r="G733" s="339" t="s">
        <v>1520</v>
      </c>
      <c r="H733" s="339" t="s">
        <v>700</v>
      </c>
      <c r="I733" s="339" t="s">
        <v>1522</v>
      </c>
      <c r="J733" s="340">
        <v>2414.1724239333298</v>
      </c>
      <c r="K733" s="341" t="str">
        <f t="shared" si="45"/>
        <v>1º registro</v>
      </c>
      <c r="L733" s="342" t="str">
        <f t="shared" si="46"/>
        <v/>
      </c>
      <c r="M733" s="339" t="s">
        <v>1523</v>
      </c>
      <c r="N733" s="343" t="str">
        <f t="shared" si="47"/>
        <v>PIG HDISC | PIG HDISC — MÉDIA (140-160 KG/M³) | DN 28''|46241</v>
      </c>
    </row>
    <row r="734" spans="2:14" x14ac:dyDescent="0.3">
      <c r="B734" s="335" t="s">
        <v>701</v>
      </c>
      <c r="C734" s="336" t="s">
        <v>1520</v>
      </c>
      <c r="D734" s="337">
        <f t="shared" si="44"/>
        <v>3386.4949249333299</v>
      </c>
      <c r="F734" s="338">
        <v>46241</v>
      </c>
      <c r="G734" s="339" t="s">
        <v>1520</v>
      </c>
      <c r="H734" s="339" t="s">
        <v>701</v>
      </c>
      <c r="I734" s="339" t="s">
        <v>1522</v>
      </c>
      <c r="J734" s="340">
        <v>3386.4949249333299</v>
      </c>
      <c r="K734" s="341" t="str">
        <f t="shared" si="45"/>
        <v>1º registro</v>
      </c>
      <c r="L734" s="342" t="str">
        <f t="shared" si="46"/>
        <v/>
      </c>
      <c r="M734" s="339" t="s">
        <v>1523</v>
      </c>
      <c r="N734" s="343" t="str">
        <f t="shared" si="47"/>
        <v>PIG HDISC | PIG HDISC — MÉDIA (140-160 KG/M³) | DN 30''|46241</v>
      </c>
    </row>
    <row r="735" spans="2:14" x14ac:dyDescent="0.3">
      <c r="B735" s="335" t="s">
        <v>702</v>
      </c>
      <c r="C735" s="336" t="s">
        <v>1520</v>
      </c>
      <c r="D735" s="337">
        <f t="shared" si="44"/>
        <v>3785.1178019333302</v>
      </c>
      <c r="F735" s="338">
        <v>46241</v>
      </c>
      <c r="G735" s="339" t="s">
        <v>1520</v>
      </c>
      <c r="H735" s="339" t="s">
        <v>702</v>
      </c>
      <c r="I735" s="339" t="s">
        <v>1522</v>
      </c>
      <c r="J735" s="340">
        <v>3785.1178019333302</v>
      </c>
      <c r="K735" s="341" t="str">
        <f t="shared" si="45"/>
        <v>1º registro</v>
      </c>
      <c r="L735" s="342" t="str">
        <f t="shared" si="46"/>
        <v/>
      </c>
      <c r="M735" s="339" t="s">
        <v>1523</v>
      </c>
      <c r="N735" s="343" t="str">
        <f t="shared" si="47"/>
        <v>PIG HDISC | PIG HDISC — MÉDIA (140-160 KG/M³) | DN 32''|46241</v>
      </c>
    </row>
    <row r="736" spans="2:14" x14ac:dyDescent="0.3">
      <c r="B736" s="335" t="s">
        <v>703</v>
      </c>
      <c r="C736" s="336" t="s">
        <v>1520</v>
      </c>
      <c r="D736" s="337">
        <f t="shared" si="44"/>
        <v>4300.97122533333</v>
      </c>
      <c r="F736" s="338">
        <v>46241</v>
      </c>
      <c r="G736" s="339" t="s">
        <v>1520</v>
      </c>
      <c r="H736" s="339" t="s">
        <v>703</v>
      </c>
      <c r="I736" s="339" t="s">
        <v>1522</v>
      </c>
      <c r="J736" s="340">
        <v>4300.97122533333</v>
      </c>
      <c r="K736" s="341" t="str">
        <f t="shared" si="45"/>
        <v>1º registro</v>
      </c>
      <c r="L736" s="342" t="str">
        <f t="shared" si="46"/>
        <v/>
      </c>
      <c r="M736" s="339" t="s">
        <v>1523</v>
      </c>
      <c r="N736" s="343" t="str">
        <f t="shared" si="47"/>
        <v>PIG HDISC | PIG HDISC — MÉDIA (140-160 KG/M³) | DN 34''|46241</v>
      </c>
    </row>
    <row r="737" spans="2:14" x14ac:dyDescent="0.3">
      <c r="B737" s="335" t="s">
        <v>704</v>
      </c>
      <c r="C737" s="336" t="s">
        <v>1520</v>
      </c>
      <c r="D737" s="337">
        <f t="shared" si="44"/>
        <v>5045.0928963333299</v>
      </c>
      <c r="F737" s="338">
        <v>46241</v>
      </c>
      <c r="G737" s="339" t="s">
        <v>1520</v>
      </c>
      <c r="H737" s="339" t="s">
        <v>704</v>
      </c>
      <c r="I737" s="339" t="s">
        <v>1522</v>
      </c>
      <c r="J737" s="340">
        <v>5045.0928963333299</v>
      </c>
      <c r="K737" s="341" t="str">
        <f t="shared" si="45"/>
        <v>1º registro</v>
      </c>
      <c r="L737" s="342" t="str">
        <f t="shared" si="46"/>
        <v/>
      </c>
      <c r="M737" s="339" t="s">
        <v>1523</v>
      </c>
      <c r="N737" s="343" t="str">
        <f t="shared" si="47"/>
        <v>PIG HDISC | PIG HDISC — MÉDIA (140-160 KG/M³) | DN 36''|46241</v>
      </c>
    </row>
    <row r="738" spans="2:14" x14ac:dyDescent="0.3">
      <c r="B738" s="335" t="s">
        <v>705</v>
      </c>
      <c r="C738" s="336" t="s">
        <v>1520</v>
      </c>
      <c r="D738" s="337">
        <f t="shared" si="44"/>
        <v>6105.2463243333304</v>
      </c>
      <c r="F738" s="338">
        <v>46241</v>
      </c>
      <c r="G738" s="339" t="s">
        <v>1520</v>
      </c>
      <c r="H738" s="339" t="s">
        <v>705</v>
      </c>
      <c r="I738" s="339" t="s">
        <v>1522</v>
      </c>
      <c r="J738" s="340">
        <v>6105.2463243333304</v>
      </c>
      <c r="K738" s="341" t="str">
        <f t="shared" si="45"/>
        <v>1º registro</v>
      </c>
      <c r="L738" s="342" t="str">
        <f t="shared" si="46"/>
        <v/>
      </c>
      <c r="M738" s="339" t="s">
        <v>1523</v>
      </c>
      <c r="N738" s="343" t="str">
        <f t="shared" si="47"/>
        <v>PIG HDISC | PIG HDISC — MÉDIA (140-160 KG/M³) | DN 38''|46241</v>
      </c>
    </row>
    <row r="739" spans="2:14" x14ac:dyDescent="0.3">
      <c r="B739" s="335" t="s">
        <v>706</v>
      </c>
      <c r="C739" s="336" t="s">
        <v>1520</v>
      </c>
      <c r="D739" s="337">
        <f t="shared" si="44"/>
        <v>6543.0781816666704</v>
      </c>
      <c r="F739" s="338">
        <v>46241</v>
      </c>
      <c r="G739" s="339" t="s">
        <v>1520</v>
      </c>
      <c r="H739" s="339" t="s">
        <v>706</v>
      </c>
      <c r="I739" s="339" t="s">
        <v>1522</v>
      </c>
      <c r="J739" s="340">
        <v>6543.0781816666704</v>
      </c>
      <c r="K739" s="341" t="str">
        <f t="shared" si="45"/>
        <v>1º registro</v>
      </c>
      <c r="L739" s="342" t="str">
        <f t="shared" si="46"/>
        <v/>
      </c>
      <c r="M739" s="339" t="s">
        <v>1523</v>
      </c>
      <c r="N739" s="343" t="str">
        <f t="shared" si="47"/>
        <v>PIG HDISC | PIG HDISC — MÉDIA (140-160 KG/M³) | DN 40''|46241</v>
      </c>
    </row>
    <row r="740" spans="2:14" x14ac:dyDescent="0.3">
      <c r="B740" s="335" t="s">
        <v>707</v>
      </c>
      <c r="C740" s="336" t="s">
        <v>1520</v>
      </c>
      <c r="D740" s="337">
        <f t="shared" si="44"/>
        <v>7321.3089956666699</v>
      </c>
      <c r="F740" s="338">
        <v>46241</v>
      </c>
      <c r="G740" s="339" t="s">
        <v>1520</v>
      </c>
      <c r="H740" s="339" t="s">
        <v>707</v>
      </c>
      <c r="I740" s="339" t="s">
        <v>1522</v>
      </c>
      <c r="J740" s="340">
        <v>7321.3089956666699</v>
      </c>
      <c r="K740" s="341" t="str">
        <f t="shared" si="45"/>
        <v>1º registro</v>
      </c>
      <c r="L740" s="342" t="str">
        <f t="shared" si="46"/>
        <v/>
      </c>
      <c r="M740" s="339" t="s">
        <v>1523</v>
      </c>
      <c r="N740" s="343" t="str">
        <f t="shared" si="47"/>
        <v>PIG HDISC | PIG HDISC — MÉDIA (140-160 KG/M³) | DN 42''|46241</v>
      </c>
    </row>
    <row r="741" spans="2:14" x14ac:dyDescent="0.3">
      <c r="B741" s="335" t="s">
        <v>708</v>
      </c>
      <c r="C741" s="336" t="s">
        <v>1520</v>
      </c>
      <c r="D741" s="337">
        <f t="shared" si="44"/>
        <v>8514.3347456666706</v>
      </c>
      <c r="F741" s="338">
        <v>46241</v>
      </c>
      <c r="G741" s="339" t="s">
        <v>1520</v>
      </c>
      <c r="H741" s="339" t="s">
        <v>708</v>
      </c>
      <c r="I741" s="339" t="s">
        <v>1522</v>
      </c>
      <c r="J741" s="340">
        <v>8514.3347456666706</v>
      </c>
      <c r="K741" s="341" t="str">
        <f t="shared" si="45"/>
        <v>1º registro</v>
      </c>
      <c r="L741" s="342" t="str">
        <f t="shared" si="46"/>
        <v/>
      </c>
      <c r="M741" s="339" t="s">
        <v>1523</v>
      </c>
      <c r="N741" s="343" t="str">
        <f t="shared" si="47"/>
        <v>PIG HDISC | PIG HDISC — MÉDIA (140-160 KG/M³) | DN 44''|46241</v>
      </c>
    </row>
    <row r="742" spans="2:14" x14ac:dyDescent="0.3">
      <c r="B742" s="335" t="s">
        <v>709</v>
      </c>
      <c r="C742" s="336" t="s">
        <v>1520</v>
      </c>
      <c r="D742" s="337">
        <f t="shared" si="44"/>
        <v>39.552913613333303</v>
      </c>
      <c r="F742" s="338">
        <v>46241</v>
      </c>
      <c r="G742" s="339" t="s">
        <v>1520</v>
      </c>
      <c r="H742" s="339" t="s">
        <v>709</v>
      </c>
      <c r="I742" s="339" t="s">
        <v>1522</v>
      </c>
      <c r="J742" s="340">
        <v>39.552913613333303</v>
      </c>
      <c r="K742" s="341" t="str">
        <f t="shared" si="45"/>
        <v>1º registro</v>
      </c>
      <c r="L742" s="342" t="str">
        <f t="shared" si="46"/>
        <v/>
      </c>
      <c r="M742" s="339" t="s">
        <v>1523</v>
      </c>
      <c r="N742" s="343" t="str">
        <f t="shared" si="47"/>
        <v>PIG HDISC | PIG HDISC — ALTA (170-190 KG/M³) | DN 2''|46241</v>
      </c>
    </row>
    <row r="743" spans="2:14" x14ac:dyDescent="0.3">
      <c r="B743" s="335" t="s">
        <v>711</v>
      </c>
      <c r="C743" s="336" t="s">
        <v>1520</v>
      </c>
      <c r="D743" s="337">
        <f t="shared" si="44"/>
        <v>43.536073313333297</v>
      </c>
      <c r="F743" s="338">
        <v>46241</v>
      </c>
      <c r="G743" s="339" t="s">
        <v>1520</v>
      </c>
      <c r="H743" s="339" t="s">
        <v>711</v>
      </c>
      <c r="I743" s="339" t="s">
        <v>1522</v>
      </c>
      <c r="J743" s="340">
        <v>43.536073313333297</v>
      </c>
      <c r="K743" s="341" t="str">
        <f t="shared" si="45"/>
        <v>1º registro</v>
      </c>
      <c r="L743" s="342" t="str">
        <f t="shared" si="46"/>
        <v/>
      </c>
      <c r="M743" s="339" t="s">
        <v>1523</v>
      </c>
      <c r="N743" s="343" t="str">
        <f t="shared" si="47"/>
        <v>PIG HDISC | PIG HDISC — ALTA (170-190 KG/M³) | DN 3''|46241</v>
      </c>
    </row>
    <row r="744" spans="2:14" x14ac:dyDescent="0.3">
      <c r="B744" s="335" t="s">
        <v>712</v>
      </c>
      <c r="C744" s="336" t="s">
        <v>1520</v>
      </c>
      <c r="D744" s="337">
        <f t="shared" si="44"/>
        <v>63.1804732444444</v>
      </c>
      <c r="F744" s="338">
        <v>46241</v>
      </c>
      <c r="G744" s="339" t="s">
        <v>1520</v>
      </c>
      <c r="H744" s="339" t="s">
        <v>712</v>
      </c>
      <c r="I744" s="339" t="s">
        <v>1522</v>
      </c>
      <c r="J744" s="340">
        <v>63.1804732444444</v>
      </c>
      <c r="K744" s="341" t="str">
        <f t="shared" si="45"/>
        <v>1º registro</v>
      </c>
      <c r="L744" s="342" t="str">
        <f t="shared" si="46"/>
        <v/>
      </c>
      <c r="M744" s="339" t="s">
        <v>1523</v>
      </c>
      <c r="N744" s="343" t="str">
        <f t="shared" si="47"/>
        <v>PIG HDISC | PIG HDISC — ALTA (170-190 KG/M³) | DN 4''|46241</v>
      </c>
    </row>
    <row r="745" spans="2:14" x14ac:dyDescent="0.3">
      <c r="B745" s="335" t="s">
        <v>713</v>
      </c>
      <c r="C745" s="336" t="s">
        <v>1520</v>
      </c>
      <c r="D745" s="337">
        <f t="shared" si="44"/>
        <v>96.818672944444401</v>
      </c>
      <c r="F745" s="338">
        <v>46241</v>
      </c>
      <c r="G745" s="339" t="s">
        <v>1520</v>
      </c>
      <c r="H745" s="339" t="s">
        <v>713</v>
      </c>
      <c r="I745" s="339" t="s">
        <v>1522</v>
      </c>
      <c r="J745" s="340">
        <v>96.818672944444401</v>
      </c>
      <c r="K745" s="341" t="str">
        <f t="shared" si="45"/>
        <v>1º registro</v>
      </c>
      <c r="L745" s="342" t="str">
        <f t="shared" si="46"/>
        <v/>
      </c>
      <c r="M745" s="339" t="s">
        <v>1523</v>
      </c>
      <c r="N745" s="343" t="str">
        <f t="shared" si="47"/>
        <v>PIG HDISC | PIG HDISC — ALTA (170-190 KG/M³) | DN 6''|46241</v>
      </c>
    </row>
    <row r="746" spans="2:14" x14ac:dyDescent="0.3">
      <c r="B746" s="335" t="s">
        <v>714</v>
      </c>
      <c r="C746" s="336" t="s">
        <v>1520</v>
      </c>
      <c r="D746" s="337">
        <f t="shared" si="44"/>
        <v>112.063747108889</v>
      </c>
      <c r="F746" s="338">
        <v>46241</v>
      </c>
      <c r="G746" s="339" t="s">
        <v>1520</v>
      </c>
      <c r="H746" s="339" t="s">
        <v>714</v>
      </c>
      <c r="I746" s="339" t="s">
        <v>1522</v>
      </c>
      <c r="J746" s="340">
        <v>112.063747108889</v>
      </c>
      <c r="K746" s="341" t="str">
        <f t="shared" si="45"/>
        <v>1º registro</v>
      </c>
      <c r="L746" s="342" t="str">
        <f t="shared" si="46"/>
        <v/>
      </c>
      <c r="M746" s="339" t="s">
        <v>1523</v>
      </c>
      <c r="N746" s="343" t="str">
        <f t="shared" si="47"/>
        <v>PIG HDISC | PIG HDISC — ALTA (170-190 KG/M³) | DN 7''|46241</v>
      </c>
    </row>
    <row r="747" spans="2:14" x14ac:dyDescent="0.3">
      <c r="B747" s="335" t="s">
        <v>715</v>
      </c>
      <c r="C747" s="336" t="s">
        <v>1520</v>
      </c>
      <c r="D747" s="337">
        <f t="shared" si="44"/>
        <v>154.89188223333301</v>
      </c>
      <c r="F747" s="338">
        <v>46241</v>
      </c>
      <c r="G747" s="339" t="s">
        <v>1520</v>
      </c>
      <c r="H747" s="339" t="s">
        <v>715</v>
      </c>
      <c r="I747" s="339" t="s">
        <v>1522</v>
      </c>
      <c r="J747" s="340">
        <v>154.89188223333301</v>
      </c>
      <c r="K747" s="341" t="str">
        <f t="shared" si="45"/>
        <v>1º registro</v>
      </c>
      <c r="L747" s="342" t="str">
        <f t="shared" si="46"/>
        <v/>
      </c>
      <c r="M747" s="339" t="s">
        <v>1523</v>
      </c>
      <c r="N747" s="343" t="str">
        <f t="shared" si="47"/>
        <v>PIG HDISC | PIG HDISC — ALTA (170-190 KG/M³) | DN 8''|46241</v>
      </c>
    </row>
    <row r="748" spans="2:14" x14ac:dyDescent="0.3">
      <c r="B748" s="335" t="s">
        <v>716</v>
      </c>
      <c r="C748" s="336" t="s">
        <v>1520</v>
      </c>
      <c r="D748" s="337">
        <f t="shared" si="44"/>
        <v>233.40004402666699</v>
      </c>
      <c r="F748" s="338">
        <v>46241</v>
      </c>
      <c r="G748" s="339" t="s">
        <v>1520</v>
      </c>
      <c r="H748" s="339" t="s">
        <v>716</v>
      </c>
      <c r="I748" s="339" t="s">
        <v>1522</v>
      </c>
      <c r="J748" s="340">
        <v>233.40004402666699</v>
      </c>
      <c r="K748" s="341" t="str">
        <f t="shared" si="45"/>
        <v>1º registro</v>
      </c>
      <c r="L748" s="342" t="str">
        <f t="shared" si="46"/>
        <v/>
      </c>
      <c r="M748" s="339" t="s">
        <v>1523</v>
      </c>
      <c r="N748" s="343" t="str">
        <f t="shared" si="47"/>
        <v>PIG HDISC | PIG HDISC — ALTA (170-190 KG/M³) | DN 10''|46241</v>
      </c>
    </row>
    <row r="749" spans="2:14" x14ac:dyDescent="0.3">
      <c r="B749" s="335" t="s">
        <v>717</v>
      </c>
      <c r="C749" s="336" t="s">
        <v>1520</v>
      </c>
      <c r="D749" s="337">
        <f t="shared" si="44"/>
        <v>333.89245859866702</v>
      </c>
      <c r="F749" s="338">
        <v>46241</v>
      </c>
      <c r="G749" s="339" t="s">
        <v>1520</v>
      </c>
      <c r="H749" s="339" t="s">
        <v>717</v>
      </c>
      <c r="I749" s="339" t="s">
        <v>1522</v>
      </c>
      <c r="J749" s="340">
        <v>333.89245859866702</v>
      </c>
      <c r="K749" s="341" t="str">
        <f t="shared" si="45"/>
        <v>1º registro</v>
      </c>
      <c r="L749" s="342" t="str">
        <f t="shared" si="46"/>
        <v/>
      </c>
      <c r="M749" s="339" t="s">
        <v>1523</v>
      </c>
      <c r="N749" s="343" t="str">
        <f t="shared" si="47"/>
        <v>PIG HDISC | PIG HDISC — ALTA (170-190 KG/M³) | DN 12''|46241</v>
      </c>
    </row>
    <row r="750" spans="2:14" x14ac:dyDescent="0.3">
      <c r="B750" s="335" t="s">
        <v>718</v>
      </c>
      <c r="C750" s="336" t="s">
        <v>1520</v>
      </c>
      <c r="D750" s="337">
        <f t="shared" si="44"/>
        <v>528.59828373333301</v>
      </c>
      <c r="F750" s="338">
        <v>46241</v>
      </c>
      <c r="G750" s="339" t="s">
        <v>1520</v>
      </c>
      <c r="H750" s="339" t="s">
        <v>718</v>
      </c>
      <c r="I750" s="339" t="s">
        <v>1522</v>
      </c>
      <c r="J750" s="340">
        <v>528.59828373333301</v>
      </c>
      <c r="K750" s="341" t="str">
        <f t="shared" si="45"/>
        <v>1º registro</v>
      </c>
      <c r="L750" s="342" t="str">
        <f t="shared" si="46"/>
        <v/>
      </c>
      <c r="M750" s="339" t="s">
        <v>1523</v>
      </c>
      <c r="N750" s="343" t="str">
        <f t="shared" si="47"/>
        <v>PIG HDISC | PIG HDISC — ALTA (170-190 KG/M³) | DN 14''|46241</v>
      </c>
    </row>
    <row r="751" spans="2:14" x14ac:dyDescent="0.3">
      <c r="B751" s="335" t="s">
        <v>719</v>
      </c>
      <c r="C751" s="336" t="s">
        <v>1520</v>
      </c>
      <c r="D751" s="337">
        <f t="shared" si="44"/>
        <v>662.13768053333297</v>
      </c>
      <c r="F751" s="338">
        <v>46241</v>
      </c>
      <c r="G751" s="339" t="s">
        <v>1520</v>
      </c>
      <c r="H751" s="339" t="s">
        <v>719</v>
      </c>
      <c r="I751" s="339" t="s">
        <v>1522</v>
      </c>
      <c r="J751" s="340">
        <v>662.13768053333297</v>
      </c>
      <c r="K751" s="341" t="str">
        <f t="shared" si="45"/>
        <v>1º registro</v>
      </c>
      <c r="L751" s="342" t="str">
        <f t="shared" si="46"/>
        <v/>
      </c>
      <c r="M751" s="339" t="s">
        <v>1523</v>
      </c>
      <c r="N751" s="343" t="str">
        <f t="shared" si="47"/>
        <v>PIG HDISC | PIG HDISC — ALTA (170-190 KG/M³) | DN 16''|46241</v>
      </c>
    </row>
    <row r="752" spans="2:14" x14ac:dyDescent="0.3">
      <c r="B752" s="335" t="s">
        <v>720</v>
      </c>
      <c r="C752" s="336" t="s">
        <v>1520</v>
      </c>
      <c r="D752" s="337">
        <f t="shared" si="44"/>
        <v>982.34046533333299</v>
      </c>
      <c r="F752" s="338">
        <v>46241</v>
      </c>
      <c r="G752" s="339" t="s">
        <v>1520</v>
      </c>
      <c r="H752" s="339" t="s">
        <v>720</v>
      </c>
      <c r="I752" s="339" t="s">
        <v>1522</v>
      </c>
      <c r="J752" s="340">
        <v>982.34046533333299</v>
      </c>
      <c r="K752" s="341" t="str">
        <f t="shared" si="45"/>
        <v>1º registro</v>
      </c>
      <c r="L752" s="342" t="str">
        <f t="shared" si="46"/>
        <v/>
      </c>
      <c r="M752" s="339" t="s">
        <v>1523</v>
      </c>
      <c r="N752" s="343" t="str">
        <f t="shared" si="47"/>
        <v>PIG HDISC | PIG HDISC — ALTA (170-190 KG/M³) | DN 18''|46241</v>
      </c>
    </row>
    <row r="753" spans="2:14" x14ac:dyDescent="0.3">
      <c r="B753" s="335" t="s">
        <v>721</v>
      </c>
      <c r="C753" s="336" t="s">
        <v>1520</v>
      </c>
      <c r="D753" s="337">
        <f t="shared" si="44"/>
        <v>1256.8615133333301</v>
      </c>
      <c r="F753" s="338">
        <v>46241</v>
      </c>
      <c r="G753" s="339" t="s">
        <v>1520</v>
      </c>
      <c r="H753" s="339" t="s">
        <v>721</v>
      </c>
      <c r="I753" s="339" t="s">
        <v>1522</v>
      </c>
      <c r="J753" s="340">
        <v>1256.8615133333301</v>
      </c>
      <c r="K753" s="341" t="str">
        <f t="shared" si="45"/>
        <v>1º registro</v>
      </c>
      <c r="L753" s="342" t="str">
        <f t="shared" si="46"/>
        <v/>
      </c>
      <c r="M753" s="339" t="s">
        <v>1523</v>
      </c>
      <c r="N753" s="343" t="str">
        <f t="shared" si="47"/>
        <v>PIG HDISC | PIG HDISC — ALTA (170-190 KG/M³) | DN 20''|46241</v>
      </c>
    </row>
    <row r="754" spans="2:14" x14ac:dyDescent="0.3">
      <c r="B754" s="335" t="s">
        <v>722</v>
      </c>
      <c r="C754" s="336" t="s">
        <v>1520</v>
      </c>
      <c r="D754" s="337">
        <f t="shared" si="44"/>
        <v>1718.373562</v>
      </c>
      <c r="F754" s="338">
        <v>46241</v>
      </c>
      <c r="G754" s="339" t="s">
        <v>1520</v>
      </c>
      <c r="H754" s="339" t="s">
        <v>722</v>
      </c>
      <c r="I754" s="339" t="s">
        <v>1522</v>
      </c>
      <c r="J754" s="340">
        <v>1718.373562</v>
      </c>
      <c r="K754" s="341" t="str">
        <f t="shared" si="45"/>
        <v>1º registro</v>
      </c>
      <c r="L754" s="342" t="str">
        <f t="shared" si="46"/>
        <v/>
      </c>
      <c r="M754" s="339" t="s">
        <v>1523</v>
      </c>
      <c r="N754" s="343" t="str">
        <f t="shared" si="47"/>
        <v>PIG HDISC | PIG HDISC — ALTA (170-190 KG/M³) | DN 22''|46241</v>
      </c>
    </row>
    <row r="755" spans="2:14" x14ac:dyDescent="0.3">
      <c r="B755" s="335" t="s">
        <v>723</v>
      </c>
      <c r="C755" s="336" t="s">
        <v>1520</v>
      </c>
      <c r="D755" s="337">
        <f t="shared" si="44"/>
        <v>2080.73347733333</v>
      </c>
      <c r="F755" s="338">
        <v>46241</v>
      </c>
      <c r="G755" s="339" t="s">
        <v>1520</v>
      </c>
      <c r="H755" s="339" t="s">
        <v>723</v>
      </c>
      <c r="I755" s="339" t="s">
        <v>1522</v>
      </c>
      <c r="J755" s="340">
        <v>2080.73347733333</v>
      </c>
      <c r="K755" s="341" t="str">
        <f t="shared" si="45"/>
        <v>1º registro</v>
      </c>
      <c r="L755" s="342" t="str">
        <f t="shared" si="46"/>
        <v/>
      </c>
      <c r="M755" s="339" t="s">
        <v>1523</v>
      </c>
      <c r="N755" s="343" t="str">
        <f t="shared" si="47"/>
        <v>PIG HDISC | PIG HDISC — ALTA (170-190 KG/M³) | DN 24''|46241</v>
      </c>
    </row>
    <row r="756" spans="2:14" x14ac:dyDescent="0.3">
      <c r="B756" s="335" t="s">
        <v>724</v>
      </c>
      <c r="C756" s="336" t="s">
        <v>1520</v>
      </c>
      <c r="D756" s="337">
        <f t="shared" si="44"/>
        <v>2574.1961053333298</v>
      </c>
      <c r="F756" s="338">
        <v>46241</v>
      </c>
      <c r="G756" s="339" t="s">
        <v>1520</v>
      </c>
      <c r="H756" s="339" t="s">
        <v>724</v>
      </c>
      <c r="I756" s="339" t="s">
        <v>1522</v>
      </c>
      <c r="J756" s="340">
        <v>2574.1961053333298</v>
      </c>
      <c r="K756" s="341" t="str">
        <f t="shared" si="45"/>
        <v>1º registro</v>
      </c>
      <c r="L756" s="342" t="str">
        <f t="shared" si="46"/>
        <v/>
      </c>
      <c r="M756" s="339" t="s">
        <v>1523</v>
      </c>
      <c r="N756" s="343" t="str">
        <f t="shared" si="47"/>
        <v>PIG HDISC | PIG HDISC — ALTA (170-190 KG/M³) | DN 26''|46241</v>
      </c>
    </row>
    <row r="757" spans="2:14" x14ac:dyDescent="0.3">
      <c r="B757" s="335" t="s">
        <v>725</v>
      </c>
      <c r="C757" s="336" t="s">
        <v>1520</v>
      </c>
      <c r="D757" s="337">
        <f t="shared" si="44"/>
        <v>3142.4010653333298</v>
      </c>
      <c r="F757" s="338">
        <v>46241</v>
      </c>
      <c r="G757" s="339" t="s">
        <v>1520</v>
      </c>
      <c r="H757" s="339" t="s">
        <v>725</v>
      </c>
      <c r="I757" s="339" t="s">
        <v>1522</v>
      </c>
      <c r="J757" s="340">
        <v>3142.4010653333298</v>
      </c>
      <c r="K757" s="341" t="str">
        <f t="shared" si="45"/>
        <v>1º registro</v>
      </c>
      <c r="L757" s="342" t="str">
        <f t="shared" si="46"/>
        <v/>
      </c>
      <c r="M757" s="339" t="s">
        <v>1523</v>
      </c>
      <c r="N757" s="343" t="str">
        <f t="shared" si="47"/>
        <v>PIG HDISC | PIG HDISC — ALTA (170-190 KG/M³) | DN 28''|46241</v>
      </c>
    </row>
    <row r="758" spans="2:14" x14ac:dyDescent="0.3">
      <c r="B758" s="335" t="s">
        <v>726</v>
      </c>
      <c r="C758" s="336" t="s">
        <v>1520</v>
      </c>
      <c r="D758" s="337">
        <f t="shared" si="44"/>
        <v>3951.88174133333</v>
      </c>
      <c r="F758" s="338">
        <v>46241</v>
      </c>
      <c r="G758" s="339" t="s">
        <v>1520</v>
      </c>
      <c r="H758" s="339" t="s">
        <v>726</v>
      </c>
      <c r="I758" s="339" t="s">
        <v>1522</v>
      </c>
      <c r="J758" s="340">
        <v>3951.88174133333</v>
      </c>
      <c r="K758" s="341" t="str">
        <f t="shared" si="45"/>
        <v>1º registro</v>
      </c>
      <c r="L758" s="342" t="str">
        <f t="shared" si="46"/>
        <v/>
      </c>
      <c r="M758" s="339" t="s">
        <v>1523</v>
      </c>
      <c r="N758" s="343" t="str">
        <f t="shared" si="47"/>
        <v>PIG HDISC | PIG HDISC — ALTA (170-190 KG/M³) | DN 30''|46241</v>
      </c>
    </row>
    <row r="759" spans="2:14" x14ac:dyDescent="0.3">
      <c r="B759" s="335" t="s">
        <v>727</v>
      </c>
      <c r="C759" s="336" t="s">
        <v>1520</v>
      </c>
      <c r="D759" s="337">
        <f t="shared" si="44"/>
        <v>4129.0397363333304</v>
      </c>
      <c r="F759" s="338">
        <v>46241</v>
      </c>
      <c r="G759" s="339" t="s">
        <v>1520</v>
      </c>
      <c r="H759" s="339" t="s">
        <v>727</v>
      </c>
      <c r="I759" s="339" t="s">
        <v>1522</v>
      </c>
      <c r="J759" s="340">
        <v>4129.0397363333304</v>
      </c>
      <c r="K759" s="341" t="str">
        <f t="shared" si="45"/>
        <v>1º registro</v>
      </c>
      <c r="L759" s="342" t="str">
        <f t="shared" si="46"/>
        <v/>
      </c>
      <c r="M759" s="339" t="s">
        <v>1523</v>
      </c>
      <c r="N759" s="343" t="str">
        <f t="shared" si="47"/>
        <v>PIG HDISC | PIG HDISC — ALTA (170-190 KG/M³) | DN 32''|46241</v>
      </c>
    </row>
    <row r="760" spans="2:14" x14ac:dyDescent="0.3">
      <c r="B760" s="335" t="s">
        <v>728</v>
      </c>
      <c r="C760" s="336" t="s">
        <v>1520</v>
      </c>
      <c r="D760" s="337">
        <f t="shared" si="44"/>
        <v>5193.3444263333304</v>
      </c>
      <c r="F760" s="338">
        <v>46241</v>
      </c>
      <c r="G760" s="339" t="s">
        <v>1520</v>
      </c>
      <c r="H760" s="339" t="s">
        <v>728</v>
      </c>
      <c r="I760" s="339" t="s">
        <v>1522</v>
      </c>
      <c r="J760" s="340">
        <v>5193.3444263333304</v>
      </c>
      <c r="K760" s="341" t="str">
        <f t="shared" si="45"/>
        <v>1º registro</v>
      </c>
      <c r="L760" s="342" t="str">
        <f t="shared" si="46"/>
        <v/>
      </c>
      <c r="M760" s="339" t="s">
        <v>1523</v>
      </c>
      <c r="N760" s="343" t="str">
        <f t="shared" si="47"/>
        <v>PIG HDISC | PIG HDISC — ALTA (170-190 KG/M³) | DN 34''|46241</v>
      </c>
    </row>
    <row r="761" spans="2:14" x14ac:dyDescent="0.3">
      <c r="B761" s="335" t="s">
        <v>729</v>
      </c>
      <c r="C761" s="336" t="s">
        <v>1520</v>
      </c>
      <c r="D761" s="337">
        <f t="shared" si="44"/>
        <v>6217.5540363333303</v>
      </c>
      <c r="F761" s="338">
        <v>46241</v>
      </c>
      <c r="G761" s="339" t="s">
        <v>1520</v>
      </c>
      <c r="H761" s="339" t="s">
        <v>729</v>
      </c>
      <c r="I761" s="339" t="s">
        <v>1522</v>
      </c>
      <c r="J761" s="340">
        <v>6217.5540363333303</v>
      </c>
      <c r="K761" s="341" t="str">
        <f t="shared" si="45"/>
        <v>1º registro</v>
      </c>
      <c r="L761" s="342" t="str">
        <f t="shared" si="46"/>
        <v/>
      </c>
      <c r="M761" s="339" t="s">
        <v>1523</v>
      </c>
      <c r="N761" s="343" t="str">
        <f t="shared" si="47"/>
        <v>PIG HDISC | PIG HDISC — ALTA (170-190 KG/M³) | DN 36''|46241</v>
      </c>
    </row>
    <row r="762" spans="2:14" x14ac:dyDescent="0.3">
      <c r="B762" s="335" t="s">
        <v>730</v>
      </c>
      <c r="C762" s="336" t="s">
        <v>1520</v>
      </c>
      <c r="D762" s="337">
        <f t="shared" si="44"/>
        <v>7460.0903083333296</v>
      </c>
      <c r="F762" s="338">
        <v>46241</v>
      </c>
      <c r="G762" s="339" t="s">
        <v>1520</v>
      </c>
      <c r="H762" s="339" t="s">
        <v>730</v>
      </c>
      <c r="I762" s="339" t="s">
        <v>1522</v>
      </c>
      <c r="J762" s="340">
        <v>7460.0903083333296</v>
      </c>
      <c r="K762" s="341" t="str">
        <f t="shared" si="45"/>
        <v>1º registro</v>
      </c>
      <c r="L762" s="342" t="str">
        <f t="shared" si="46"/>
        <v/>
      </c>
      <c r="M762" s="339" t="s">
        <v>1523</v>
      </c>
      <c r="N762" s="343" t="str">
        <f t="shared" si="47"/>
        <v>PIG HDISC | PIG HDISC — ALTA (170-190 KG/M³) | DN 38''|46241</v>
      </c>
    </row>
    <row r="763" spans="2:14" x14ac:dyDescent="0.3">
      <c r="B763" s="335" t="s">
        <v>731</v>
      </c>
      <c r="C763" s="336" t="s">
        <v>1520</v>
      </c>
      <c r="D763" s="337">
        <f t="shared" si="44"/>
        <v>7897.9221656666696</v>
      </c>
      <c r="F763" s="338">
        <v>46241</v>
      </c>
      <c r="G763" s="339" t="s">
        <v>1520</v>
      </c>
      <c r="H763" s="339" t="s">
        <v>731</v>
      </c>
      <c r="I763" s="339" t="s">
        <v>1522</v>
      </c>
      <c r="J763" s="340">
        <v>7897.9221656666696</v>
      </c>
      <c r="K763" s="341" t="str">
        <f t="shared" si="45"/>
        <v>1º registro</v>
      </c>
      <c r="L763" s="342" t="str">
        <f t="shared" si="46"/>
        <v/>
      </c>
      <c r="M763" s="339" t="s">
        <v>1523</v>
      </c>
      <c r="N763" s="343" t="str">
        <f t="shared" si="47"/>
        <v>PIG HDISC | PIG HDISC — ALTA (170-190 KG/M³) | DN 40''|46241</v>
      </c>
    </row>
    <row r="764" spans="2:14" x14ac:dyDescent="0.3">
      <c r="B764" s="335" t="s">
        <v>732</v>
      </c>
      <c r="C764" s="336" t="s">
        <v>1520</v>
      </c>
      <c r="D764" s="337">
        <f t="shared" si="44"/>
        <v>8715.2350176666696</v>
      </c>
      <c r="F764" s="338">
        <v>46241</v>
      </c>
      <c r="G764" s="339" t="s">
        <v>1520</v>
      </c>
      <c r="H764" s="339" t="s">
        <v>732</v>
      </c>
      <c r="I764" s="339" t="s">
        <v>1522</v>
      </c>
      <c r="J764" s="340">
        <v>8715.2350176666696</v>
      </c>
      <c r="K764" s="341" t="str">
        <f t="shared" si="45"/>
        <v>1º registro</v>
      </c>
      <c r="L764" s="342" t="str">
        <f t="shared" si="46"/>
        <v/>
      </c>
      <c r="M764" s="339" t="s">
        <v>1523</v>
      </c>
      <c r="N764" s="343" t="str">
        <f t="shared" si="47"/>
        <v>PIG HDISC | PIG HDISC — ALTA (170-190 KG/M³) | DN 42''|46241</v>
      </c>
    </row>
    <row r="765" spans="2:14" x14ac:dyDescent="0.3">
      <c r="B765" s="335" t="s">
        <v>733</v>
      </c>
      <c r="C765" s="336" t="s">
        <v>1520</v>
      </c>
      <c r="D765" s="337">
        <f t="shared" si="44"/>
        <v>10142.7529956667</v>
      </c>
      <c r="F765" s="338">
        <v>46241</v>
      </c>
      <c r="G765" s="339" t="s">
        <v>1520</v>
      </c>
      <c r="H765" s="339" t="s">
        <v>733</v>
      </c>
      <c r="I765" s="339" t="s">
        <v>1522</v>
      </c>
      <c r="J765" s="340">
        <v>10142.7529956667</v>
      </c>
      <c r="K765" s="341" t="str">
        <f t="shared" si="45"/>
        <v>1º registro</v>
      </c>
      <c r="L765" s="342" t="str">
        <f t="shared" si="46"/>
        <v/>
      </c>
      <c r="M765" s="339" t="s">
        <v>1523</v>
      </c>
      <c r="N765" s="343" t="str">
        <f t="shared" si="47"/>
        <v>PIG HDISC | PIG HDISC — ALTA (170-190 KG/M³) | DN 44''|46241</v>
      </c>
    </row>
    <row r="766" spans="2:14" x14ac:dyDescent="0.3">
      <c r="B766" s="335" t="s">
        <v>734</v>
      </c>
      <c r="C766" s="336" t="s">
        <v>1520</v>
      </c>
      <c r="D766" s="337">
        <f t="shared" si="44"/>
        <v>92.554202617333303</v>
      </c>
      <c r="F766" s="338">
        <v>46241</v>
      </c>
      <c r="G766" s="339" t="s">
        <v>1520</v>
      </c>
      <c r="H766" s="339" t="s">
        <v>734</v>
      </c>
      <c r="I766" s="339" t="s">
        <v>1522</v>
      </c>
      <c r="J766" s="340">
        <v>92.554202617333303</v>
      </c>
      <c r="K766" s="341" t="str">
        <f t="shared" si="45"/>
        <v>1º registro</v>
      </c>
      <c r="L766" s="342" t="str">
        <f t="shared" si="46"/>
        <v/>
      </c>
      <c r="M766" s="339" t="s">
        <v>1523</v>
      </c>
      <c r="N766" s="343" t="str">
        <f t="shared" si="47"/>
        <v>PIG HLCC | PIG HLCC — MÉDIA (140-160 KG/M³) | DN 2''|46241</v>
      </c>
    </row>
    <row r="767" spans="2:14" x14ac:dyDescent="0.3">
      <c r="B767" s="335" t="s">
        <v>737</v>
      </c>
      <c r="C767" s="336" t="s">
        <v>1520</v>
      </c>
      <c r="D767" s="337">
        <f t="shared" si="44"/>
        <v>96.354979473333302</v>
      </c>
      <c r="F767" s="338">
        <v>46241</v>
      </c>
      <c r="G767" s="339" t="s">
        <v>1520</v>
      </c>
      <c r="H767" s="339" t="s">
        <v>737</v>
      </c>
      <c r="I767" s="339" t="s">
        <v>1522</v>
      </c>
      <c r="J767" s="340">
        <v>96.354979473333302</v>
      </c>
      <c r="K767" s="341" t="str">
        <f t="shared" si="45"/>
        <v>1º registro</v>
      </c>
      <c r="L767" s="342" t="str">
        <f t="shared" si="46"/>
        <v/>
      </c>
      <c r="M767" s="339" t="s">
        <v>1523</v>
      </c>
      <c r="N767" s="343" t="str">
        <f t="shared" si="47"/>
        <v>PIG HLCC | PIG HLCC — MÉDIA (140-160 KG/M³) | DN 3''|46241</v>
      </c>
    </row>
    <row r="768" spans="2:14" x14ac:dyDescent="0.3">
      <c r="B768" s="335" t="s">
        <v>738</v>
      </c>
      <c r="C768" s="336" t="s">
        <v>1520</v>
      </c>
      <c r="D768" s="337">
        <f t="shared" si="44"/>
        <v>104.450299381333</v>
      </c>
      <c r="F768" s="338">
        <v>46241</v>
      </c>
      <c r="G768" s="339" t="s">
        <v>1520</v>
      </c>
      <c r="H768" s="339" t="s">
        <v>738</v>
      </c>
      <c r="I768" s="339" t="s">
        <v>1522</v>
      </c>
      <c r="J768" s="340">
        <v>104.450299381333</v>
      </c>
      <c r="K768" s="341" t="str">
        <f t="shared" si="45"/>
        <v>1º registro</v>
      </c>
      <c r="L768" s="342" t="str">
        <f t="shared" si="46"/>
        <v/>
      </c>
      <c r="M768" s="339" t="s">
        <v>1523</v>
      </c>
      <c r="N768" s="343" t="str">
        <f t="shared" si="47"/>
        <v>PIG HLCC | PIG HLCC — MÉDIA (140-160 KG/M³) | DN 4''|46241</v>
      </c>
    </row>
    <row r="769" spans="2:14" x14ac:dyDescent="0.3">
      <c r="B769" s="335" t="s">
        <v>739</v>
      </c>
      <c r="C769" s="336" t="s">
        <v>1520</v>
      </c>
      <c r="D769" s="337">
        <f t="shared" si="44"/>
        <v>132.91552959333299</v>
      </c>
      <c r="F769" s="338">
        <v>46241</v>
      </c>
      <c r="G769" s="339" t="s">
        <v>1520</v>
      </c>
      <c r="H769" s="339" t="s">
        <v>739</v>
      </c>
      <c r="I769" s="339" t="s">
        <v>1522</v>
      </c>
      <c r="J769" s="340">
        <v>132.91552959333299</v>
      </c>
      <c r="K769" s="341" t="str">
        <f t="shared" si="45"/>
        <v>1º registro</v>
      </c>
      <c r="L769" s="342" t="str">
        <f t="shared" si="46"/>
        <v/>
      </c>
      <c r="M769" s="339" t="s">
        <v>1523</v>
      </c>
      <c r="N769" s="343" t="str">
        <f t="shared" si="47"/>
        <v>PIG HLCC | PIG HLCC — MÉDIA (140-160 KG/M³) | DN 6''|46241</v>
      </c>
    </row>
    <row r="770" spans="2:14" x14ac:dyDescent="0.3">
      <c r="B770" s="335" t="s">
        <v>740</v>
      </c>
      <c r="C770" s="336" t="s">
        <v>1520</v>
      </c>
      <c r="D770" s="337">
        <f t="shared" si="44"/>
        <v>152.02260433333299</v>
      </c>
      <c r="F770" s="338">
        <v>46241</v>
      </c>
      <c r="G770" s="339" t="s">
        <v>1520</v>
      </c>
      <c r="H770" s="339" t="s">
        <v>740</v>
      </c>
      <c r="I770" s="339" t="s">
        <v>1522</v>
      </c>
      <c r="J770" s="340">
        <v>152.02260433333299</v>
      </c>
      <c r="K770" s="341" t="str">
        <f t="shared" si="45"/>
        <v>1º registro</v>
      </c>
      <c r="L770" s="342" t="str">
        <f t="shared" si="46"/>
        <v/>
      </c>
      <c r="M770" s="339" t="s">
        <v>1523</v>
      </c>
      <c r="N770" s="343" t="str">
        <f t="shared" si="47"/>
        <v>PIG HLCC | PIG HLCC — MÉDIA (140-160 KG/M³) | DN 7''|46241</v>
      </c>
    </row>
    <row r="771" spans="2:14" x14ac:dyDescent="0.3">
      <c r="B771" s="335" t="s">
        <v>741</v>
      </c>
      <c r="C771" s="336" t="s">
        <v>1520</v>
      </c>
      <c r="D771" s="337">
        <f t="shared" si="44"/>
        <v>172.70652874933299</v>
      </c>
      <c r="F771" s="338">
        <v>46241</v>
      </c>
      <c r="G771" s="339" t="s">
        <v>1520</v>
      </c>
      <c r="H771" s="339" t="s">
        <v>741</v>
      </c>
      <c r="I771" s="339" t="s">
        <v>1522</v>
      </c>
      <c r="J771" s="340">
        <v>172.70652874933299</v>
      </c>
      <c r="K771" s="341" t="str">
        <f t="shared" si="45"/>
        <v>1º registro</v>
      </c>
      <c r="L771" s="342" t="str">
        <f t="shared" si="46"/>
        <v/>
      </c>
      <c r="M771" s="339" t="s">
        <v>1523</v>
      </c>
      <c r="N771" s="343" t="str">
        <f t="shared" si="47"/>
        <v>PIG HLCC | PIG HLCC — MÉDIA (140-160 KG/M³) | DN 8''|46241</v>
      </c>
    </row>
    <row r="772" spans="2:14" x14ac:dyDescent="0.3">
      <c r="B772" s="335" t="s">
        <v>742</v>
      </c>
      <c r="C772" s="336" t="s">
        <v>1520</v>
      </c>
      <c r="D772" s="337">
        <f t="shared" si="44"/>
        <v>267.95451955733301</v>
      </c>
      <c r="F772" s="338">
        <v>46241</v>
      </c>
      <c r="G772" s="339" t="s">
        <v>1520</v>
      </c>
      <c r="H772" s="339" t="s">
        <v>742</v>
      </c>
      <c r="I772" s="339" t="s">
        <v>1522</v>
      </c>
      <c r="J772" s="340">
        <v>267.95451955733301</v>
      </c>
      <c r="K772" s="341" t="str">
        <f t="shared" si="45"/>
        <v>1º registro</v>
      </c>
      <c r="L772" s="342" t="str">
        <f t="shared" si="46"/>
        <v/>
      </c>
      <c r="M772" s="339" t="s">
        <v>1523</v>
      </c>
      <c r="N772" s="343" t="str">
        <f t="shared" si="47"/>
        <v>PIG HLCC | PIG HLCC — MÉDIA (140-160 KG/M³) | DN 9,5''|46241</v>
      </c>
    </row>
    <row r="773" spans="2:14" x14ac:dyDescent="0.3">
      <c r="B773" s="335" t="s">
        <v>744</v>
      </c>
      <c r="C773" s="336" t="s">
        <v>1520</v>
      </c>
      <c r="D773" s="337">
        <f t="shared" si="44"/>
        <v>259.00920261733302</v>
      </c>
      <c r="F773" s="338">
        <v>46241</v>
      </c>
      <c r="G773" s="339" t="s">
        <v>1520</v>
      </c>
      <c r="H773" s="339" t="s">
        <v>744</v>
      </c>
      <c r="I773" s="339" t="s">
        <v>1522</v>
      </c>
      <c r="J773" s="340">
        <v>259.00920261733302</v>
      </c>
      <c r="K773" s="341" t="str">
        <f t="shared" si="45"/>
        <v>1º registro</v>
      </c>
      <c r="L773" s="342" t="str">
        <f t="shared" si="46"/>
        <v/>
      </c>
      <c r="M773" s="339" t="s">
        <v>1523</v>
      </c>
      <c r="N773" s="343" t="str">
        <f t="shared" si="47"/>
        <v>PIG HLCC PC | PIG HLCC PC — MÉDIA (140-160 KG/M³) | DN 2''|46241</v>
      </c>
    </row>
    <row r="774" spans="2:14" x14ac:dyDescent="0.3">
      <c r="B774" s="335" t="s">
        <v>747</v>
      </c>
      <c r="C774" s="336" t="s">
        <v>1520</v>
      </c>
      <c r="D774" s="337">
        <f t="shared" si="44"/>
        <v>279.674979473333</v>
      </c>
      <c r="F774" s="338">
        <v>46241</v>
      </c>
      <c r="G774" s="339" t="s">
        <v>1520</v>
      </c>
      <c r="H774" s="339" t="s">
        <v>747</v>
      </c>
      <c r="I774" s="339" t="s">
        <v>1522</v>
      </c>
      <c r="J774" s="340">
        <v>279.674979473333</v>
      </c>
      <c r="K774" s="341" t="str">
        <f t="shared" si="45"/>
        <v>1º registro</v>
      </c>
      <c r="L774" s="342" t="str">
        <f t="shared" si="46"/>
        <v/>
      </c>
      <c r="M774" s="339" t="s">
        <v>1523</v>
      </c>
      <c r="N774" s="343" t="str">
        <f t="shared" si="47"/>
        <v>PIG HLCC PC | PIG HLCC PC — MÉDIA (140-160 KG/M³) | DN 3''|46241</v>
      </c>
    </row>
    <row r="775" spans="2:14" x14ac:dyDescent="0.3">
      <c r="B775" s="335" t="s">
        <v>748</v>
      </c>
      <c r="C775" s="336" t="s">
        <v>1520</v>
      </c>
      <c r="D775" s="337">
        <f t="shared" si="44"/>
        <v>318.40529938133301</v>
      </c>
      <c r="F775" s="338">
        <v>46241</v>
      </c>
      <c r="G775" s="339" t="s">
        <v>1520</v>
      </c>
      <c r="H775" s="339" t="s">
        <v>748</v>
      </c>
      <c r="I775" s="339" t="s">
        <v>1522</v>
      </c>
      <c r="J775" s="340">
        <v>318.40529938133301</v>
      </c>
      <c r="K775" s="341" t="str">
        <f t="shared" si="45"/>
        <v>1º registro</v>
      </c>
      <c r="L775" s="342" t="str">
        <f t="shared" si="46"/>
        <v/>
      </c>
      <c r="M775" s="339" t="s">
        <v>1523</v>
      </c>
      <c r="N775" s="343" t="str">
        <f t="shared" si="47"/>
        <v>PIG HLCC PC | PIG HLCC PC — MÉDIA (140-160 KG/M³) | DN 4''|46241</v>
      </c>
    </row>
    <row r="776" spans="2:14" x14ac:dyDescent="0.3">
      <c r="B776" s="335" t="s">
        <v>749</v>
      </c>
      <c r="C776" s="336" t="s">
        <v>1520</v>
      </c>
      <c r="D776" s="337">
        <f t="shared" si="44"/>
        <v>412.79583333333301</v>
      </c>
      <c r="F776" s="338">
        <v>46241</v>
      </c>
      <c r="G776" s="339" t="s">
        <v>1520</v>
      </c>
      <c r="H776" s="339" t="s">
        <v>749</v>
      </c>
      <c r="I776" s="339" t="s">
        <v>1522</v>
      </c>
      <c r="J776" s="340">
        <v>412.79583333333301</v>
      </c>
      <c r="K776" s="341" t="str">
        <f t="shared" si="45"/>
        <v>1º registro</v>
      </c>
      <c r="L776" s="342" t="str">
        <f t="shared" si="46"/>
        <v/>
      </c>
      <c r="M776" s="339" t="s">
        <v>1523</v>
      </c>
      <c r="N776" s="343" t="str">
        <f t="shared" si="47"/>
        <v>PIG HLCC PC | PIG HLCC PC — MÉDIA (140-160 KG/M³) | DN 6''|46241</v>
      </c>
    </row>
    <row r="777" spans="2:14" x14ac:dyDescent="0.3">
      <c r="B777" s="335" t="s">
        <v>750</v>
      </c>
      <c r="C777" s="336" t="s">
        <v>1520</v>
      </c>
      <c r="D777" s="337">
        <f t="shared" si="44"/>
        <v>455.98640283333299</v>
      </c>
      <c r="F777" s="338">
        <v>46241</v>
      </c>
      <c r="G777" s="339" t="s">
        <v>1520</v>
      </c>
      <c r="H777" s="339" t="s">
        <v>750</v>
      </c>
      <c r="I777" s="339" t="s">
        <v>1522</v>
      </c>
      <c r="J777" s="340">
        <v>455.98640283333299</v>
      </c>
      <c r="K777" s="341" t="str">
        <f t="shared" si="45"/>
        <v>1º registro</v>
      </c>
      <c r="L777" s="342" t="str">
        <f t="shared" si="46"/>
        <v/>
      </c>
      <c r="M777" s="339" t="s">
        <v>1523</v>
      </c>
      <c r="N777" s="343" t="str">
        <f t="shared" si="47"/>
        <v>PIG HLCC PC | PIG HLCC PC — MÉDIA (140-160 KG/M³) | DN 7''|46241</v>
      </c>
    </row>
    <row r="778" spans="2:14" x14ac:dyDescent="0.3">
      <c r="B778" s="335" t="s">
        <v>751</v>
      </c>
      <c r="C778" s="336" t="s">
        <v>1520</v>
      </c>
      <c r="D778" s="337">
        <f t="shared" si="44"/>
        <v>515.682003333333</v>
      </c>
      <c r="F778" s="338">
        <v>46241</v>
      </c>
      <c r="G778" s="339" t="s">
        <v>1520</v>
      </c>
      <c r="H778" s="339" t="s">
        <v>751</v>
      </c>
      <c r="I778" s="339" t="s">
        <v>1522</v>
      </c>
      <c r="J778" s="340">
        <v>515.682003333333</v>
      </c>
      <c r="K778" s="341" t="str">
        <f t="shared" si="45"/>
        <v>1º registro</v>
      </c>
      <c r="L778" s="342" t="str">
        <f t="shared" si="46"/>
        <v/>
      </c>
      <c r="M778" s="339" t="s">
        <v>1523</v>
      </c>
      <c r="N778" s="343" t="str">
        <f t="shared" si="47"/>
        <v>PIG HLCC PC | PIG HLCC PC — MÉDIA (140-160 KG/M³) | DN 8''|46241</v>
      </c>
    </row>
    <row r="779" spans="2:14" x14ac:dyDescent="0.3">
      <c r="B779" s="335" t="s">
        <v>752</v>
      </c>
      <c r="C779" s="336" t="s">
        <v>1520</v>
      </c>
      <c r="D779" s="337">
        <f t="shared" si="44"/>
        <v>633.85446833333299</v>
      </c>
      <c r="F779" s="338">
        <v>46241</v>
      </c>
      <c r="G779" s="339" t="s">
        <v>1520</v>
      </c>
      <c r="H779" s="339" t="s">
        <v>752</v>
      </c>
      <c r="I779" s="339" t="s">
        <v>1522</v>
      </c>
      <c r="J779" s="340">
        <v>633.85446833333299</v>
      </c>
      <c r="K779" s="341" t="str">
        <f t="shared" si="45"/>
        <v>1º registro</v>
      </c>
      <c r="L779" s="342" t="str">
        <f t="shared" si="46"/>
        <v/>
      </c>
      <c r="M779" s="339" t="s">
        <v>1523</v>
      </c>
      <c r="N779" s="343" t="str">
        <f t="shared" si="47"/>
        <v>PIG HLCC PC | PIG HLCC PC — MÉDIA (140-160 KG/M³) | DN 9,5''|46241</v>
      </c>
    </row>
    <row r="780" spans="2:14" x14ac:dyDescent="0.3">
      <c r="B780" s="335" t="s">
        <v>1592</v>
      </c>
      <c r="C780" s="336" t="s">
        <v>1521</v>
      </c>
      <c r="D780" s="337">
        <f t="shared" si="44"/>
        <v>144.702216666667</v>
      </c>
      <c r="F780" s="338">
        <v>46241</v>
      </c>
      <c r="G780" s="339" t="s">
        <v>1521</v>
      </c>
      <c r="H780" s="339" t="s">
        <v>1592</v>
      </c>
      <c r="I780" s="339" t="s">
        <v>1522</v>
      </c>
      <c r="J780" s="340">
        <v>144.702216666667</v>
      </c>
      <c r="K780" s="341" t="str">
        <f t="shared" si="45"/>
        <v>1º registro</v>
      </c>
      <c r="L780" s="342" t="str">
        <f t="shared" si="46"/>
        <v/>
      </c>
      <c r="M780" s="339" t="s">
        <v>1523</v>
      </c>
      <c r="N780" s="343" t="str">
        <f t="shared" si="47"/>
        <v>PU CAST DISCFLEX SD | Disco DISCFLEX SD em poliuretano fundido (MP + HH) | DN 2|46241</v>
      </c>
    </row>
    <row r="781" spans="2:14" x14ac:dyDescent="0.3">
      <c r="B781" s="335" t="s">
        <v>1593</v>
      </c>
      <c r="C781" s="336" t="s">
        <v>1521</v>
      </c>
      <c r="D781" s="337">
        <f t="shared" si="44"/>
        <v>153.943099166667</v>
      </c>
      <c r="F781" s="338">
        <v>46241</v>
      </c>
      <c r="G781" s="339" t="s">
        <v>1521</v>
      </c>
      <c r="H781" s="339" t="s">
        <v>1593</v>
      </c>
      <c r="I781" s="339" t="s">
        <v>1522</v>
      </c>
      <c r="J781" s="340">
        <v>153.943099166667</v>
      </c>
      <c r="K781" s="341" t="str">
        <f t="shared" si="45"/>
        <v>1º registro</v>
      </c>
      <c r="L781" s="342" t="str">
        <f t="shared" si="46"/>
        <v/>
      </c>
      <c r="M781" s="339" t="s">
        <v>1523</v>
      </c>
      <c r="N781" s="343" t="str">
        <f t="shared" si="47"/>
        <v>PU CAST DISCFLEX SD | Disco DISCFLEX SD em poliuretano fundido (MP + HH) | DN 3|46241</v>
      </c>
    </row>
    <row r="782" spans="2:14" x14ac:dyDescent="0.3">
      <c r="B782" s="335" t="s">
        <v>1594</v>
      </c>
      <c r="C782" s="336" t="s">
        <v>1521</v>
      </c>
      <c r="D782" s="337">
        <f t="shared" si="44"/>
        <v>172.826641666667</v>
      </c>
      <c r="F782" s="338">
        <v>46241</v>
      </c>
      <c r="G782" s="339" t="s">
        <v>1521</v>
      </c>
      <c r="H782" s="339" t="s">
        <v>1594</v>
      </c>
      <c r="I782" s="339" t="s">
        <v>1522</v>
      </c>
      <c r="J782" s="340">
        <v>172.826641666667</v>
      </c>
      <c r="K782" s="341" t="str">
        <f t="shared" si="45"/>
        <v>1º registro</v>
      </c>
      <c r="L782" s="342" t="str">
        <f t="shared" si="46"/>
        <v/>
      </c>
      <c r="M782" s="339" t="s">
        <v>1523</v>
      </c>
      <c r="N782" s="343" t="str">
        <f t="shared" si="47"/>
        <v>PU CAST DISCFLEX SD | Disco DISCFLEX SD em poliuretano fundido (MP + HH) | DN 4|46241</v>
      </c>
    </row>
    <row r="783" spans="2:14" x14ac:dyDescent="0.3">
      <c r="B783" s="335" t="s">
        <v>1595</v>
      </c>
      <c r="C783" s="336" t="s">
        <v>1521</v>
      </c>
      <c r="D783" s="337">
        <f t="shared" si="44"/>
        <v>173.22841916666701</v>
      </c>
      <c r="F783" s="338">
        <v>46241</v>
      </c>
      <c r="G783" s="339" t="s">
        <v>1521</v>
      </c>
      <c r="H783" s="339" t="s">
        <v>1595</v>
      </c>
      <c r="I783" s="339" t="s">
        <v>1522</v>
      </c>
      <c r="J783" s="340">
        <v>173.22841916666701</v>
      </c>
      <c r="K783" s="341" t="str">
        <f t="shared" si="45"/>
        <v>1º registro</v>
      </c>
      <c r="L783" s="342" t="str">
        <f t="shared" si="46"/>
        <v/>
      </c>
      <c r="M783" s="339" t="s">
        <v>1523</v>
      </c>
      <c r="N783" s="343" t="str">
        <f t="shared" si="47"/>
        <v>PU CAST DISCFLEX SD | Disco DISCFLEX SD em poliuretano fundido (MP + HH) | DN 4.25|46241</v>
      </c>
    </row>
    <row r="784" spans="2:14" x14ac:dyDescent="0.3">
      <c r="B784" s="335" t="s">
        <v>1596</v>
      </c>
      <c r="C784" s="336" t="s">
        <v>1521</v>
      </c>
      <c r="D784" s="337">
        <f t="shared" si="44"/>
        <v>225.05771666666701</v>
      </c>
      <c r="F784" s="338">
        <v>46241</v>
      </c>
      <c r="G784" s="339" t="s">
        <v>1521</v>
      </c>
      <c r="H784" s="339" t="s">
        <v>1596</v>
      </c>
      <c r="I784" s="339" t="s">
        <v>1522</v>
      </c>
      <c r="J784" s="340">
        <v>225.05771666666701</v>
      </c>
      <c r="K784" s="341" t="str">
        <f t="shared" si="45"/>
        <v>1º registro</v>
      </c>
      <c r="L784" s="342" t="str">
        <f t="shared" si="46"/>
        <v/>
      </c>
      <c r="M784" s="339" t="s">
        <v>1523</v>
      </c>
      <c r="N784" s="343" t="str">
        <f t="shared" si="47"/>
        <v>PU CAST DISCFLEX SD | Disco DISCFLEX SD em poliuretano fundido (MP + HH) | DN 5,74|46241</v>
      </c>
    </row>
    <row r="785" spans="2:14" x14ac:dyDescent="0.3">
      <c r="B785" s="335" t="s">
        <v>1597</v>
      </c>
      <c r="C785" s="336" t="s">
        <v>1521</v>
      </c>
      <c r="D785" s="337">
        <f t="shared" si="44"/>
        <v>462.10644166666702</v>
      </c>
      <c r="F785" s="338">
        <v>46241</v>
      </c>
      <c r="G785" s="339" t="s">
        <v>1521</v>
      </c>
      <c r="H785" s="339" t="s">
        <v>1597</v>
      </c>
      <c r="I785" s="339" t="s">
        <v>1522</v>
      </c>
      <c r="J785" s="340">
        <v>462.10644166666702</v>
      </c>
      <c r="K785" s="341" t="str">
        <f t="shared" si="45"/>
        <v>1º registro</v>
      </c>
      <c r="L785" s="342" t="str">
        <f t="shared" si="46"/>
        <v/>
      </c>
      <c r="M785" s="339" t="s">
        <v>1523</v>
      </c>
      <c r="N785" s="343" t="str">
        <f t="shared" si="47"/>
        <v>PU CAST DISCFLEX SD | Disco DISCFLEX SD em poliuretano fundido (MP + HH) | DN 8|46241</v>
      </c>
    </row>
    <row r="786" spans="2:14" x14ac:dyDescent="0.3">
      <c r="B786" s="335" t="s">
        <v>1598</v>
      </c>
      <c r="C786" s="336" t="s">
        <v>1521</v>
      </c>
      <c r="D786" s="337">
        <f t="shared" si="44"/>
        <v>602.72856666666598</v>
      </c>
      <c r="F786" s="338">
        <v>46241</v>
      </c>
      <c r="G786" s="339" t="s">
        <v>1521</v>
      </c>
      <c r="H786" s="339" t="s">
        <v>1598</v>
      </c>
      <c r="I786" s="339" t="s">
        <v>1522</v>
      </c>
      <c r="J786" s="340">
        <v>602.72856666666598</v>
      </c>
      <c r="K786" s="341" t="str">
        <f t="shared" si="45"/>
        <v>1º registro</v>
      </c>
      <c r="L786" s="342" t="str">
        <f t="shared" si="46"/>
        <v/>
      </c>
      <c r="M786" s="339" t="s">
        <v>1523</v>
      </c>
      <c r="N786" s="343" t="str">
        <f t="shared" si="47"/>
        <v>PU CAST DISCFLEX SD | Disco DISCFLEX SD em poliuretano fundido (MP + HH) | DN 11|46241</v>
      </c>
    </row>
    <row r="787" spans="2:14" x14ac:dyDescent="0.3">
      <c r="B787" s="335" t="s">
        <v>1599</v>
      </c>
      <c r="C787" s="336" t="s">
        <v>1521</v>
      </c>
      <c r="D787" s="337">
        <f t="shared" si="44"/>
        <v>158.76442916666699</v>
      </c>
      <c r="F787" s="338">
        <v>46241</v>
      </c>
      <c r="G787" s="339" t="s">
        <v>1521</v>
      </c>
      <c r="H787" s="339" t="s">
        <v>1599</v>
      </c>
      <c r="I787" s="339" t="s">
        <v>1522</v>
      </c>
      <c r="J787" s="340">
        <v>158.76442916666699</v>
      </c>
      <c r="K787" s="341" t="str">
        <f t="shared" si="45"/>
        <v>1º registro</v>
      </c>
      <c r="L787" s="342" t="str">
        <f t="shared" si="46"/>
        <v/>
      </c>
      <c r="M787" s="339" t="s">
        <v>1523</v>
      </c>
      <c r="N787" s="343" t="str">
        <f t="shared" si="47"/>
        <v>PU CAST DISCFLEX SDI | Disco DISCFLEX SDI em poliuretano fundido (MP + HH) | DN 3|46241</v>
      </c>
    </row>
    <row r="788" spans="2:14" x14ac:dyDescent="0.3">
      <c r="B788" s="335" t="s">
        <v>1600</v>
      </c>
      <c r="C788" s="336" t="s">
        <v>1521</v>
      </c>
      <c r="D788" s="337">
        <f t="shared" si="44"/>
        <v>156.755541666667</v>
      </c>
      <c r="F788" s="338">
        <v>46241</v>
      </c>
      <c r="G788" s="339" t="s">
        <v>1521</v>
      </c>
      <c r="H788" s="339" t="s">
        <v>1600</v>
      </c>
      <c r="I788" s="339" t="s">
        <v>1522</v>
      </c>
      <c r="J788" s="340">
        <v>156.755541666667</v>
      </c>
      <c r="K788" s="341" t="str">
        <f t="shared" si="45"/>
        <v>1º registro</v>
      </c>
      <c r="L788" s="342" t="str">
        <f t="shared" si="46"/>
        <v/>
      </c>
      <c r="M788" s="339" t="s">
        <v>1523</v>
      </c>
      <c r="N788" s="343" t="str">
        <f t="shared" si="47"/>
        <v>PU CAST DISCFLEX SDI | Disco DISCFLEX SDI em poliuretano fundido (MP + HH) | DN 3.5|46241</v>
      </c>
    </row>
    <row r="789" spans="2:14" x14ac:dyDescent="0.3">
      <c r="B789" s="335" t="s">
        <v>1601</v>
      </c>
      <c r="C789" s="336" t="s">
        <v>1521</v>
      </c>
      <c r="D789" s="337">
        <f t="shared" si="44"/>
        <v>165.03215816666699</v>
      </c>
      <c r="F789" s="338">
        <v>46241</v>
      </c>
      <c r="G789" s="339" t="s">
        <v>1521</v>
      </c>
      <c r="H789" s="339" t="s">
        <v>1601</v>
      </c>
      <c r="I789" s="339" t="s">
        <v>1522</v>
      </c>
      <c r="J789" s="340">
        <v>165.03215816666699</v>
      </c>
      <c r="K789" s="341" t="str">
        <f t="shared" si="45"/>
        <v>1º registro</v>
      </c>
      <c r="L789" s="342" t="str">
        <f t="shared" si="46"/>
        <v/>
      </c>
      <c r="M789" s="339" t="s">
        <v>1523</v>
      </c>
      <c r="N789" s="343" t="str">
        <f t="shared" si="47"/>
        <v>PU CAST DISCFLEX SDI | Disco DISCFLEX SDI em poliuretano fundido (MP + HH) | DN 4,17|46241</v>
      </c>
    </row>
    <row r="790" spans="2:14" x14ac:dyDescent="0.3">
      <c r="B790" s="335" t="s">
        <v>1602</v>
      </c>
      <c r="C790" s="336" t="s">
        <v>1521</v>
      </c>
      <c r="D790" s="337">
        <f t="shared" ref="D790:D831" si="48">IF($B790="","",IFERROR(INDEX($J$21:$J$1200,MATCH($B790&amp;"|"&amp;TEXT(_xlfn.MAXIFS($F$21:$F$1200,$H$21:$H$1200,$B790,$F$21:$F$1200,"&lt;="&amp;EOMONTH(D$20,0)),"0"),$N$21:$N$1200,0)),"-"))</f>
        <v>186.88885416666699</v>
      </c>
      <c r="F790" s="338">
        <v>46241</v>
      </c>
      <c r="G790" s="339" t="s">
        <v>1521</v>
      </c>
      <c r="H790" s="339" t="s">
        <v>1602</v>
      </c>
      <c r="I790" s="339" t="s">
        <v>1522</v>
      </c>
      <c r="J790" s="340">
        <v>186.88885416666699</v>
      </c>
      <c r="K790" s="341" t="str">
        <f t="shared" ref="K790:K831" si="49">IF($H790="","",IFERROR(INDEX($J$21:$J$1200,MATCH($H790&amp;"|"&amp;TEXT(_xlfn.MAXIFS($F$21:$F$1200,$H$21:$H$1200,$H790,$F$21:$F$1200,"&lt;"&amp;$F790),"0"),$N$21:$N$1200,0)),"1º registro"))</f>
        <v>1º registro</v>
      </c>
      <c r="L790" s="342" t="str">
        <f t="shared" ref="L790:L831" si="50">IF(OR($H790="",$K790="1º registro"),"",IFERROR(($J790-$K790)/$K790,""))</f>
        <v/>
      </c>
      <c r="M790" s="339" t="s">
        <v>1523</v>
      </c>
      <c r="N790" s="343" t="str">
        <f t="shared" ref="N790:N831" si="51">IF($H790="","",$H790&amp;"|"&amp;TEXT($F790,"0"))</f>
        <v>PU CAST DISCFLEX SDI | Disco DISCFLEX SDI em poliuretano fundido (MP + HH) | DN 4,25|46241</v>
      </c>
    </row>
    <row r="791" spans="2:14" x14ac:dyDescent="0.3">
      <c r="B791" s="335" t="s">
        <v>1603</v>
      </c>
      <c r="C791" s="336" t="s">
        <v>1521</v>
      </c>
      <c r="D791" s="337">
        <f t="shared" si="48"/>
        <v>173.63019666666699</v>
      </c>
      <c r="F791" s="338">
        <v>46241</v>
      </c>
      <c r="G791" s="339" t="s">
        <v>1521</v>
      </c>
      <c r="H791" s="339" t="s">
        <v>1603</v>
      </c>
      <c r="I791" s="339" t="s">
        <v>1522</v>
      </c>
      <c r="J791" s="340">
        <v>173.63019666666699</v>
      </c>
      <c r="K791" s="341" t="str">
        <f t="shared" si="49"/>
        <v>1º registro</v>
      </c>
      <c r="L791" s="342" t="str">
        <f t="shared" si="50"/>
        <v/>
      </c>
      <c r="M791" s="339" t="s">
        <v>1523</v>
      </c>
      <c r="N791" s="343" t="str">
        <f t="shared" si="51"/>
        <v>PU CAST DISCFLEX SDI | Disco DISCFLEX SDI em poliuretano fundido (MP + HH) | DN 4,4|46241</v>
      </c>
    </row>
    <row r="792" spans="2:14" x14ac:dyDescent="0.3">
      <c r="B792" s="335" t="s">
        <v>1604</v>
      </c>
      <c r="C792" s="336" t="s">
        <v>1521</v>
      </c>
      <c r="D792" s="337">
        <f t="shared" si="48"/>
        <v>241.12881666666701</v>
      </c>
      <c r="F792" s="338">
        <v>46241</v>
      </c>
      <c r="G792" s="339" t="s">
        <v>1521</v>
      </c>
      <c r="H792" s="339" t="s">
        <v>1604</v>
      </c>
      <c r="I792" s="339" t="s">
        <v>1522</v>
      </c>
      <c r="J792" s="340">
        <v>241.12881666666701</v>
      </c>
      <c r="K792" s="341" t="str">
        <f t="shared" si="49"/>
        <v>1º registro</v>
      </c>
      <c r="L792" s="342" t="str">
        <f t="shared" si="50"/>
        <v/>
      </c>
      <c r="M792" s="339" t="s">
        <v>1523</v>
      </c>
      <c r="N792" s="343" t="str">
        <f t="shared" si="51"/>
        <v>PU CAST DISCFLEX SDI | Disco DISCFLEX SDI em poliuretano fundido (MP + HH) | DN 6,37|46241</v>
      </c>
    </row>
    <row r="793" spans="2:14" x14ac:dyDescent="0.3">
      <c r="B793" s="335" t="s">
        <v>1605</v>
      </c>
      <c r="C793" s="336" t="s">
        <v>1521</v>
      </c>
      <c r="D793" s="337">
        <f t="shared" si="48"/>
        <v>137.67129916666701</v>
      </c>
      <c r="F793" s="338">
        <v>46241</v>
      </c>
      <c r="G793" s="339" t="s">
        <v>1521</v>
      </c>
      <c r="H793" s="339" t="s">
        <v>1605</v>
      </c>
      <c r="I793" s="339" t="s">
        <v>1522</v>
      </c>
      <c r="J793" s="340">
        <v>137.67129916666701</v>
      </c>
      <c r="K793" s="341" t="str">
        <f t="shared" si="49"/>
        <v>1º registro</v>
      </c>
      <c r="L793" s="342" t="str">
        <f t="shared" si="50"/>
        <v/>
      </c>
      <c r="M793" s="339" t="s">
        <v>1523</v>
      </c>
      <c r="N793" s="343" t="str">
        <f t="shared" si="51"/>
        <v>PU CAST COPO CONICO | Copo cônico em poliuretano fundido (MP + HH) | DN 2”|46241</v>
      </c>
    </row>
    <row r="794" spans="2:14" x14ac:dyDescent="0.3">
      <c r="B794" s="335" t="s">
        <v>1606</v>
      </c>
      <c r="C794" s="336" t="s">
        <v>1521</v>
      </c>
      <c r="D794" s="337">
        <f t="shared" si="48"/>
        <v>15.675931666666701</v>
      </c>
      <c r="F794" s="338">
        <v>46241</v>
      </c>
      <c r="G794" s="339" t="s">
        <v>1521</v>
      </c>
      <c r="H794" s="339" t="s">
        <v>1606</v>
      </c>
      <c r="I794" s="339" t="s">
        <v>1522</v>
      </c>
      <c r="J794" s="340">
        <v>15.675931666666701</v>
      </c>
      <c r="K794" s="341" t="str">
        <f t="shared" si="49"/>
        <v>1º registro</v>
      </c>
      <c r="L794" s="342" t="str">
        <f t="shared" si="50"/>
        <v/>
      </c>
      <c r="M794" s="339" t="s">
        <v>1523</v>
      </c>
      <c r="N794" s="343" t="str">
        <f t="shared" si="51"/>
        <v>PU CAST COPO CONICO | Copo cônico em poliuretano fundido (MP + HH) | DN 3”|46241</v>
      </c>
    </row>
    <row r="795" spans="2:14" x14ac:dyDescent="0.3">
      <c r="B795" s="335" t="s">
        <v>1607</v>
      </c>
      <c r="C795" s="336" t="s">
        <v>1521</v>
      </c>
      <c r="D795" s="337">
        <f t="shared" si="48"/>
        <v>17.0154416666667</v>
      </c>
      <c r="F795" s="338">
        <v>46241</v>
      </c>
      <c r="G795" s="339" t="s">
        <v>1521</v>
      </c>
      <c r="H795" s="339" t="s">
        <v>1607</v>
      </c>
      <c r="I795" s="339" t="s">
        <v>1522</v>
      </c>
      <c r="J795" s="340">
        <v>17.0154416666667</v>
      </c>
      <c r="K795" s="341" t="str">
        <f t="shared" si="49"/>
        <v>1º registro</v>
      </c>
      <c r="L795" s="342" t="str">
        <f t="shared" si="50"/>
        <v/>
      </c>
      <c r="M795" s="339" t="s">
        <v>1523</v>
      </c>
      <c r="N795" s="343" t="str">
        <f t="shared" si="51"/>
        <v>PU CAST COPO CONICO | Copo cônico em poliuretano fundido (MP + HH) | DN 4”|46241</v>
      </c>
    </row>
    <row r="796" spans="2:14" x14ac:dyDescent="0.3">
      <c r="B796" s="335" t="s">
        <v>1608</v>
      </c>
      <c r="C796" s="336" t="s">
        <v>1521</v>
      </c>
      <c r="D796" s="337">
        <f t="shared" si="48"/>
        <v>150.06176666666701</v>
      </c>
      <c r="F796" s="338">
        <v>46241</v>
      </c>
      <c r="G796" s="339" t="s">
        <v>1521</v>
      </c>
      <c r="H796" s="339" t="s">
        <v>1608</v>
      </c>
      <c r="I796" s="339" t="s">
        <v>1522</v>
      </c>
      <c r="J796" s="340">
        <v>150.06176666666701</v>
      </c>
      <c r="K796" s="341" t="str">
        <f t="shared" si="49"/>
        <v>1º registro</v>
      </c>
      <c r="L796" s="342" t="str">
        <f t="shared" si="50"/>
        <v/>
      </c>
      <c r="M796" s="339" t="s">
        <v>1523</v>
      </c>
      <c r="N796" s="343" t="str">
        <f t="shared" si="51"/>
        <v>PU CAST COPO CONICO | Copo cônico em poliuretano fundido (MP + HH) | DN 6”|46241</v>
      </c>
    </row>
    <row r="797" spans="2:14" x14ac:dyDescent="0.3">
      <c r="B797" s="335" t="s">
        <v>1609</v>
      </c>
      <c r="C797" s="336" t="s">
        <v>1521</v>
      </c>
      <c r="D797" s="337">
        <f t="shared" si="48"/>
        <v>163.456866666667</v>
      </c>
      <c r="F797" s="338">
        <v>46241</v>
      </c>
      <c r="G797" s="339" t="s">
        <v>1521</v>
      </c>
      <c r="H797" s="339" t="s">
        <v>1609</v>
      </c>
      <c r="I797" s="339" t="s">
        <v>1522</v>
      </c>
      <c r="J797" s="340">
        <v>163.456866666667</v>
      </c>
      <c r="K797" s="341" t="str">
        <f t="shared" si="49"/>
        <v>1º registro</v>
      </c>
      <c r="L797" s="342" t="str">
        <f t="shared" si="50"/>
        <v/>
      </c>
      <c r="M797" s="339" t="s">
        <v>1523</v>
      </c>
      <c r="N797" s="343" t="str">
        <f t="shared" si="51"/>
        <v>PU CAST COPO CONICO | Copo cônico em poliuretano fundido (MP + HH) | DN 8”|46241</v>
      </c>
    </row>
    <row r="798" spans="2:14" x14ac:dyDescent="0.3">
      <c r="B798" s="335" t="s">
        <v>1610</v>
      </c>
      <c r="C798" s="336" t="s">
        <v>1521</v>
      </c>
      <c r="D798" s="337">
        <f t="shared" si="48"/>
        <v>186.89829166666701</v>
      </c>
      <c r="F798" s="338">
        <v>46241</v>
      </c>
      <c r="G798" s="339" t="s">
        <v>1521</v>
      </c>
      <c r="H798" s="339" t="s">
        <v>1610</v>
      </c>
      <c r="I798" s="339" t="s">
        <v>1522</v>
      </c>
      <c r="J798" s="340">
        <v>186.89829166666701</v>
      </c>
      <c r="K798" s="341" t="str">
        <f t="shared" si="49"/>
        <v>1º registro</v>
      </c>
      <c r="L798" s="342" t="str">
        <f t="shared" si="50"/>
        <v/>
      </c>
      <c r="M798" s="339" t="s">
        <v>1523</v>
      </c>
      <c r="N798" s="343" t="str">
        <f t="shared" si="51"/>
        <v>PU CAST COPO CONICO | Copo cônico em poliuretano fundido (MP + HH) | DN 10”|46241</v>
      </c>
    </row>
    <row r="799" spans="2:14" x14ac:dyDescent="0.3">
      <c r="B799" s="335" t="s">
        <v>1611</v>
      </c>
      <c r="C799" s="336" t="s">
        <v>1521</v>
      </c>
      <c r="D799" s="337">
        <f t="shared" si="48"/>
        <v>227.08359166666699</v>
      </c>
      <c r="F799" s="338">
        <v>46241</v>
      </c>
      <c r="G799" s="339" t="s">
        <v>1521</v>
      </c>
      <c r="H799" s="339" t="s">
        <v>1611</v>
      </c>
      <c r="I799" s="339" t="s">
        <v>1522</v>
      </c>
      <c r="J799" s="340">
        <v>227.08359166666699</v>
      </c>
      <c r="K799" s="341" t="str">
        <f t="shared" si="49"/>
        <v>1º registro</v>
      </c>
      <c r="L799" s="342" t="str">
        <f t="shared" si="50"/>
        <v/>
      </c>
      <c r="M799" s="339" t="s">
        <v>1523</v>
      </c>
      <c r="N799" s="343" t="str">
        <f t="shared" si="51"/>
        <v>PU CAST COPO CONICO | Copo cônico em poliuretano fundido (MP + HH) | DN 12"|46241</v>
      </c>
    </row>
    <row r="800" spans="2:14" x14ac:dyDescent="0.3">
      <c r="B800" s="335" t="s">
        <v>1612</v>
      </c>
      <c r="C800" s="336" t="s">
        <v>1521</v>
      </c>
      <c r="D800" s="337">
        <f t="shared" si="48"/>
        <v>233.781141666667</v>
      </c>
      <c r="F800" s="338">
        <v>46241</v>
      </c>
      <c r="G800" s="339" t="s">
        <v>1521</v>
      </c>
      <c r="H800" s="339" t="s">
        <v>1612</v>
      </c>
      <c r="I800" s="339" t="s">
        <v>1522</v>
      </c>
      <c r="J800" s="340">
        <v>233.781141666667</v>
      </c>
      <c r="K800" s="341" t="str">
        <f t="shared" si="49"/>
        <v>1º registro</v>
      </c>
      <c r="L800" s="342" t="str">
        <f t="shared" si="50"/>
        <v/>
      </c>
      <c r="M800" s="339" t="s">
        <v>1523</v>
      </c>
      <c r="N800" s="343" t="str">
        <f t="shared" si="51"/>
        <v>PU CAST COPO CONICO | Copo cônico em poliuretano fundido (MP + HH) | DN 14”|46241</v>
      </c>
    </row>
    <row r="801" spans="2:14" x14ac:dyDescent="0.3">
      <c r="B801" s="335" t="s">
        <v>1613</v>
      </c>
      <c r="C801" s="336" t="s">
        <v>1521</v>
      </c>
      <c r="D801" s="337">
        <f t="shared" si="48"/>
        <v>330.89561666666702</v>
      </c>
      <c r="F801" s="338">
        <v>46241</v>
      </c>
      <c r="G801" s="339" t="s">
        <v>1521</v>
      </c>
      <c r="H801" s="339" t="s">
        <v>1613</v>
      </c>
      <c r="I801" s="339" t="s">
        <v>1522</v>
      </c>
      <c r="J801" s="340">
        <v>330.89561666666702</v>
      </c>
      <c r="K801" s="341" t="str">
        <f t="shared" si="49"/>
        <v>1º registro</v>
      </c>
      <c r="L801" s="342" t="str">
        <f t="shared" si="50"/>
        <v/>
      </c>
      <c r="M801" s="339" t="s">
        <v>1523</v>
      </c>
      <c r="N801" s="343" t="str">
        <f t="shared" si="51"/>
        <v>PU CAST COPO CONICO | Copo cônico em poliuretano fundido (MP + HH) | DN 16”|46241</v>
      </c>
    </row>
    <row r="802" spans="2:14" x14ac:dyDescent="0.3">
      <c r="B802" s="335" t="s">
        <v>1614</v>
      </c>
      <c r="C802" s="336" t="s">
        <v>1521</v>
      </c>
      <c r="D802" s="337">
        <f t="shared" si="48"/>
        <v>350.98826666666702</v>
      </c>
      <c r="F802" s="338">
        <v>46241</v>
      </c>
      <c r="G802" s="339" t="s">
        <v>1521</v>
      </c>
      <c r="H802" s="339" t="s">
        <v>1614</v>
      </c>
      <c r="I802" s="339" t="s">
        <v>1522</v>
      </c>
      <c r="J802" s="340">
        <v>350.98826666666702</v>
      </c>
      <c r="K802" s="341" t="str">
        <f t="shared" si="49"/>
        <v>1º registro</v>
      </c>
      <c r="L802" s="342" t="str">
        <f t="shared" si="50"/>
        <v/>
      </c>
      <c r="M802" s="339" t="s">
        <v>1523</v>
      </c>
      <c r="N802" s="343" t="str">
        <f t="shared" si="51"/>
        <v>PU CAST COPO CONICO | Copo cônico em poliuretano fundido (MP + HH) | DN 18”|46241</v>
      </c>
    </row>
    <row r="803" spans="2:14" x14ac:dyDescent="0.3">
      <c r="B803" s="335" t="s">
        <v>1615</v>
      </c>
      <c r="C803" s="336" t="s">
        <v>1521</v>
      </c>
      <c r="D803" s="337">
        <f t="shared" si="48"/>
        <v>414.61499166666698</v>
      </c>
      <c r="F803" s="338">
        <v>46241</v>
      </c>
      <c r="G803" s="339" t="s">
        <v>1521</v>
      </c>
      <c r="H803" s="339" t="s">
        <v>1615</v>
      </c>
      <c r="I803" s="339" t="s">
        <v>1522</v>
      </c>
      <c r="J803" s="340">
        <v>414.61499166666698</v>
      </c>
      <c r="K803" s="341" t="str">
        <f t="shared" si="49"/>
        <v>1º registro</v>
      </c>
      <c r="L803" s="342" t="str">
        <f t="shared" si="50"/>
        <v/>
      </c>
      <c r="M803" s="339" t="s">
        <v>1523</v>
      </c>
      <c r="N803" s="343" t="str">
        <f t="shared" si="51"/>
        <v>PU CAST COPO CONICO | Copo cônico em poliuretano fundido (MP + HH) | DN 20”|46241</v>
      </c>
    </row>
    <row r="804" spans="2:14" x14ac:dyDescent="0.3">
      <c r="B804" s="335" t="s">
        <v>1616</v>
      </c>
      <c r="C804" s="336" t="s">
        <v>1521</v>
      </c>
      <c r="D804" s="337">
        <f t="shared" si="48"/>
        <v>535.17089166666699</v>
      </c>
      <c r="F804" s="338">
        <v>46241</v>
      </c>
      <c r="G804" s="339" t="s">
        <v>1521</v>
      </c>
      <c r="H804" s="339" t="s">
        <v>1616</v>
      </c>
      <c r="I804" s="339" t="s">
        <v>1522</v>
      </c>
      <c r="J804" s="340">
        <v>535.17089166666699</v>
      </c>
      <c r="K804" s="341" t="str">
        <f t="shared" si="49"/>
        <v>1º registro</v>
      </c>
      <c r="L804" s="342" t="str">
        <f t="shared" si="50"/>
        <v/>
      </c>
      <c r="M804" s="339" t="s">
        <v>1523</v>
      </c>
      <c r="N804" s="343" t="str">
        <f t="shared" si="51"/>
        <v>PU CAST COPO CONICO | Copo cônico em poliuretano fundido (MP + HH) | DN 22”|46241</v>
      </c>
    </row>
    <row r="805" spans="2:14" x14ac:dyDescent="0.3">
      <c r="B805" s="335" t="s">
        <v>1617</v>
      </c>
      <c r="C805" s="336" t="s">
        <v>1521</v>
      </c>
      <c r="D805" s="337">
        <f t="shared" si="48"/>
        <v>545.21721666666701</v>
      </c>
      <c r="F805" s="338">
        <v>46241</v>
      </c>
      <c r="G805" s="339" t="s">
        <v>1521</v>
      </c>
      <c r="H805" s="339" t="s">
        <v>1617</v>
      </c>
      <c r="I805" s="339" t="s">
        <v>1522</v>
      </c>
      <c r="J805" s="340">
        <v>545.21721666666701</v>
      </c>
      <c r="K805" s="341" t="str">
        <f t="shared" si="49"/>
        <v>1º registro</v>
      </c>
      <c r="L805" s="342" t="str">
        <f t="shared" si="50"/>
        <v/>
      </c>
      <c r="M805" s="339" t="s">
        <v>1523</v>
      </c>
      <c r="N805" s="343" t="str">
        <f t="shared" si="51"/>
        <v>PU CAST COPO CONICO | Copo cônico em poliuretano fundido (MP + HH) | DN 24”|46241</v>
      </c>
    </row>
    <row r="806" spans="2:14" x14ac:dyDescent="0.3">
      <c r="B806" s="335" t="s">
        <v>1618</v>
      </c>
      <c r="C806" s="336" t="s">
        <v>1521</v>
      </c>
      <c r="D806" s="337">
        <f t="shared" si="48"/>
        <v>823.16554166666697</v>
      </c>
      <c r="F806" s="338">
        <v>46241</v>
      </c>
      <c r="G806" s="339" t="s">
        <v>1521</v>
      </c>
      <c r="H806" s="339" t="s">
        <v>1618</v>
      </c>
      <c r="I806" s="339" t="s">
        <v>1522</v>
      </c>
      <c r="J806" s="340">
        <v>823.16554166666697</v>
      </c>
      <c r="K806" s="341" t="str">
        <f t="shared" si="49"/>
        <v>1º registro</v>
      </c>
      <c r="L806" s="342" t="str">
        <f t="shared" si="50"/>
        <v/>
      </c>
      <c r="M806" s="339" t="s">
        <v>1523</v>
      </c>
      <c r="N806" s="343" t="str">
        <f t="shared" si="51"/>
        <v>PU CAST COPO CONICO | Copo cônico em poliuretano fundido (MP + HH) | DN 26”|46241</v>
      </c>
    </row>
    <row r="807" spans="2:14" x14ac:dyDescent="0.3">
      <c r="B807" s="335" t="s">
        <v>1619</v>
      </c>
      <c r="C807" s="336" t="s">
        <v>1521</v>
      </c>
      <c r="D807" s="337">
        <f t="shared" si="48"/>
        <v>973.86041666666699</v>
      </c>
      <c r="F807" s="338">
        <v>46241</v>
      </c>
      <c r="G807" s="339" t="s">
        <v>1521</v>
      </c>
      <c r="H807" s="339" t="s">
        <v>1619</v>
      </c>
      <c r="I807" s="339" t="s">
        <v>1522</v>
      </c>
      <c r="J807" s="340">
        <v>973.86041666666699</v>
      </c>
      <c r="K807" s="341" t="str">
        <f t="shared" si="49"/>
        <v>1º registro</v>
      </c>
      <c r="L807" s="342" t="str">
        <f t="shared" si="50"/>
        <v/>
      </c>
      <c r="M807" s="339" t="s">
        <v>1523</v>
      </c>
      <c r="N807" s="343" t="str">
        <f t="shared" si="51"/>
        <v>PU CAST COPO CONICO | Copo cônico em poliuretano fundido (MP + HH) | DN 28”|46241</v>
      </c>
    </row>
    <row r="808" spans="2:14" x14ac:dyDescent="0.3">
      <c r="B808" s="335" t="s">
        <v>1620</v>
      </c>
      <c r="C808" s="336" t="s">
        <v>1521</v>
      </c>
      <c r="D808" s="337">
        <f t="shared" si="48"/>
        <v>1107.8114166666701</v>
      </c>
      <c r="F808" s="338">
        <v>46241</v>
      </c>
      <c r="G808" s="339" t="s">
        <v>1521</v>
      </c>
      <c r="H808" s="339" t="s">
        <v>1620</v>
      </c>
      <c r="I808" s="339" t="s">
        <v>1522</v>
      </c>
      <c r="J808" s="340">
        <v>1107.8114166666701</v>
      </c>
      <c r="K808" s="341" t="str">
        <f t="shared" si="49"/>
        <v>1º registro</v>
      </c>
      <c r="L808" s="342" t="str">
        <f t="shared" si="50"/>
        <v/>
      </c>
      <c r="M808" s="339" t="s">
        <v>1523</v>
      </c>
      <c r="N808" s="343" t="str">
        <f t="shared" si="51"/>
        <v>PU CAST COPO CONICO | Copo cônico em poliuretano fundido (MP + HH) | DN 30''|46241</v>
      </c>
    </row>
    <row r="809" spans="2:14" x14ac:dyDescent="0.3">
      <c r="B809" s="335" t="s">
        <v>1621</v>
      </c>
      <c r="C809" s="336" t="s">
        <v>1521</v>
      </c>
      <c r="D809" s="337">
        <f t="shared" si="48"/>
        <v>2145.93166666667</v>
      </c>
      <c r="F809" s="338">
        <v>46241</v>
      </c>
      <c r="G809" s="339" t="s">
        <v>1521</v>
      </c>
      <c r="H809" s="339" t="s">
        <v>1621</v>
      </c>
      <c r="I809" s="339" t="s">
        <v>1522</v>
      </c>
      <c r="J809" s="340">
        <v>2145.93166666667</v>
      </c>
      <c r="K809" s="341" t="str">
        <f t="shared" si="49"/>
        <v>1º registro</v>
      </c>
      <c r="L809" s="342" t="str">
        <f t="shared" si="50"/>
        <v/>
      </c>
      <c r="M809" s="339" t="s">
        <v>1523</v>
      </c>
      <c r="N809" s="343" t="str">
        <f t="shared" si="51"/>
        <v>PU CAST COPO CONICO | Copo cônico em poliuretano fundido (MP + HH) | DN 32''|46241</v>
      </c>
    </row>
    <row r="810" spans="2:14" x14ac:dyDescent="0.3">
      <c r="B810" s="335" t="s">
        <v>1622</v>
      </c>
      <c r="C810" s="336" t="s">
        <v>1521</v>
      </c>
      <c r="D810" s="337">
        <f t="shared" si="48"/>
        <v>2112.4439166666698</v>
      </c>
      <c r="F810" s="338">
        <v>46241</v>
      </c>
      <c r="G810" s="339" t="s">
        <v>1521</v>
      </c>
      <c r="H810" s="339" t="s">
        <v>1622</v>
      </c>
      <c r="I810" s="339" t="s">
        <v>1522</v>
      </c>
      <c r="J810" s="340">
        <v>2112.4439166666698</v>
      </c>
      <c r="K810" s="341" t="str">
        <f t="shared" si="49"/>
        <v>1º registro</v>
      </c>
      <c r="L810" s="342" t="str">
        <f t="shared" si="50"/>
        <v/>
      </c>
      <c r="M810" s="339" t="s">
        <v>1523</v>
      </c>
      <c r="N810" s="343" t="str">
        <f t="shared" si="51"/>
        <v>PU CAST COPO CONICO | Copo cônico em poliuretano fundido (MP + HH) | DN 34''|46241</v>
      </c>
    </row>
    <row r="811" spans="2:14" x14ac:dyDescent="0.3">
      <c r="B811" s="335" t="s">
        <v>1623</v>
      </c>
      <c r="C811" s="336" t="s">
        <v>1521</v>
      </c>
      <c r="D811" s="337">
        <f t="shared" si="48"/>
        <v>1945.00516666667</v>
      </c>
      <c r="F811" s="338">
        <v>46241</v>
      </c>
      <c r="G811" s="339" t="s">
        <v>1521</v>
      </c>
      <c r="H811" s="339" t="s">
        <v>1623</v>
      </c>
      <c r="I811" s="339" t="s">
        <v>1522</v>
      </c>
      <c r="J811" s="340">
        <v>1945.00516666667</v>
      </c>
      <c r="K811" s="341" t="str">
        <f t="shared" si="49"/>
        <v>1º registro</v>
      </c>
      <c r="L811" s="342" t="str">
        <f t="shared" si="50"/>
        <v/>
      </c>
      <c r="M811" s="339" t="s">
        <v>1523</v>
      </c>
      <c r="N811" s="343" t="str">
        <f t="shared" si="51"/>
        <v>PU CAST COPO CONICO | Copo cônico em poliuretano fundido (MP + HH) | DN 36''|46241</v>
      </c>
    </row>
    <row r="812" spans="2:14" x14ac:dyDescent="0.3">
      <c r="B812" s="335" t="s">
        <v>1624</v>
      </c>
      <c r="C812" s="336" t="s">
        <v>1521</v>
      </c>
      <c r="D812" s="337">
        <f t="shared" si="48"/>
        <v>2145.93166666667</v>
      </c>
      <c r="F812" s="338">
        <v>46241</v>
      </c>
      <c r="G812" s="339" t="s">
        <v>1521</v>
      </c>
      <c r="H812" s="339" t="s">
        <v>1624</v>
      </c>
      <c r="I812" s="339" t="s">
        <v>1522</v>
      </c>
      <c r="J812" s="340">
        <v>2145.93166666667</v>
      </c>
      <c r="K812" s="341" t="str">
        <f t="shared" si="49"/>
        <v>1º registro</v>
      </c>
      <c r="L812" s="342" t="str">
        <f t="shared" si="50"/>
        <v/>
      </c>
      <c r="M812" s="339" t="s">
        <v>1523</v>
      </c>
      <c r="N812" s="343" t="str">
        <f t="shared" si="51"/>
        <v>PU CAST COPO CONICO | Copo cônico em poliuretano fundido (MP + HH) | DN 38''|46241</v>
      </c>
    </row>
    <row r="813" spans="2:14" x14ac:dyDescent="0.3">
      <c r="B813" s="335" t="s">
        <v>1625</v>
      </c>
      <c r="C813" s="336" t="s">
        <v>1521</v>
      </c>
      <c r="D813" s="337">
        <f t="shared" si="48"/>
        <v>2283.2772500000001</v>
      </c>
      <c r="F813" s="338">
        <v>46241</v>
      </c>
      <c r="G813" s="339" t="s">
        <v>1521</v>
      </c>
      <c r="H813" s="339" t="s">
        <v>1625</v>
      </c>
      <c r="I813" s="339" t="s">
        <v>1522</v>
      </c>
      <c r="J813" s="340">
        <v>2283.2772500000001</v>
      </c>
      <c r="K813" s="341" t="str">
        <f t="shared" si="49"/>
        <v>1º registro</v>
      </c>
      <c r="L813" s="342" t="str">
        <f t="shared" si="50"/>
        <v/>
      </c>
      <c r="M813" s="339" t="s">
        <v>1523</v>
      </c>
      <c r="N813" s="343" t="str">
        <f t="shared" si="51"/>
        <v>PU CAST COPO CONICO | Copo cônico em poliuretano fundido (MP + HH) | DN 40”|46241</v>
      </c>
    </row>
    <row r="814" spans="2:14" x14ac:dyDescent="0.3">
      <c r="B814" s="335" t="s">
        <v>1626</v>
      </c>
      <c r="C814" s="336" t="s">
        <v>1521</v>
      </c>
      <c r="D814" s="337">
        <f t="shared" si="48"/>
        <v>2115.8384999999998</v>
      </c>
      <c r="F814" s="338">
        <v>46241</v>
      </c>
      <c r="G814" s="339" t="s">
        <v>1521</v>
      </c>
      <c r="H814" s="339" t="s">
        <v>1626</v>
      </c>
      <c r="I814" s="339" t="s">
        <v>1522</v>
      </c>
      <c r="J814" s="340">
        <v>2115.8384999999998</v>
      </c>
      <c r="K814" s="341" t="str">
        <f t="shared" si="49"/>
        <v>1º registro</v>
      </c>
      <c r="L814" s="342" t="str">
        <f t="shared" si="50"/>
        <v/>
      </c>
      <c r="M814" s="339" t="s">
        <v>1523</v>
      </c>
      <c r="N814" s="343" t="str">
        <f t="shared" si="51"/>
        <v>PU CAST COPO CONICO | Copo cônico em poliuretano fundido (MP + HH) | DN 42”|46241</v>
      </c>
    </row>
    <row r="815" spans="2:14" x14ac:dyDescent="0.3">
      <c r="B815" s="335" t="s">
        <v>1627</v>
      </c>
      <c r="C815" s="336" t="s">
        <v>1521</v>
      </c>
      <c r="D815" s="337">
        <f t="shared" si="48"/>
        <v>2383.7404999999999</v>
      </c>
      <c r="F815" s="338">
        <v>46241</v>
      </c>
      <c r="G815" s="339" t="s">
        <v>1521</v>
      </c>
      <c r="H815" s="339" t="s">
        <v>1627</v>
      </c>
      <c r="I815" s="339" t="s">
        <v>1522</v>
      </c>
      <c r="J815" s="340">
        <v>2383.7404999999999</v>
      </c>
      <c r="K815" s="341" t="str">
        <f t="shared" si="49"/>
        <v>1º registro</v>
      </c>
      <c r="L815" s="342" t="str">
        <f t="shared" si="50"/>
        <v/>
      </c>
      <c r="M815" s="339" t="s">
        <v>1523</v>
      </c>
      <c r="N815" s="343" t="str">
        <f t="shared" si="51"/>
        <v>PU CAST COPO CONICO | Copo cônico em poliuretano fundido (MP + HH) | DN 46''|46241</v>
      </c>
    </row>
    <row r="816" spans="2:14" x14ac:dyDescent="0.3">
      <c r="B816" s="335" t="s">
        <v>1628</v>
      </c>
      <c r="C816" s="336" t="s">
        <v>1521</v>
      </c>
      <c r="D816" s="337">
        <f t="shared" si="48"/>
        <v>155.19639900000001</v>
      </c>
      <c r="F816" s="338">
        <v>46241</v>
      </c>
      <c r="G816" s="339" t="s">
        <v>1521</v>
      </c>
      <c r="H816" s="339" t="s">
        <v>1628</v>
      </c>
      <c r="I816" s="339" t="s">
        <v>1522</v>
      </c>
      <c r="J816" s="340">
        <v>155.19639900000001</v>
      </c>
      <c r="K816" s="341" t="str">
        <f t="shared" si="49"/>
        <v>1º registro</v>
      </c>
      <c r="L816" s="342" t="str">
        <f t="shared" si="50"/>
        <v/>
      </c>
      <c r="M816" s="339" t="s">
        <v>1523</v>
      </c>
      <c r="N816" s="343" t="str">
        <f t="shared" si="51"/>
        <v>PU CAST COPO PISTAO | Copo pistão em poliuretano fundido (MP + HH) | DN 2,5|46241</v>
      </c>
    </row>
    <row r="817" spans="2:14" x14ac:dyDescent="0.3">
      <c r="B817" s="335" t="s">
        <v>1629</v>
      </c>
      <c r="C817" s="336" t="s">
        <v>1521</v>
      </c>
      <c r="D817" s="337">
        <f t="shared" si="48"/>
        <v>158.65168550000001</v>
      </c>
      <c r="F817" s="338">
        <v>46241</v>
      </c>
      <c r="G817" s="339" t="s">
        <v>1521</v>
      </c>
      <c r="H817" s="339" t="s">
        <v>1629</v>
      </c>
      <c r="I817" s="339" t="s">
        <v>1522</v>
      </c>
      <c r="J817" s="340">
        <v>158.65168550000001</v>
      </c>
      <c r="K817" s="341" t="str">
        <f t="shared" si="49"/>
        <v>1º registro</v>
      </c>
      <c r="L817" s="342" t="str">
        <f t="shared" si="50"/>
        <v/>
      </c>
      <c r="M817" s="339" t="s">
        <v>1523</v>
      </c>
      <c r="N817" s="343" t="str">
        <f t="shared" si="51"/>
        <v>PU CAST COPO PISTAO | Copo pistão em poliuretano fundido (MP + HH) | DN 4|46241</v>
      </c>
    </row>
    <row r="818" spans="2:14" x14ac:dyDescent="0.3">
      <c r="B818" s="335" t="s">
        <v>1630</v>
      </c>
      <c r="C818" s="336" t="s">
        <v>1521</v>
      </c>
      <c r="D818" s="337">
        <f t="shared" si="48"/>
        <v>169.8211</v>
      </c>
      <c r="F818" s="338">
        <v>46241</v>
      </c>
      <c r="G818" s="339" t="s">
        <v>1521</v>
      </c>
      <c r="H818" s="339" t="s">
        <v>1630</v>
      </c>
      <c r="I818" s="339" t="s">
        <v>1522</v>
      </c>
      <c r="J818" s="340">
        <v>169.8211</v>
      </c>
      <c r="K818" s="341" t="str">
        <f t="shared" si="49"/>
        <v>1º registro</v>
      </c>
      <c r="L818" s="342" t="str">
        <f t="shared" si="50"/>
        <v/>
      </c>
      <c r="M818" s="339" t="s">
        <v>1523</v>
      </c>
      <c r="N818" s="343" t="str">
        <f t="shared" si="51"/>
        <v>PU CAST COPO PISTAO | Copo pistão em poliuretano fundido (MP + HH) | DN 6|46241</v>
      </c>
    </row>
    <row r="819" spans="2:14" x14ac:dyDescent="0.3">
      <c r="B819" s="335" t="s">
        <v>1631</v>
      </c>
      <c r="C819" s="336" t="s">
        <v>1521</v>
      </c>
      <c r="D819" s="337">
        <f t="shared" si="48"/>
        <v>175.12456299999999</v>
      </c>
      <c r="F819" s="338">
        <v>46241</v>
      </c>
      <c r="G819" s="339" t="s">
        <v>1521</v>
      </c>
      <c r="H819" s="339" t="s">
        <v>1631</v>
      </c>
      <c r="I819" s="339" t="s">
        <v>1522</v>
      </c>
      <c r="J819" s="340">
        <v>175.12456299999999</v>
      </c>
      <c r="K819" s="341" t="str">
        <f t="shared" si="49"/>
        <v>1º registro</v>
      </c>
      <c r="L819" s="342" t="str">
        <f t="shared" si="50"/>
        <v/>
      </c>
      <c r="M819" s="339" t="s">
        <v>1523</v>
      </c>
      <c r="N819" s="343" t="str">
        <f t="shared" si="51"/>
        <v>PU CAST COPO PISTAO | Copo pistão em poliuretano fundido (MP + HH) | DN 7|46241</v>
      </c>
    </row>
    <row r="820" spans="2:14" x14ac:dyDescent="0.3">
      <c r="B820" s="335" t="s">
        <v>1632</v>
      </c>
      <c r="C820" s="336" t="s">
        <v>1521</v>
      </c>
      <c r="D820" s="337">
        <f t="shared" si="48"/>
        <v>186.29397750000001</v>
      </c>
      <c r="F820" s="338">
        <v>46241</v>
      </c>
      <c r="G820" s="339" t="s">
        <v>1521</v>
      </c>
      <c r="H820" s="339" t="s">
        <v>1632</v>
      </c>
      <c r="I820" s="339" t="s">
        <v>1522</v>
      </c>
      <c r="J820" s="340">
        <v>186.29397750000001</v>
      </c>
      <c r="K820" s="341" t="str">
        <f t="shared" si="49"/>
        <v>1º registro</v>
      </c>
      <c r="L820" s="342" t="str">
        <f t="shared" si="50"/>
        <v/>
      </c>
      <c r="M820" s="339" t="s">
        <v>1523</v>
      </c>
      <c r="N820" s="343" t="str">
        <f t="shared" si="51"/>
        <v>PU CAST COPO PISTAO | Copo pistão em poliuretano fundido (MP + HH) | DN 8|46241</v>
      </c>
    </row>
    <row r="821" spans="2:14" x14ac:dyDescent="0.3">
      <c r="B821" s="335" t="s">
        <v>1633</v>
      </c>
      <c r="C821" s="336" t="s">
        <v>1521</v>
      </c>
      <c r="D821" s="337">
        <f t="shared" si="48"/>
        <v>205.981075</v>
      </c>
      <c r="F821" s="338">
        <v>46241</v>
      </c>
      <c r="G821" s="339" t="s">
        <v>1521</v>
      </c>
      <c r="H821" s="339" t="s">
        <v>1633</v>
      </c>
      <c r="I821" s="339" t="s">
        <v>1522</v>
      </c>
      <c r="J821" s="340">
        <v>205.981075</v>
      </c>
      <c r="K821" s="341" t="str">
        <f t="shared" si="49"/>
        <v>1º registro</v>
      </c>
      <c r="L821" s="342" t="str">
        <f t="shared" si="50"/>
        <v/>
      </c>
      <c r="M821" s="339" t="s">
        <v>1523</v>
      </c>
      <c r="N821" s="343" t="str">
        <f t="shared" si="51"/>
        <v>PU CAST COPO PISTAO | Copo pistão em poliuretano fundido (MP + HH) | DN 9|46241</v>
      </c>
    </row>
    <row r="822" spans="2:14" x14ac:dyDescent="0.3">
      <c r="B822" s="335" t="s">
        <v>1634</v>
      </c>
      <c r="C822" s="336" t="s">
        <v>1521</v>
      </c>
      <c r="D822" s="337">
        <f t="shared" si="48"/>
        <v>236.11438749999999</v>
      </c>
      <c r="F822" s="338">
        <v>46241</v>
      </c>
      <c r="G822" s="339" t="s">
        <v>1521</v>
      </c>
      <c r="H822" s="339" t="s">
        <v>1634</v>
      </c>
      <c r="I822" s="339" t="s">
        <v>1522</v>
      </c>
      <c r="J822" s="340">
        <v>236.11438749999999</v>
      </c>
      <c r="K822" s="341" t="str">
        <f t="shared" si="49"/>
        <v>1º registro</v>
      </c>
      <c r="L822" s="342" t="str">
        <f t="shared" si="50"/>
        <v/>
      </c>
      <c r="M822" s="339" t="s">
        <v>1523</v>
      </c>
      <c r="N822" s="343" t="str">
        <f t="shared" si="51"/>
        <v>PU CAST COPO PISTAO | Copo pistão em poliuretano fundido (MP + HH) | DN 10|46241</v>
      </c>
    </row>
    <row r="823" spans="2:14" x14ac:dyDescent="0.3">
      <c r="B823" s="335" t="s">
        <v>1635</v>
      </c>
      <c r="C823" s="336" t="s">
        <v>1521</v>
      </c>
      <c r="D823" s="337">
        <f t="shared" si="48"/>
        <v>266.24770000000001</v>
      </c>
      <c r="F823" s="338">
        <v>46241</v>
      </c>
      <c r="G823" s="339" t="s">
        <v>1521</v>
      </c>
      <c r="H823" s="339" t="s">
        <v>1635</v>
      </c>
      <c r="I823" s="339" t="s">
        <v>1522</v>
      </c>
      <c r="J823" s="340">
        <v>266.24770000000001</v>
      </c>
      <c r="K823" s="341" t="str">
        <f t="shared" si="49"/>
        <v>1º registro</v>
      </c>
      <c r="L823" s="342" t="str">
        <f t="shared" si="50"/>
        <v/>
      </c>
      <c r="M823" s="339" t="s">
        <v>1523</v>
      </c>
      <c r="N823" s="343" t="str">
        <f t="shared" si="51"/>
        <v>PU CAST COPO PISTAO | Copo pistão em poliuretano fundido (MP + HH) | DN 12|46241</v>
      </c>
    </row>
    <row r="824" spans="2:14" x14ac:dyDescent="0.3">
      <c r="B824" s="335" t="s">
        <v>1636</v>
      </c>
      <c r="C824" s="336" t="s">
        <v>1521</v>
      </c>
      <c r="D824" s="337">
        <f t="shared" si="48"/>
        <v>278.30102499999998</v>
      </c>
      <c r="F824" s="338">
        <v>46241</v>
      </c>
      <c r="G824" s="339" t="s">
        <v>1521</v>
      </c>
      <c r="H824" s="339" t="s">
        <v>1636</v>
      </c>
      <c r="I824" s="339" t="s">
        <v>1522</v>
      </c>
      <c r="J824" s="340">
        <v>278.30102499999998</v>
      </c>
      <c r="K824" s="341" t="str">
        <f t="shared" si="49"/>
        <v>1º registro</v>
      </c>
      <c r="L824" s="342" t="str">
        <f t="shared" si="50"/>
        <v/>
      </c>
      <c r="M824" s="339" t="s">
        <v>1523</v>
      </c>
      <c r="N824" s="343" t="str">
        <f t="shared" si="51"/>
        <v>PU CAST COPO PISTAO | Copo pistão em poliuretano fundido (MP + HH) | DN 14|46241</v>
      </c>
    </row>
    <row r="825" spans="2:14" x14ac:dyDescent="0.3">
      <c r="B825" s="335" t="s">
        <v>1637</v>
      </c>
      <c r="C825" s="336" t="s">
        <v>1521</v>
      </c>
      <c r="D825" s="337">
        <f t="shared" si="48"/>
        <v>302.40767499999998</v>
      </c>
      <c r="F825" s="338">
        <v>46241</v>
      </c>
      <c r="G825" s="339" t="s">
        <v>1521</v>
      </c>
      <c r="H825" s="339" t="s">
        <v>1637</v>
      </c>
      <c r="I825" s="339" t="s">
        <v>1522</v>
      </c>
      <c r="J825" s="340">
        <v>302.40767499999998</v>
      </c>
      <c r="K825" s="341" t="str">
        <f t="shared" si="49"/>
        <v>1º registro</v>
      </c>
      <c r="L825" s="342" t="str">
        <f t="shared" si="50"/>
        <v/>
      </c>
      <c r="M825" s="339" t="s">
        <v>1523</v>
      </c>
      <c r="N825" s="343" t="str">
        <f t="shared" si="51"/>
        <v>PU CAST COPO PISTAO | Copo pistão em poliuretano fundido (MP + HH) | DN 16|46241</v>
      </c>
    </row>
    <row r="826" spans="2:14" x14ac:dyDescent="0.3">
      <c r="B826" s="335" t="s">
        <v>1638</v>
      </c>
      <c r="C826" s="336" t="s">
        <v>1521</v>
      </c>
      <c r="D826" s="337">
        <f t="shared" si="48"/>
        <v>414.90537499999999</v>
      </c>
      <c r="F826" s="338">
        <v>46241</v>
      </c>
      <c r="G826" s="339" t="s">
        <v>1521</v>
      </c>
      <c r="H826" s="339" t="s">
        <v>1638</v>
      </c>
      <c r="I826" s="339" t="s">
        <v>1522</v>
      </c>
      <c r="J826" s="340">
        <v>414.90537499999999</v>
      </c>
      <c r="K826" s="341" t="str">
        <f t="shared" si="49"/>
        <v>1º registro</v>
      </c>
      <c r="L826" s="342" t="str">
        <f t="shared" si="50"/>
        <v/>
      </c>
      <c r="M826" s="339" t="s">
        <v>1523</v>
      </c>
      <c r="N826" s="343" t="str">
        <f t="shared" si="51"/>
        <v>PU CAST COPO PISTAO | Copo pistão em poliuretano fundido (MP + HH) | DN 18|46241</v>
      </c>
    </row>
    <row r="827" spans="2:14" x14ac:dyDescent="0.3">
      <c r="B827" s="335" t="s">
        <v>1639</v>
      </c>
      <c r="C827" s="336" t="s">
        <v>1521</v>
      </c>
      <c r="D827" s="337">
        <f t="shared" si="48"/>
        <v>475.17200000000003</v>
      </c>
      <c r="F827" s="338">
        <v>46241</v>
      </c>
      <c r="G827" s="339" t="s">
        <v>1521</v>
      </c>
      <c r="H827" s="339" t="s">
        <v>1639</v>
      </c>
      <c r="I827" s="339" t="s">
        <v>1522</v>
      </c>
      <c r="J827" s="340">
        <v>475.17200000000003</v>
      </c>
      <c r="K827" s="341" t="str">
        <f t="shared" si="49"/>
        <v>1º registro</v>
      </c>
      <c r="L827" s="342" t="str">
        <f t="shared" si="50"/>
        <v/>
      </c>
      <c r="M827" s="339" t="s">
        <v>1523</v>
      </c>
      <c r="N827" s="343" t="str">
        <f t="shared" si="51"/>
        <v>PU CAST COPO PISTAO | Copo pistão em poliuretano fundido (MP + HH) | DN 20|46241</v>
      </c>
    </row>
    <row r="828" spans="2:14" x14ac:dyDescent="0.3">
      <c r="B828" s="335" t="s">
        <v>1640</v>
      </c>
      <c r="C828" s="336" t="s">
        <v>1521</v>
      </c>
      <c r="D828" s="337">
        <f t="shared" si="48"/>
        <v>709.27750000000003</v>
      </c>
      <c r="F828" s="338">
        <v>46241</v>
      </c>
      <c r="G828" s="339" t="s">
        <v>1521</v>
      </c>
      <c r="H828" s="339" t="s">
        <v>1640</v>
      </c>
      <c r="I828" s="339" t="s">
        <v>1522</v>
      </c>
      <c r="J828" s="340">
        <v>709.27750000000003</v>
      </c>
      <c r="K828" s="341" t="str">
        <f t="shared" si="49"/>
        <v>1º registro</v>
      </c>
      <c r="L828" s="342" t="str">
        <f t="shared" si="50"/>
        <v/>
      </c>
      <c r="M828" s="339" t="s">
        <v>1523</v>
      </c>
      <c r="N828" s="343" t="str">
        <f t="shared" si="51"/>
        <v>PU CAST COPO PISTAO | Copo pistão em poliuretano fundido (MP + HH) | DN 22|46241</v>
      </c>
    </row>
    <row r="829" spans="2:14" x14ac:dyDescent="0.3">
      <c r="B829" s="335" t="s">
        <v>1641</v>
      </c>
      <c r="C829" s="336" t="s">
        <v>1521</v>
      </c>
      <c r="D829" s="337">
        <f t="shared" si="48"/>
        <v>1472.6547499999999</v>
      </c>
      <c r="F829" s="338">
        <v>46241</v>
      </c>
      <c r="G829" s="339" t="s">
        <v>1521</v>
      </c>
      <c r="H829" s="339" t="s">
        <v>1641</v>
      </c>
      <c r="I829" s="339" t="s">
        <v>1522</v>
      </c>
      <c r="J829" s="340">
        <v>1472.6547499999999</v>
      </c>
      <c r="K829" s="341" t="str">
        <f t="shared" si="49"/>
        <v>1º registro</v>
      </c>
      <c r="L829" s="342" t="str">
        <f t="shared" si="50"/>
        <v/>
      </c>
      <c r="M829" s="339" t="s">
        <v>1523</v>
      </c>
      <c r="N829" s="343" t="str">
        <f t="shared" si="51"/>
        <v>PU CAST COPO PISTAO | Copo pistão em poliuretano fundido (MP + HH) | DN 30|46241</v>
      </c>
    </row>
    <row r="830" spans="2:14" x14ac:dyDescent="0.3">
      <c r="B830" s="335" t="s">
        <v>1642</v>
      </c>
      <c r="C830" s="336" t="s">
        <v>1521</v>
      </c>
      <c r="D830" s="337">
        <f t="shared" si="48"/>
        <v>1954.78775</v>
      </c>
      <c r="F830" s="338">
        <v>46241</v>
      </c>
      <c r="G830" s="339" t="s">
        <v>1521</v>
      </c>
      <c r="H830" s="339" t="s">
        <v>1642</v>
      </c>
      <c r="I830" s="339" t="s">
        <v>1522</v>
      </c>
      <c r="J830" s="340">
        <v>1954.78775</v>
      </c>
      <c r="K830" s="341" t="str">
        <f t="shared" si="49"/>
        <v>1º registro</v>
      </c>
      <c r="L830" s="342" t="str">
        <f t="shared" si="50"/>
        <v/>
      </c>
      <c r="M830" s="339" t="s">
        <v>1523</v>
      </c>
      <c r="N830" s="343" t="str">
        <f t="shared" si="51"/>
        <v>PU CAST COPO PISTAO | Copo pistão em poliuretano fundido (MP + HH) | DN 42|46241</v>
      </c>
    </row>
    <row r="831" spans="2:14" x14ac:dyDescent="0.3">
      <c r="B831" s="335" t="s">
        <v>1643</v>
      </c>
      <c r="C831" s="336" t="s">
        <v>1521</v>
      </c>
      <c r="D831" s="337">
        <f t="shared" si="48"/>
        <v>2436.9207500000002</v>
      </c>
      <c r="F831" s="338">
        <v>46241</v>
      </c>
      <c r="G831" s="339" t="s">
        <v>1521</v>
      </c>
      <c r="H831" s="339" t="s">
        <v>1643</v>
      </c>
      <c r="I831" s="339" t="s">
        <v>1522</v>
      </c>
      <c r="J831" s="340">
        <v>2436.9207500000002</v>
      </c>
      <c r="K831" s="341" t="str">
        <f t="shared" si="49"/>
        <v>1º registro</v>
      </c>
      <c r="L831" s="342" t="str">
        <f t="shared" si="50"/>
        <v/>
      </c>
      <c r="M831" s="339" t="s">
        <v>1523</v>
      </c>
      <c r="N831" s="343" t="str">
        <f t="shared" si="51"/>
        <v>PU CAST COPO PISTAO | Copo pistão em poliuretano fundido (MP + HH) | DN 46|46241</v>
      </c>
    </row>
    <row r="832" spans="2:14" x14ac:dyDescent="0.3">
      <c r="B832" s="335"/>
      <c r="C832" s="336"/>
      <c r="D832" s="337"/>
      <c r="F832" s="338"/>
      <c r="G832" s="339"/>
      <c r="H832" s="339"/>
      <c r="I832" s="339"/>
      <c r="J832" s="340"/>
      <c r="K832" s="341"/>
      <c r="L832" s="342"/>
      <c r="M832" s="339"/>
      <c r="N832" s="343"/>
    </row>
    <row r="833" spans="2:14" x14ac:dyDescent="0.3">
      <c r="B833" s="335"/>
      <c r="C833" s="336"/>
      <c r="D833" s="337"/>
      <c r="F833" s="338"/>
      <c r="G833" s="339"/>
      <c r="H833" s="339"/>
      <c r="I833" s="339"/>
      <c r="J833" s="340"/>
      <c r="K833" s="341"/>
      <c r="L833" s="342"/>
      <c r="M833" s="339"/>
      <c r="N833" s="343"/>
    </row>
    <row r="834" spans="2:14" x14ac:dyDescent="0.3">
      <c r="B834" s="335"/>
      <c r="C834" s="336"/>
      <c r="D834" s="337"/>
      <c r="F834" s="338"/>
      <c r="G834" s="339"/>
      <c r="H834" s="339"/>
      <c r="I834" s="339"/>
      <c r="J834" s="340"/>
      <c r="K834" s="341"/>
      <c r="L834" s="342"/>
      <c r="M834" s="339"/>
      <c r="N834" s="343"/>
    </row>
    <row r="835" spans="2:14" x14ac:dyDescent="0.3">
      <c r="B835" s="335"/>
      <c r="C835" s="336"/>
      <c r="D835" s="337"/>
      <c r="F835" s="338"/>
      <c r="G835" s="339"/>
      <c r="H835" s="339"/>
      <c r="I835" s="339"/>
      <c r="J835" s="340"/>
      <c r="K835" s="341"/>
      <c r="L835" s="342"/>
      <c r="M835" s="339"/>
      <c r="N835" s="343"/>
    </row>
    <row r="836" spans="2:14" x14ac:dyDescent="0.3">
      <c r="B836" s="335"/>
      <c r="C836" s="336"/>
      <c r="D836" s="337"/>
      <c r="F836" s="338"/>
      <c r="G836" s="339"/>
      <c r="H836" s="339"/>
      <c r="I836" s="339"/>
      <c r="J836" s="340"/>
      <c r="K836" s="341"/>
      <c r="L836" s="342"/>
      <c r="M836" s="339"/>
      <c r="N836" s="343"/>
    </row>
    <row r="837" spans="2:14" x14ac:dyDescent="0.3">
      <c r="B837" s="335"/>
      <c r="C837" s="336"/>
      <c r="D837" s="337"/>
      <c r="F837" s="338"/>
      <c r="G837" s="339"/>
      <c r="H837" s="339"/>
      <c r="I837" s="339"/>
      <c r="J837" s="340"/>
      <c r="K837" s="341"/>
      <c r="L837" s="342"/>
      <c r="M837" s="339"/>
      <c r="N837" s="343"/>
    </row>
    <row r="838" spans="2:14" x14ac:dyDescent="0.3">
      <c r="B838" s="335"/>
      <c r="C838" s="336"/>
      <c r="D838" s="337"/>
      <c r="F838" s="338"/>
      <c r="G838" s="339"/>
      <c r="H838" s="339"/>
      <c r="I838" s="339"/>
      <c r="J838" s="340"/>
      <c r="K838" s="341"/>
      <c r="L838" s="342"/>
      <c r="M838" s="339"/>
      <c r="N838" s="343"/>
    </row>
    <row r="839" spans="2:14" x14ac:dyDescent="0.3">
      <c r="B839" s="335"/>
      <c r="C839" s="336"/>
      <c r="D839" s="337"/>
      <c r="F839" s="338"/>
      <c r="G839" s="339"/>
      <c r="H839" s="339"/>
      <c r="I839" s="339"/>
      <c r="J839" s="340"/>
      <c r="K839" s="341"/>
      <c r="L839" s="342"/>
      <c r="M839" s="339"/>
      <c r="N839" s="343"/>
    </row>
    <row r="840" spans="2:14" x14ac:dyDescent="0.3">
      <c r="B840" s="335"/>
      <c r="C840" s="336"/>
      <c r="D840" s="337"/>
      <c r="F840" s="338"/>
      <c r="G840" s="339"/>
      <c r="H840" s="339"/>
      <c r="I840" s="339"/>
      <c r="J840" s="340"/>
      <c r="K840" s="341"/>
      <c r="L840" s="342"/>
      <c r="M840" s="339"/>
      <c r="N840" s="343"/>
    </row>
    <row r="841" spans="2:14" x14ac:dyDescent="0.3">
      <c r="B841" s="335"/>
      <c r="C841" s="336"/>
      <c r="D841" s="337"/>
      <c r="F841" s="338"/>
      <c r="G841" s="339"/>
      <c r="H841" s="339"/>
      <c r="I841" s="339"/>
      <c r="J841" s="340"/>
      <c r="K841" s="341"/>
      <c r="L841" s="342"/>
      <c r="M841" s="339"/>
      <c r="N841" s="343"/>
    </row>
    <row r="842" spans="2:14" x14ac:dyDescent="0.3">
      <c r="B842" s="335"/>
      <c r="C842" s="336"/>
      <c r="D842" s="337"/>
      <c r="F842" s="338"/>
      <c r="G842" s="339"/>
      <c r="H842" s="339"/>
      <c r="I842" s="339"/>
      <c r="J842" s="340"/>
      <c r="K842" s="341"/>
      <c r="L842" s="342"/>
      <c r="M842" s="339"/>
      <c r="N842" s="343"/>
    </row>
    <row r="843" spans="2:14" x14ac:dyDescent="0.3">
      <c r="B843" s="335"/>
      <c r="C843" s="336"/>
      <c r="D843" s="337"/>
      <c r="F843" s="338"/>
      <c r="G843" s="339"/>
      <c r="H843" s="339"/>
      <c r="I843" s="339"/>
      <c r="J843" s="340"/>
      <c r="K843" s="341"/>
      <c r="L843" s="342"/>
      <c r="M843" s="339"/>
      <c r="N843" s="343"/>
    </row>
    <row r="844" spans="2:14" x14ac:dyDescent="0.3">
      <c r="B844" s="335"/>
      <c r="C844" s="336"/>
      <c r="D844" s="337"/>
      <c r="F844" s="338"/>
      <c r="G844" s="339"/>
      <c r="H844" s="339"/>
      <c r="I844" s="339"/>
      <c r="J844" s="340"/>
      <c r="K844" s="341"/>
      <c r="L844" s="342"/>
      <c r="M844" s="339"/>
      <c r="N844" s="343"/>
    </row>
    <row r="845" spans="2:14" x14ac:dyDescent="0.3">
      <c r="B845" s="335"/>
      <c r="C845" s="336"/>
      <c r="D845" s="337"/>
      <c r="F845" s="338"/>
      <c r="G845" s="339"/>
      <c r="H845" s="339"/>
      <c r="I845" s="339"/>
      <c r="J845" s="340"/>
      <c r="K845" s="341"/>
      <c r="L845" s="342"/>
      <c r="M845" s="339"/>
      <c r="N845" s="343"/>
    </row>
    <row r="846" spans="2:14" x14ac:dyDescent="0.3">
      <c r="B846" s="335"/>
      <c r="C846" s="336"/>
      <c r="D846" s="337"/>
      <c r="F846" s="338"/>
      <c r="G846" s="339"/>
      <c r="H846" s="339"/>
      <c r="I846" s="339"/>
      <c r="J846" s="340"/>
      <c r="K846" s="341"/>
      <c r="L846" s="342"/>
      <c r="M846" s="339"/>
      <c r="N846" s="343"/>
    </row>
    <row r="847" spans="2:14" x14ac:dyDescent="0.3">
      <c r="B847" s="335"/>
      <c r="C847" s="336"/>
      <c r="D847" s="337"/>
      <c r="F847" s="338"/>
      <c r="G847" s="339"/>
      <c r="H847" s="339"/>
      <c r="I847" s="339"/>
      <c r="J847" s="340"/>
      <c r="K847" s="341"/>
      <c r="L847" s="342"/>
      <c r="M847" s="339"/>
      <c r="N847" s="343"/>
    </row>
    <row r="848" spans="2:14" x14ac:dyDescent="0.3">
      <c r="B848" s="335"/>
      <c r="C848" s="336"/>
      <c r="D848" s="337"/>
      <c r="F848" s="338"/>
      <c r="G848" s="339"/>
      <c r="H848" s="339"/>
      <c r="I848" s="339"/>
      <c r="J848" s="340"/>
      <c r="K848" s="341"/>
      <c r="L848" s="342"/>
      <c r="M848" s="339"/>
      <c r="N848" s="343"/>
    </row>
    <row r="849" spans="2:14" x14ac:dyDescent="0.3">
      <c r="B849" s="335"/>
      <c r="C849" s="336"/>
      <c r="D849" s="337"/>
      <c r="F849" s="338"/>
      <c r="G849" s="339"/>
      <c r="H849" s="339"/>
      <c r="I849" s="339"/>
      <c r="J849" s="340"/>
      <c r="K849" s="341"/>
      <c r="L849" s="342"/>
      <c r="M849" s="339"/>
      <c r="N849" s="343"/>
    </row>
    <row r="850" spans="2:14" x14ac:dyDescent="0.3">
      <c r="B850" s="335"/>
      <c r="C850" s="336"/>
      <c r="D850" s="337"/>
      <c r="F850" s="338"/>
      <c r="G850" s="339"/>
      <c r="H850" s="339"/>
      <c r="I850" s="339"/>
      <c r="J850" s="340"/>
      <c r="K850" s="341"/>
      <c r="L850" s="342"/>
      <c r="M850" s="339"/>
      <c r="N850" s="343"/>
    </row>
    <row r="851" spans="2:14" x14ac:dyDescent="0.3">
      <c r="B851" s="335"/>
      <c r="C851" s="336"/>
      <c r="D851" s="337"/>
      <c r="F851" s="338"/>
      <c r="G851" s="339"/>
      <c r="H851" s="339"/>
      <c r="I851" s="339"/>
      <c r="J851" s="340"/>
      <c r="K851" s="341"/>
      <c r="L851" s="342"/>
      <c r="M851" s="339"/>
      <c r="N851" s="343"/>
    </row>
    <row r="852" spans="2:14" x14ac:dyDescent="0.3">
      <c r="B852" s="335"/>
      <c r="C852" s="336"/>
      <c r="D852" s="337"/>
      <c r="F852" s="338"/>
      <c r="G852" s="339"/>
      <c r="H852" s="339"/>
      <c r="I852" s="339"/>
      <c r="J852" s="340"/>
      <c r="K852" s="341"/>
      <c r="L852" s="342"/>
      <c r="M852" s="339"/>
      <c r="N852" s="343"/>
    </row>
    <row r="853" spans="2:14" x14ac:dyDescent="0.3">
      <c r="B853" s="335"/>
      <c r="C853" s="336"/>
      <c r="D853" s="337"/>
      <c r="F853" s="338"/>
      <c r="G853" s="339"/>
      <c r="H853" s="339"/>
      <c r="I853" s="339"/>
      <c r="J853" s="340"/>
      <c r="K853" s="341"/>
      <c r="L853" s="342"/>
      <c r="M853" s="339"/>
      <c r="N853" s="343"/>
    </row>
    <row r="854" spans="2:14" x14ac:dyDescent="0.3">
      <c r="B854" s="335"/>
      <c r="C854" s="336"/>
      <c r="D854" s="337"/>
      <c r="F854" s="338"/>
      <c r="G854" s="339"/>
      <c r="H854" s="339"/>
      <c r="I854" s="339"/>
      <c r="J854" s="340"/>
      <c r="K854" s="341"/>
      <c r="L854" s="342"/>
      <c r="M854" s="339"/>
      <c r="N854" s="343"/>
    </row>
    <row r="855" spans="2:14" x14ac:dyDescent="0.3">
      <c r="B855" s="335"/>
      <c r="C855" s="336"/>
      <c r="D855" s="337"/>
      <c r="F855" s="338"/>
      <c r="G855" s="339"/>
      <c r="H855" s="339"/>
      <c r="I855" s="339"/>
      <c r="J855" s="340"/>
      <c r="K855" s="341"/>
      <c r="L855" s="342"/>
      <c r="M855" s="339"/>
      <c r="N855" s="343"/>
    </row>
    <row r="856" spans="2:14" x14ac:dyDescent="0.3">
      <c r="B856" s="335"/>
      <c r="C856" s="336"/>
      <c r="D856" s="337"/>
      <c r="F856" s="338"/>
      <c r="G856" s="339"/>
      <c r="H856" s="339"/>
      <c r="I856" s="339"/>
      <c r="J856" s="340"/>
      <c r="K856" s="341"/>
      <c r="L856" s="342"/>
      <c r="M856" s="339"/>
      <c r="N856" s="343"/>
    </row>
    <row r="857" spans="2:14" x14ac:dyDescent="0.3">
      <c r="B857" s="335"/>
      <c r="C857" s="336"/>
      <c r="D857" s="337"/>
      <c r="F857" s="338"/>
      <c r="G857" s="339"/>
      <c r="H857" s="339"/>
      <c r="I857" s="339"/>
      <c r="J857" s="340"/>
      <c r="K857" s="341"/>
      <c r="L857" s="342"/>
      <c r="M857" s="339"/>
      <c r="N857" s="343"/>
    </row>
    <row r="858" spans="2:14" x14ac:dyDescent="0.3">
      <c r="B858" s="335"/>
      <c r="C858" s="336"/>
      <c r="D858" s="337"/>
      <c r="F858" s="338"/>
      <c r="G858" s="339"/>
      <c r="H858" s="339"/>
      <c r="I858" s="339"/>
      <c r="J858" s="340"/>
      <c r="K858" s="341"/>
      <c r="L858" s="342"/>
      <c r="M858" s="339"/>
      <c r="N858" s="343"/>
    </row>
    <row r="859" spans="2:14" x14ac:dyDescent="0.3">
      <c r="B859" s="335"/>
      <c r="C859" s="336"/>
      <c r="D859" s="337"/>
      <c r="F859" s="338"/>
      <c r="G859" s="339"/>
      <c r="H859" s="339"/>
      <c r="I859" s="339"/>
      <c r="J859" s="340"/>
      <c r="K859" s="341"/>
      <c r="L859" s="342"/>
      <c r="M859" s="339"/>
      <c r="N859" s="343"/>
    </row>
    <row r="860" spans="2:14" x14ac:dyDescent="0.3">
      <c r="B860" s="335"/>
      <c r="C860" s="336"/>
      <c r="D860" s="337"/>
      <c r="F860" s="338"/>
      <c r="G860" s="339"/>
      <c r="H860" s="339"/>
      <c r="I860" s="339"/>
      <c r="J860" s="340"/>
      <c r="K860" s="341"/>
      <c r="L860" s="342"/>
      <c r="M860" s="339"/>
      <c r="N860" s="343"/>
    </row>
    <row r="861" spans="2:14" x14ac:dyDescent="0.3">
      <c r="B861" s="335"/>
      <c r="C861" s="336"/>
      <c r="D861" s="337"/>
      <c r="F861" s="338"/>
      <c r="G861" s="339"/>
      <c r="H861" s="339"/>
      <c r="I861" s="339"/>
      <c r="J861" s="340"/>
      <c r="K861" s="341"/>
      <c r="L861" s="342"/>
      <c r="M861" s="339"/>
      <c r="N861" s="343"/>
    </row>
    <row r="862" spans="2:14" x14ac:dyDescent="0.3">
      <c r="B862" s="335"/>
      <c r="C862" s="336"/>
      <c r="D862" s="337"/>
      <c r="F862" s="338"/>
      <c r="G862" s="339"/>
      <c r="H862" s="339"/>
      <c r="I862" s="339"/>
      <c r="J862" s="340"/>
      <c r="K862" s="341"/>
      <c r="L862" s="342"/>
      <c r="M862" s="339"/>
      <c r="N862" s="343"/>
    </row>
    <row r="863" spans="2:14" x14ac:dyDescent="0.3">
      <c r="B863" s="335"/>
      <c r="C863" s="336"/>
      <c r="D863" s="337"/>
      <c r="F863" s="338"/>
      <c r="G863" s="339"/>
      <c r="H863" s="339"/>
      <c r="I863" s="339"/>
      <c r="J863" s="340"/>
      <c r="K863" s="341"/>
      <c r="L863" s="342"/>
      <c r="M863" s="339"/>
      <c r="N863" s="343"/>
    </row>
    <row r="864" spans="2:14" x14ac:dyDescent="0.3">
      <c r="B864" s="335"/>
      <c r="C864" s="336"/>
      <c r="D864" s="337"/>
      <c r="F864" s="338"/>
      <c r="G864" s="339"/>
      <c r="H864" s="339"/>
      <c r="I864" s="339"/>
      <c r="J864" s="340"/>
      <c r="K864" s="341"/>
      <c r="L864" s="342"/>
      <c r="M864" s="339"/>
      <c r="N864" s="343"/>
    </row>
    <row r="865" spans="2:14" x14ac:dyDescent="0.3">
      <c r="B865" s="335"/>
      <c r="C865" s="336"/>
      <c r="D865" s="337"/>
      <c r="F865" s="338"/>
      <c r="G865" s="339"/>
      <c r="H865" s="339"/>
      <c r="I865" s="339"/>
      <c r="J865" s="340"/>
      <c r="K865" s="341"/>
      <c r="L865" s="342"/>
      <c r="M865" s="339"/>
      <c r="N865" s="343"/>
    </row>
    <row r="866" spans="2:14" x14ac:dyDescent="0.3">
      <c r="B866" s="335"/>
      <c r="C866" s="336"/>
      <c r="D866" s="337"/>
      <c r="F866" s="338"/>
      <c r="G866" s="339"/>
      <c r="H866" s="339"/>
      <c r="I866" s="339"/>
      <c r="J866" s="340"/>
      <c r="K866" s="341"/>
      <c r="L866" s="342"/>
      <c r="M866" s="339"/>
      <c r="N866" s="343"/>
    </row>
    <row r="867" spans="2:14" x14ac:dyDescent="0.3">
      <c r="B867" s="335"/>
      <c r="C867" s="336"/>
      <c r="D867" s="337"/>
      <c r="F867" s="338"/>
      <c r="G867" s="339"/>
      <c r="H867" s="339"/>
      <c r="I867" s="339"/>
      <c r="J867" s="340"/>
      <c r="K867" s="341"/>
      <c r="L867" s="342"/>
      <c r="M867" s="339"/>
      <c r="N867" s="343"/>
    </row>
    <row r="868" spans="2:14" x14ac:dyDescent="0.3">
      <c r="B868" s="335"/>
      <c r="C868" s="336"/>
      <c r="D868" s="337"/>
      <c r="F868" s="338"/>
      <c r="G868" s="339"/>
      <c r="H868" s="339"/>
      <c r="I868" s="339"/>
      <c r="J868" s="340"/>
      <c r="K868" s="341"/>
      <c r="L868" s="342"/>
      <c r="M868" s="339"/>
      <c r="N868" s="343"/>
    </row>
    <row r="869" spans="2:14" x14ac:dyDescent="0.3">
      <c r="B869" s="335"/>
      <c r="C869" s="336"/>
      <c r="D869" s="337"/>
      <c r="F869" s="338"/>
      <c r="G869" s="339"/>
      <c r="H869" s="339"/>
      <c r="I869" s="339"/>
      <c r="J869" s="340"/>
      <c r="K869" s="341"/>
      <c r="L869" s="342"/>
      <c r="M869" s="339"/>
      <c r="N869" s="343"/>
    </row>
    <row r="870" spans="2:14" x14ac:dyDescent="0.3">
      <c r="B870" s="335"/>
      <c r="C870" s="336"/>
      <c r="D870" s="337"/>
      <c r="F870" s="338"/>
      <c r="G870" s="339"/>
      <c r="H870" s="339"/>
      <c r="I870" s="339"/>
      <c r="J870" s="340"/>
      <c r="K870" s="341"/>
      <c r="L870" s="342"/>
      <c r="M870" s="339"/>
      <c r="N870" s="343"/>
    </row>
    <row r="871" spans="2:14" x14ac:dyDescent="0.3">
      <c r="B871" s="335"/>
      <c r="C871" s="336"/>
      <c r="D871" s="337"/>
      <c r="F871" s="338"/>
      <c r="G871" s="339"/>
      <c r="H871" s="339"/>
      <c r="I871" s="339"/>
      <c r="J871" s="340"/>
      <c r="K871" s="341"/>
      <c r="L871" s="342"/>
      <c r="M871" s="339"/>
      <c r="N871" s="343"/>
    </row>
    <row r="872" spans="2:14" x14ac:dyDescent="0.3">
      <c r="B872" s="335"/>
      <c r="C872" s="336"/>
      <c r="D872" s="337"/>
      <c r="F872" s="338"/>
      <c r="G872" s="339"/>
      <c r="H872" s="339"/>
      <c r="I872" s="339"/>
      <c r="J872" s="340"/>
      <c r="K872" s="341"/>
      <c r="L872" s="342"/>
      <c r="M872" s="339"/>
      <c r="N872" s="343"/>
    </row>
    <row r="873" spans="2:14" x14ac:dyDescent="0.3">
      <c r="B873" s="335"/>
      <c r="C873" s="336"/>
      <c r="D873" s="337"/>
      <c r="F873" s="338"/>
      <c r="G873" s="339"/>
      <c r="H873" s="339"/>
      <c r="I873" s="339"/>
      <c r="J873" s="340"/>
      <c r="K873" s="341"/>
      <c r="L873" s="342"/>
      <c r="M873" s="339"/>
      <c r="N873" s="343"/>
    </row>
    <row r="874" spans="2:14" x14ac:dyDescent="0.3">
      <c r="B874" s="335"/>
      <c r="C874" s="336"/>
      <c r="D874" s="337"/>
      <c r="F874" s="338"/>
      <c r="G874" s="339"/>
      <c r="H874" s="339"/>
      <c r="I874" s="339"/>
      <c r="J874" s="340"/>
      <c r="K874" s="341"/>
      <c r="L874" s="342"/>
      <c r="M874" s="339"/>
      <c r="N874" s="343"/>
    </row>
    <row r="875" spans="2:14" x14ac:dyDescent="0.3">
      <c r="B875" s="335"/>
      <c r="C875" s="336"/>
      <c r="D875" s="337"/>
      <c r="F875" s="338"/>
      <c r="G875" s="339"/>
      <c r="H875" s="339"/>
      <c r="I875" s="339"/>
      <c r="J875" s="340"/>
      <c r="K875" s="341"/>
      <c r="L875" s="342"/>
      <c r="M875" s="339"/>
      <c r="N875" s="343"/>
    </row>
    <row r="876" spans="2:14" x14ac:dyDescent="0.3">
      <c r="B876" s="335"/>
      <c r="C876" s="336"/>
      <c r="D876" s="337"/>
      <c r="F876" s="338"/>
      <c r="G876" s="339"/>
      <c r="H876" s="339"/>
      <c r="I876" s="339"/>
      <c r="J876" s="340"/>
      <c r="K876" s="341"/>
      <c r="L876" s="342"/>
      <c r="M876" s="339"/>
      <c r="N876" s="343"/>
    </row>
    <row r="877" spans="2:14" x14ac:dyDescent="0.3">
      <c r="B877" s="335"/>
      <c r="C877" s="336"/>
      <c r="D877" s="337"/>
      <c r="F877" s="338"/>
      <c r="G877" s="339"/>
      <c r="H877" s="339"/>
      <c r="I877" s="339"/>
      <c r="J877" s="340"/>
      <c r="K877" s="341"/>
      <c r="L877" s="342"/>
      <c r="M877" s="339"/>
      <c r="N877" s="343"/>
    </row>
    <row r="878" spans="2:14" x14ac:dyDescent="0.3">
      <c r="B878" s="335"/>
      <c r="C878" s="336"/>
      <c r="D878" s="337"/>
      <c r="F878" s="338"/>
      <c r="G878" s="339"/>
      <c r="H878" s="339"/>
      <c r="I878" s="339"/>
      <c r="J878" s="340"/>
      <c r="K878" s="341"/>
      <c r="L878" s="342"/>
      <c r="M878" s="339"/>
      <c r="N878" s="343"/>
    </row>
    <row r="879" spans="2:14" x14ac:dyDescent="0.3">
      <c r="B879" s="335"/>
      <c r="C879" s="336"/>
      <c r="D879" s="337"/>
      <c r="F879" s="338"/>
      <c r="G879" s="339"/>
      <c r="H879" s="339"/>
      <c r="I879" s="339"/>
      <c r="J879" s="340"/>
      <c r="K879" s="341"/>
      <c r="L879" s="342"/>
      <c r="M879" s="339"/>
      <c r="N879" s="343"/>
    </row>
    <row r="880" spans="2:14" x14ac:dyDescent="0.3">
      <c r="B880" s="335"/>
      <c r="C880" s="336"/>
      <c r="D880" s="337"/>
      <c r="F880" s="338"/>
      <c r="G880" s="339"/>
      <c r="H880" s="339"/>
      <c r="I880" s="339"/>
      <c r="J880" s="340"/>
      <c r="K880" s="341"/>
      <c r="L880" s="342"/>
      <c r="M880" s="339"/>
      <c r="N880" s="343"/>
    </row>
    <row r="881" spans="2:14" x14ac:dyDescent="0.3">
      <c r="B881" s="335"/>
      <c r="C881" s="336"/>
      <c r="D881" s="337"/>
      <c r="F881" s="338"/>
      <c r="G881" s="339"/>
      <c r="H881" s="339"/>
      <c r="I881" s="339"/>
      <c r="J881" s="340"/>
      <c r="K881" s="341"/>
      <c r="L881" s="342"/>
      <c r="M881" s="339"/>
      <c r="N881" s="343"/>
    </row>
    <row r="882" spans="2:14" x14ac:dyDescent="0.3">
      <c r="B882" s="335"/>
      <c r="C882" s="336"/>
      <c r="D882" s="337"/>
      <c r="F882" s="338"/>
      <c r="G882" s="339"/>
      <c r="H882" s="339"/>
      <c r="I882" s="339"/>
      <c r="J882" s="340"/>
      <c r="K882" s="341"/>
      <c r="L882" s="342"/>
      <c r="M882" s="339"/>
      <c r="N882" s="343"/>
    </row>
    <row r="883" spans="2:14" x14ac:dyDescent="0.3">
      <c r="B883" s="335"/>
      <c r="C883" s="336"/>
      <c r="D883" s="337"/>
      <c r="F883" s="338"/>
      <c r="G883" s="339"/>
      <c r="H883" s="339"/>
      <c r="I883" s="339"/>
      <c r="J883" s="340"/>
      <c r="K883" s="341"/>
      <c r="L883" s="342"/>
      <c r="M883" s="339"/>
      <c r="N883" s="343"/>
    </row>
    <row r="884" spans="2:14" x14ac:dyDescent="0.3">
      <c r="B884" s="335"/>
      <c r="C884" s="336"/>
      <c r="D884" s="337"/>
      <c r="F884" s="338"/>
      <c r="G884" s="339"/>
      <c r="H884" s="339"/>
      <c r="I884" s="339"/>
      <c r="J884" s="340"/>
      <c r="K884" s="341"/>
      <c r="L884" s="342"/>
      <c r="M884" s="339"/>
      <c r="N884" s="343"/>
    </row>
    <row r="885" spans="2:14" x14ac:dyDescent="0.3">
      <c r="B885" s="335"/>
      <c r="C885" s="336"/>
      <c r="D885" s="337"/>
      <c r="F885" s="338"/>
      <c r="G885" s="339"/>
      <c r="H885" s="339"/>
      <c r="I885" s="339"/>
      <c r="J885" s="340"/>
      <c r="K885" s="341"/>
      <c r="L885" s="342"/>
      <c r="M885" s="339"/>
      <c r="N885" s="343"/>
    </row>
    <row r="886" spans="2:14" x14ac:dyDescent="0.3">
      <c r="B886" s="335"/>
      <c r="C886" s="336"/>
      <c r="D886" s="337"/>
      <c r="F886" s="338"/>
      <c r="G886" s="339"/>
      <c r="H886" s="339"/>
      <c r="I886" s="339"/>
      <c r="J886" s="340"/>
      <c r="K886" s="341"/>
      <c r="L886" s="342"/>
      <c r="M886" s="339"/>
      <c r="N886" s="343"/>
    </row>
    <row r="887" spans="2:14" x14ac:dyDescent="0.3">
      <c r="B887" s="335"/>
      <c r="C887" s="336"/>
      <c r="D887" s="337"/>
      <c r="F887" s="338"/>
      <c r="G887" s="339"/>
      <c r="H887" s="339"/>
      <c r="I887" s="339"/>
      <c r="J887" s="340"/>
      <c r="K887" s="341"/>
      <c r="L887" s="342"/>
      <c r="M887" s="339"/>
      <c r="N887" s="343"/>
    </row>
    <row r="888" spans="2:14" x14ac:dyDescent="0.3">
      <c r="B888" s="335"/>
      <c r="C888" s="336"/>
      <c r="D888" s="337"/>
      <c r="F888" s="338"/>
      <c r="G888" s="339"/>
      <c r="H888" s="339"/>
      <c r="I888" s="339"/>
      <c r="J888" s="340"/>
      <c r="K888" s="341"/>
      <c r="L888" s="342"/>
      <c r="M888" s="339"/>
      <c r="N888" s="343"/>
    </row>
    <row r="889" spans="2:14" x14ac:dyDescent="0.3">
      <c r="B889" s="335"/>
      <c r="C889" s="336"/>
      <c r="D889" s="337"/>
      <c r="F889" s="338"/>
      <c r="G889" s="339"/>
      <c r="H889" s="339"/>
      <c r="I889" s="339"/>
      <c r="J889" s="340"/>
      <c r="K889" s="341"/>
      <c r="L889" s="342"/>
      <c r="M889" s="339"/>
      <c r="N889" s="343"/>
    </row>
    <row r="890" spans="2:14" x14ac:dyDescent="0.3">
      <c r="B890" s="335"/>
      <c r="C890" s="336"/>
      <c r="D890" s="337"/>
      <c r="F890" s="338"/>
      <c r="G890" s="339"/>
      <c r="H890" s="339"/>
      <c r="I890" s="339"/>
      <c r="J890" s="340"/>
      <c r="K890" s="341"/>
      <c r="L890" s="342"/>
      <c r="M890" s="339"/>
      <c r="N890" s="343"/>
    </row>
    <row r="891" spans="2:14" x14ac:dyDescent="0.3">
      <c r="B891" s="335"/>
      <c r="C891" s="336"/>
      <c r="D891" s="337"/>
      <c r="F891" s="338"/>
      <c r="G891" s="339"/>
      <c r="H891" s="339"/>
      <c r="I891" s="339"/>
      <c r="J891" s="340"/>
      <c r="K891" s="341"/>
      <c r="L891" s="342"/>
      <c r="M891" s="339"/>
      <c r="N891" s="343"/>
    </row>
    <row r="892" spans="2:14" x14ac:dyDescent="0.3">
      <c r="B892" s="335"/>
      <c r="C892" s="336"/>
      <c r="D892" s="337"/>
      <c r="F892" s="338"/>
      <c r="G892" s="339"/>
      <c r="H892" s="339"/>
      <c r="I892" s="339"/>
      <c r="J892" s="340"/>
      <c r="K892" s="341"/>
      <c r="L892" s="342"/>
      <c r="M892" s="339"/>
      <c r="N892" s="343"/>
    </row>
    <row r="893" spans="2:14" x14ac:dyDescent="0.3">
      <c r="B893" s="335"/>
      <c r="C893" s="336"/>
      <c r="D893" s="337"/>
      <c r="F893" s="338"/>
      <c r="G893" s="339"/>
      <c r="H893" s="339"/>
      <c r="I893" s="339"/>
      <c r="J893" s="340"/>
      <c r="K893" s="341"/>
      <c r="L893" s="342"/>
      <c r="M893" s="339"/>
      <c r="N893" s="343"/>
    </row>
    <row r="894" spans="2:14" x14ac:dyDescent="0.3">
      <c r="B894" s="335"/>
      <c r="C894" s="336"/>
      <c r="D894" s="337"/>
      <c r="F894" s="338"/>
      <c r="G894" s="339"/>
      <c r="H894" s="339"/>
      <c r="I894" s="339"/>
      <c r="J894" s="340"/>
      <c r="K894" s="341"/>
      <c r="L894" s="342"/>
      <c r="M894" s="339"/>
      <c r="N894" s="343"/>
    </row>
    <row r="895" spans="2:14" x14ac:dyDescent="0.3">
      <c r="B895" s="335"/>
      <c r="C895" s="336"/>
      <c r="D895" s="337"/>
      <c r="F895" s="338"/>
      <c r="G895" s="339"/>
      <c r="H895" s="339"/>
      <c r="I895" s="339"/>
      <c r="J895" s="340"/>
      <c r="K895" s="341"/>
      <c r="L895" s="342"/>
      <c r="M895" s="339"/>
      <c r="N895" s="343"/>
    </row>
    <row r="896" spans="2:14" x14ac:dyDescent="0.3">
      <c r="B896" s="335"/>
      <c r="C896" s="336"/>
      <c r="D896" s="337"/>
      <c r="F896" s="338"/>
      <c r="G896" s="339"/>
      <c r="H896" s="339"/>
      <c r="I896" s="339"/>
      <c r="J896" s="340"/>
      <c r="K896" s="341"/>
      <c r="L896" s="342"/>
      <c r="M896" s="339"/>
      <c r="N896" s="343"/>
    </row>
    <row r="897" spans="2:14" x14ac:dyDescent="0.3">
      <c r="B897" s="335"/>
      <c r="C897" s="336"/>
      <c r="D897" s="337"/>
      <c r="F897" s="338"/>
      <c r="G897" s="339"/>
      <c r="H897" s="339"/>
      <c r="I897" s="339"/>
      <c r="J897" s="340"/>
      <c r="K897" s="341"/>
      <c r="L897" s="342"/>
      <c r="M897" s="339"/>
      <c r="N897" s="343"/>
    </row>
  </sheetData>
  <mergeCells count="2">
    <mergeCell ref="B19:D19"/>
    <mergeCell ref="A1:C1"/>
  </mergeCells>
  <dataValidations count="1">
    <dataValidation type="list" allowBlank="1" showInputMessage="1" showErrorMessage="1" sqref="G21:G400" xr:uid="{67E64578-65F7-4A32-BEB0-A7C0DD7A21D9}">
      <formula1>"Pig,Sobressalente"</formula1>
    </dataValidation>
  </dataValidations>
  <hyperlinks>
    <hyperlink ref="A1" location="PAINEL!A1" tooltip="Voltar ao Painel de Navegação" display="⬅ PAINEL" xr:uid="{9048619B-39A9-45C2-9618-D38319D38BB2}"/>
  </hyperlink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361665-B4AF-4735-95B2-D39250838F4D}">
          <x14:formula1>
            <xm:f>'BUSCA DE CUSTO'!$B$19:$B$834</xm:f>
          </x14:formula1>
          <xm:sqref>H21:H400</xm:sqref>
        </x14:dataValidation>
        <x14:dataValidation type="list" allowBlank="1" showInputMessage="1" showErrorMessage="1" xr:uid="{20F21652-88DB-42D5-81A6-9DC55395BEB4}">
          <x14:formula1>
            <xm:f>'BUSCA DE CUSTO'!$B$19:$B$829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0"/>
  <sheetViews>
    <sheetView showGridLines="0" zoomScaleNormal="100" workbookViewId="0">
      <pane xSplit="3" ySplit="19" topLeftCell="D20" activePane="bottomRight" state="frozen"/>
      <selection pane="topRight" activeCell="D1" sqref="D1"/>
      <selection pane="bottomLeft" activeCell="A20" sqref="A20"/>
      <selection pane="bottomRight" activeCell="O20" sqref="O1:O1048576"/>
    </sheetView>
  </sheetViews>
  <sheetFormatPr defaultColWidth="8.5546875" defaultRowHeight="14.4" outlineLevelCol="1" x14ac:dyDescent="0.3"/>
  <cols>
    <col min="1" max="1" width="3" customWidth="1"/>
    <col min="2" max="2" width="42" customWidth="1"/>
    <col min="3" max="3" width="20" customWidth="1"/>
    <col min="4" max="4" width="9" customWidth="1"/>
    <col min="5" max="5" width="3" customWidth="1"/>
    <col min="6" max="6" width="13" customWidth="1"/>
    <col min="7" max="7" width="16" customWidth="1"/>
    <col min="8" max="8" width="40" customWidth="1"/>
    <col min="9" max="9" width="18" customWidth="1"/>
    <col min="10" max="10" width="13" customWidth="1"/>
    <col min="11" max="11" width="15" customWidth="1"/>
    <col min="12" max="12" width="12" customWidth="1"/>
    <col min="13" max="13" width="34" customWidth="1"/>
    <col min="14" max="14" width="34" hidden="1" customWidth="1" outlineLevel="1"/>
    <col min="15" max="15" width="8.5546875" collapsed="1"/>
  </cols>
  <sheetData>
    <row r="1" spans="1:14" x14ac:dyDescent="0.3">
      <c r="A1" s="420" t="s">
        <v>1757</v>
      </c>
      <c r="B1" s="421"/>
      <c r="C1" s="421"/>
    </row>
    <row r="2" spans="1:14" ht="24" customHeight="1" x14ac:dyDescent="0.3">
      <c r="B2" s="433" t="s">
        <v>753</v>
      </c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</row>
    <row r="3" spans="1:14" ht="30" customHeight="1" x14ac:dyDescent="0.3">
      <c r="B3" s="434" t="s">
        <v>754</v>
      </c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</row>
    <row r="4" spans="1:14" ht="13.5" customHeight="1" x14ac:dyDescent="0.3">
      <c r="B4" s="435" t="s">
        <v>755</v>
      </c>
      <c r="C4" s="435"/>
      <c r="D4" s="435"/>
      <c r="E4" s="435"/>
      <c r="F4" s="435"/>
      <c r="G4" s="435"/>
      <c r="H4" s="435"/>
      <c r="I4" s="435"/>
      <c r="J4" s="435"/>
      <c r="K4" s="435"/>
      <c r="L4" s="435"/>
      <c r="M4" s="435"/>
      <c r="N4" s="435"/>
    </row>
    <row r="5" spans="1:14" ht="18.75" customHeight="1" x14ac:dyDescent="0.3">
      <c r="B5" s="432" t="s">
        <v>756</v>
      </c>
      <c r="C5" s="432"/>
    </row>
    <row r="6" spans="1:14" ht="18.75" customHeight="1" x14ac:dyDescent="0.3">
      <c r="B6" s="2" t="s">
        <v>757</v>
      </c>
      <c r="C6" s="317" t="s">
        <v>779</v>
      </c>
    </row>
    <row r="8" spans="1:14" ht="15.75" customHeight="1" x14ac:dyDescent="0.3">
      <c r="B8" s="2" t="s">
        <v>759</v>
      </c>
      <c r="C8" s="8">
        <f ca="1">IFERROR(INDEX($J$21:$J$170,MATCH($C$6&amp;"|"&amp;TEXT(_xlfn.MAXIFS($F$21:$F$170,$H$21:$H$170,$C$6,$F$21:$F$170,"&lt;="&amp;TODAY()),"0"),$N$21:$N$170,0)),"Selecione um item")</f>
        <v>38.08</v>
      </c>
    </row>
    <row r="9" spans="1:14" ht="15.75" customHeight="1" x14ac:dyDescent="0.3">
      <c r="B9" s="2" t="s">
        <v>760</v>
      </c>
      <c r="C9" s="9">
        <f ca="1">IFERROR(_xlfn.MAXIFS($F$21:$F$170,$H$21:$H$170,$C$6,$F$21:$F$170,"&lt;="&amp;TODAY()),"")</f>
        <v>46143</v>
      </c>
    </row>
    <row r="10" spans="1:14" ht="15.75" customHeight="1" x14ac:dyDescent="0.3">
      <c r="B10" s="2" t="s">
        <v>761</v>
      </c>
      <c r="C10" s="8" t="str">
        <f ca="1">IFERROR(INDEX($J$21:$J$170,MATCH($C$6&amp;"|"&amp;TEXT(_xlfn.MAXIFS($F$21:$F$170,$H$21:$H$170,$C$6,$F$21:$F$170,"&lt;"&amp;$C$9),"0"),$N$21:$N$170,0)),"—")</f>
        <v>—</v>
      </c>
    </row>
    <row r="11" spans="1:14" ht="15.75" customHeight="1" x14ac:dyDescent="0.3">
      <c r="B11" s="2" t="s">
        <v>762</v>
      </c>
      <c r="C11" s="9">
        <f ca="1">IFERROR(_xlfn.MAXIFS($F$21:$F$170,$H$21:$H$170,$C$6,$F$21:$F$170,"&lt;"&amp;$C$9),"")</f>
        <v>0</v>
      </c>
    </row>
    <row r="12" spans="1:14" ht="15.75" customHeight="1" x14ac:dyDescent="0.3">
      <c r="B12" s="2" t="s">
        <v>763</v>
      </c>
      <c r="C12" s="10" t="str">
        <f ca="1">IF(OR($C$10="—",$C$10=""),"",($C$8-$C$10)/$C$10)</f>
        <v/>
      </c>
    </row>
    <row r="13" spans="1:14" ht="15.75" customHeight="1" x14ac:dyDescent="0.3">
      <c r="B13" s="2" t="s">
        <v>764</v>
      </c>
      <c r="C13" s="8">
        <f>IFERROR(INDEX($J$21:$J$170,MATCH($C$6&amp;"|"&amp;TEXT(_xlfn.MINIFS($F$21:$F$170,$H$21:$H$170,$C$6),"0"),$N$21:$N$170,0)),"")</f>
        <v>38.08</v>
      </c>
    </row>
    <row r="14" spans="1:14" ht="15.75" customHeight="1" x14ac:dyDescent="0.3">
      <c r="B14" s="2" t="s">
        <v>765</v>
      </c>
      <c r="C14" s="9">
        <f>IFERROR(_xlfn.MINIFS($F$21:$F$170,$H$21:$H$170,$C$6),"")</f>
        <v>46143</v>
      </c>
    </row>
    <row r="15" spans="1:14" ht="15.75" customHeight="1" x14ac:dyDescent="0.3">
      <c r="B15" s="2" t="s">
        <v>766</v>
      </c>
      <c r="C15" s="10">
        <f ca="1">IF(OR($C$13="",$C$13=0),"",($C$8-$C$13)/$C$13)</f>
        <v>0</v>
      </c>
    </row>
    <row r="16" spans="1:14" ht="15.75" customHeight="1" x14ac:dyDescent="0.3">
      <c r="B16" s="2" t="s">
        <v>767</v>
      </c>
      <c r="C16" s="11">
        <f>COUNTIF($H$21:$H$170,$C$6)</f>
        <v>1</v>
      </c>
    </row>
    <row r="18" spans="2:14" ht="18.75" customHeight="1" x14ac:dyDescent="0.3">
      <c r="B18" s="432" t="s">
        <v>768</v>
      </c>
      <c r="C18" s="432"/>
      <c r="D18" s="432"/>
      <c r="F18" s="432" t="s">
        <v>769</v>
      </c>
      <c r="G18" s="432"/>
      <c r="H18" s="432"/>
      <c r="I18" s="432"/>
      <c r="J18" s="432"/>
      <c r="K18" s="432"/>
      <c r="L18" s="432"/>
      <c r="M18" s="432"/>
      <c r="N18" s="432"/>
    </row>
    <row r="19" spans="2:14" ht="27.75" customHeight="1" x14ac:dyDescent="0.3">
      <c r="B19" s="12" t="s">
        <v>770</v>
      </c>
      <c r="C19" s="12" t="s">
        <v>771</v>
      </c>
      <c r="D19" s="13">
        <v>46235</v>
      </c>
      <c r="F19" s="12" t="s">
        <v>772</v>
      </c>
      <c r="G19" s="12" t="s">
        <v>771</v>
      </c>
      <c r="H19" s="12" t="s">
        <v>773</v>
      </c>
      <c r="I19" s="12" t="s">
        <v>774</v>
      </c>
      <c r="J19" s="12" t="s">
        <v>775</v>
      </c>
      <c r="K19" s="12" t="s">
        <v>776</v>
      </c>
      <c r="L19" s="12" t="s">
        <v>777</v>
      </c>
      <c r="M19" s="12" t="s">
        <v>12</v>
      </c>
      <c r="N19" s="12" t="s">
        <v>778</v>
      </c>
    </row>
    <row r="20" spans="2:14" ht="15" customHeight="1" x14ac:dyDescent="0.3">
      <c r="B20" s="14" t="s">
        <v>779</v>
      </c>
      <c r="C20" s="15" t="s">
        <v>780</v>
      </c>
      <c r="D20" s="16">
        <f t="shared" ref="D20:D51" si="0">IF($B20="","",IFERROR(INDEX($J$21:$J$170,MATCH($B20&amp;"|"&amp;TEXT(_xlfn.MAXIFS($F$21:$F$170,$H$21:$H$170,$B20,$F$21:$F$170,"&lt;="&amp;EOMONTH(D$19,0)),"0"),$N$21:$N$170,0)),"-"))</f>
        <v>38.08</v>
      </c>
    </row>
    <row r="21" spans="2:14" ht="13.5" customHeight="1" x14ac:dyDescent="0.3">
      <c r="B21" s="14" t="s">
        <v>781</v>
      </c>
      <c r="C21" s="15" t="s">
        <v>780</v>
      </c>
      <c r="D21" s="16">
        <f t="shared" si="0"/>
        <v>34.22</v>
      </c>
      <c r="F21" s="17">
        <v>46143</v>
      </c>
      <c r="G21" s="18" t="s">
        <v>780</v>
      </c>
      <c r="H21" s="18" t="s">
        <v>779</v>
      </c>
      <c r="I21" s="18" t="s">
        <v>782</v>
      </c>
      <c r="J21" s="19">
        <v>38.08</v>
      </c>
      <c r="K21" s="20" t="str">
        <f t="shared" ref="K21:K52" si="1">IF($H21="","",IFERROR(INDEX($J$21:$J$170,MATCH($H21&amp;"|"&amp;TEXT(_xlfn.MAXIFS($F$21:$F$170,$H$21:$H$170,$H21,$F$21:$F$170,"&lt;"&amp;$F21),"0"),$N$21:$N$170,0)),"1º registro"))</f>
        <v>1º registro</v>
      </c>
      <c r="L21" s="21" t="str">
        <f t="shared" ref="L21:L52" si="2">IF(OR($H21="",$K21="1º registro"),"",IFERROR(($J21-$K21)/$K21,""))</f>
        <v/>
      </c>
      <c r="M21" s="18" t="s">
        <v>783</v>
      </c>
      <c r="N21" s="22" t="str">
        <f t="shared" ref="N21:N52" si="3">IF($H21="","",$H21&amp;"|"&amp;TEXT($F21,"0"))</f>
        <v>12-70 A PRÉ-POLÍMERO TDI|46143</v>
      </c>
    </row>
    <row r="22" spans="2:14" ht="13.5" customHeight="1" x14ac:dyDescent="0.3">
      <c r="B22" s="14" t="s">
        <v>784</v>
      </c>
      <c r="C22" s="15" t="s">
        <v>780</v>
      </c>
      <c r="D22" s="16">
        <f t="shared" si="0"/>
        <v>27.97</v>
      </c>
      <c r="F22" s="17">
        <v>46143</v>
      </c>
      <c r="G22" s="18" t="s">
        <v>780</v>
      </c>
      <c r="H22" s="18" t="s">
        <v>781</v>
      </c>
      <c r="I22" s="18" t="s">
        <v>785</v>
      </c>
      <c r="J22" s="19">
        <v>34.22</v>
      </c>
      <c r="K22" s="20" t="str">
        <f t="shared" si="1"/>
        <v>1º registro</v>
      </c>
      <c r="L22" s="21" t="str">
        <f t="shared" si="2"/>
        <v/>
      </c>
      <c r="M22" s="18" t="s">
        <v>783</v>
      </c>
      <c r="N22" s="22" t="str">
        <f t="shared" si="3"/>
        <v>12-83 PRÉ-POLÍMERO TDI|46143</v>
      </c>
    </row>
    <row r="23" spans="2:14" ht="13.5" customHeight="1" x14ac:dyDescent="0.3">
      <c r="B23" s="14" t="s">
        <v>786</v>
      </c>
      <c r="C23" s="15" t="s">
        <v>780</v>
      </c>
      <c r="D23" s="16">
        <f t="shared" si="0"/>
        <v>18.309999999999999</v>
      </c>
      <c r="F23" s="17">
        <v>46143</v>
      </c>
      <c r="G23" s="18" t="s">
        <v>780</v>
      </c>
      <c r="H23" s="18" t="s">
        <v>784</v>
      </c>
      <c r="I23" s="18" t="s">
        <v>782</v>
      </c>
      <c r="J23" s="19">
        <v>27.97</v>
      </c>
      <c r="K23" s="20" t="str">
        <f t="shared" si="1"/>
        <v>1º registro</v>
      </c>
      <c r="L23" s="21" t="str">
        <f t="shared" si="2"/>
        <v/>
      </c>
      <c r="M23" s="18" t="s">
        <v>783</v>
      </c>
      <c r="N23" s="22" t="str">
        <f t="shared" si="3"/>
        <v>MOCA CURATIVO TDI|46143</v>
      </c>
    </row>
    <row r="24" spans="2:14" ht="13.5" customHeight="1" x14ac:dyDescent="0.3">
      <c r="B24" s="14" t="s">
        <v>787</v>
      </c>
      <c r="C24" s="15" t="s">
        <v>780</v>
      </c>
      <c r="D24" s="16">
        <f t="shared" si="0"/>
        <v>50.95</v>
      </c>
      <c r="F24" s="17">
        <v>46143</v>
      </c>
      <c r="G24" s="18" t="s">
        <v>780</v>
      </c>
      <c r="H24" s="18" t="s">
        <v>786</v>
      </c>
      <c r="I24" s="18" t="s">
        <v>788</v>
      </c>
      <c r="J24" s="19">
        <v>18.309999999999999</v>
      </c>
      <c r="K24" s="20" t="str">
        <f t="shared" si="1"/>
        <v>1º registro</v>
      </c>
      <c r="L24" s="21" t="str">
        <f t="shared" si="2"/>
        <v/>
      </c>
      <c r="M24" s="18" t="s">
        <v>783</v>
      </c>
      <c r="N24" s="22" t="str">
        <f t="shared" si="3"/>
        <v>8086 PRÉ-POLÍMERO TDI|46143</v>
      </c>
    </row>
    <row r="25" spans="2:14" ht="13.5" customHeight="1" x14ac:dyDescent="0.3">
      <c r="B25" s="14" t="s">
        <v>789</v>
      </c>
      <c r="C25" s="15" t="s">
        <v>780</v>
      </c>
      <c r="D25" s="16">
        <f t="shared" si="0"/>
        <v>44.74</v>
      </c>
      <c r="F25" s="17">
        <v>45658</v>
      </c>
      <c r="G25" s="18" t="s">
        <v>780</v>
      </c>
      <c r="H25" s="18" t="s">
        <v>787</v>
      </c>
      <c r="I25" s="18" t="s">
        <v>782</v>
      </c>
      <c r="J25" s="19">
        <v>50.95</v>
      </c>
      <c r="K25" s="20" t="str">
        <f t="shared" si="1"/>
        <v>1º registro</v>
      </c>
      <c r="L25" s="21" t="str">
        <f t="shared" si="2"/>
        <v/>
      </c>
      <c r="M25" s="18" t="s">
        <v>783</v>
      </c>
      <c r="N25" s="22" t="str">
        <f t="shared" si="3"/>
        <v>18Q PRÉ-POLÍMERO MDI|45658</v>
      </c>
    </row>
    <row r="26" spans="2:14" ht="13.5" customHeight="1" x14ac:dyDescent="0.3">
      <c r="B26" s="14" t="s">
        <v>790</v>
      </c>
      <c r="C26" s="15" t="s">
        <v>780</v>
      </c>
      <c r="D26" s="16">
        <f t="shared" si="0"/>
        <v>60.06</v>
      </c>
      <c r="F26" s="17">
        <v>45658</v>
      </c>
      <c r="G26" s="18" t="s">
        <v>780</v>
      </c>
      <c r="H26" s="18" t="s">
        <v>789</v>
      </c>
      <c r="I26" s="18" t="s">
        <v>782</v>
      </c>
      <c r="J26" s="19">
        <v>44.74</v>
      </c>
      <c r="K26" s="20" t="str">
        <f t="shared" si="1"/>
        <v>1º registro</v>
      </c>
      <c r="L26" s="21" t="str">
        <f t="shared" si="2"/>
        <v/>
      </c>
      <c r="M26" s="18" t="s">
        <v>783</v>
      </c>
      <c r="N26" s="22" t="str">
        <f t="shared" si="3"/>
        <v>IMUCURE GS234-960 MDI|45658</v>
      </c>
    </row>
    <row r="27" spans="2:14" ht="13.5" customHeight="1" x14ac:dyDescent="0.3">
      <c r="B27" s="14" t="s">
        <v>791</v>
      </c>
      <c r="C27" s="15" t="s">
        <v>780</v>
      </c>
      <c r="D27" s="16">
        <f t="shared" si="0"/>
        <v>38</v>
      </c>
      <c r="F27" s="17">
        <v>45658</v>
      </c>
      <c r="G27" s="18" t="s">
        <v>780</v>
      </c>
      <c r="H27" s="18" t="s">
        <v>790</v>
      </c>
      <c r="I27" s="18" t="s">
        <v>782</v>
      </c>
      <c r="J27" s="19">
        <v>60.06</v>
      </c>
      <c r="K27" s="20" t="str">
        <f t="shared" si="1"/>
        <v>1º registro</v>
      </c>
      <c r="L27" s="21" t="str">
        <f t="shared" si="2"/>
        <v/>
      </c>
      <c r="M27" s="18" t="s">
        <v>783</v>
      </c>
      <c r="N27" s="22" t="str">
        <f t="shared" si="3"/>
        <v>IMUCURE GR 45 1,4 BUTANODIOL|45658</v>
      </c>
    </row>
    <row r="28" spans="2:14" ht="13.5" customHeight="1" x14ac:dyDescent="0.3">
      <c r="B28" s="14" t="s">
        <v>1647</v>
      </c>
      <c r="C28" s="15" t="s">
        <v>780</v>
      </c>
      <c r="D28" s="16">
        <f t="shared" si="0"/>
        <v>34.130000000000003</v>
      </c>
      <c r="F28" s="17">
        <v>45658</v>
      </c>
      <c r="G28" s="18" t="s">
        <v>780</v>
      </c>
      <c r="H28" s="18" t="s">
        <v>791</v>
      </c>
      <c r="I28" s="18" t="s">
        <v>782</v>
      </c>
      <c r="J28" s="19">
        <v>38</v>
      </c>
      <c r="K28" s="20" t="str">
        <f t="shared" si="1"/>
        <v>1º registro</v>
      </c>
      <c r="L28" s="21" t="str">
        <f t="shared" si="2"/>
        <v/>
      </c>
      <c r="M28" s="18" t="s">
        <v>783</v>
      </c>
      <c r="N28" s="22" t="str">
        <f t="shared" si="3"/>
        <v>8086 BUMPER PRÉ-POLÍMERO TDI|45658</v>
      </c>
    </row>
    <row r="29" spans="2:14" ht="13.5" customHeight="1" x14ac:dyDescent="0.3">
      <c r="B29" s="14" t="s">
        <v>792</v>
      </c>
      <c r="C29" s="15" t="s">
        <v>780</v>
      </c>
      <c r="D29" s="16">
        <f t="shared" si="0"/>
        <v>23.95</v>
      </c>
      <c r="F29" s="17">
        <v>46143</v>
      </c>
      <c r="G29" s="18" t="s">
        <v>780</v>
      </c>
      <c r="H29" s="18" t="s">
        <v>792</v>
      </c>
      <c r="I29" s="18" t="s">
        <v>793</v>
      </c>
      <c r="J29" s="19">
        <v>23.95</v>
      </c>
      <c r="K29" s="20" t="str">
        <f t="shared" si="1"/>
        <v>1º registro</v>
      </c>
      <c r="L29" s="21" t="str">
        <f t="shared" si="2"/>
        <v/>
      </c>
      <c r="M29" s="18" t="s">
        <v>783</v>
      </c>
      <c r="N29" s="22" t="str">
        <f t="shared" si="3"/>
        <v>ATP 85 PRÉ-POLÍMERO (AMINO) TDI|46143</v>
      </c>
    </row>
    <row r="30" spans="2:14" ht="13.5" customHeight="1" x14ac:dyDescent="0.3">
      <c r="B30" s="14" t="s">
        <v>758</v>
      </c>
      <c r="C30" s="15" t="s">
        <v>780</v>
      </c>
      <c r="D30" s="16">
        <f t="shared" si="0"/>
        <v>31.39</v>
      </c>
      <c r="F30" s="17">
        <v>46143</v>
      </c>
      <c r="G30" s="18" t="s">
        <v>780</v>
      </c>
      <c r="H30" s="18" t="s">
        <v>758</v>
      </c>
      <c r="I30" s="18" t="s">
        <v>793</v>
      </c>
      <c r="J30" s="19">
        <v>31.39</v>
      </c>
      <c r="K30" s="20" t="str">
        <f t="shared" si="1"/>
        <v>1º registro</v>
      </c>
      <c r="L30" s="21" t="str">
        <f t="shared" si="2"/>
        <v/>
      </c>
      <c r="M30" s="18" t="s">
        <v>783</v>
      </c>
      <c r="N30" s="22" t="str">
        <f t="shared" si="3"/>
        <v>ATS 85 PRÉ-POLÍMERO (AMINO) TDI|46143</v>
      </c>
    </row>
    <row r="31" spans="2:14" ht="13.5" customHeight="1" x14ac:dyDescent="0.3">
      <c r="B31" s="14" t="s">
        <v>794</v>
      </c>
      <c r="C31" s="15" t="s">
        <v>780</v>
      </c>
      <c r="D31" s="16">
        <f t="shared" si="0"/>
        <v>696.52</v>
      </c>
      <c r="F31" s="17">
        <v>46143</v>
      </c>
      <c r="G31" s="18" t="s">
        <v>780</v>
      </c>
      <c r="H31" s="18" t="s">
        <v>794</v>
      </c>
      <c r="I31" s="18" t="s">
        <v>796</v>
      </c>
      <c r="J31" s="19">
        <v>696.52</v>
      </c>
      <c r="K31" s="20" t="str">
        <f t="shared" si="1"/>
        <v>1º registro</v>
      </c>
      <c r="L31" s="21" t="str">
        <f t="shared" si="2"/>
        <v/>
      </c>
      <c r="M31" s="18" t="s">
        <v>783</v>
      </c>
      <c r="N31" s="22" t="str">
        <f t="shared" si="3"/>
        <v>BLOCO ESPUMA D26 (DINATEC)|46143</v>
      </c>
    </row>
    <row r="32" spans="2:14" ht="13.5" customHeight="1" x14ac:dyDescent="0.3">
      <c r="B32" s="14" t="s">
        <v>795</v>
      </c>
      <c r="C32" s="15" t="s">
        <v>780</v>
      </c>
      <c r="D32" s="16">
        <f t="shared" si="0"/>
        <v>1205.52</v>
      </c>
      <c r="F32" s="17">
        <v>46143</v>
      </c>
      <c r="G32" s="18" t="s">
        <v>780</v>
      </c>
      <c r="H32" s="18" t="s">
        <v>795</v>
      </c>
      <c r="I32" s="18" t="s">
        <v>796</v>
      </c>
      <c r="J32" s="19">
        <v>1205.52</v>
      </c>
      <c r="K32" s="20" t="str">
        <f t="shared" si="1"/>
        <v>1º registro</v>
      </c>
      <c r="L32" s="21" t="str">
        <f t="shared" si="2"/>
        <v/>
      </c>
      <c r="M32" s="18" t="s">
        <v>783</v>
      </c>
      <c r="N32" s="22" t="str">
        <f t="shared" si="3"/>
        <v>BLOCO ESPUMA D45 (DINATEC)|46143</v>
      </c>
    </row>
    <row r="33" spans="2:14" ht="13.5" customHeight="1" x14ac:dyDescent="0.3">
      <c r="B33" s="14" t="s">
        <v>797</v>
      </c>
      <c r="C33" s="15" t="s">
        <v>780</v>
      </c>
      <c r="D33" s="16">
        <f t="shared" si="0"/>
        <v>1607.36</v>
      </c>
      <c r="F33" s="17">
        <v>46143</v>
      </c>
      <c r="G33" s="18" t="s">
        <v>780</v>
      </c>
      <c r="H33" s="18" t="s">
        <v>797</v>
      </c>
      <c r="I33" s="18" t="s">
        <v>796</v>
      </c>
      <c r="J33" s="19">
        <v>1607.36</v>
      </c>
      <c r="K33" s="20" t="str">
        <f t="shared" si="1"/>
        <v>1º registro</v>
      </c>
      <c r="L33" s="21" t="str">
        <f t="shared" si="2"/>
        <v/>
      </c>
      <c r="M33" s="18" t="s">
        <v>783</v>
      </c>
      <c r="N33" s="22" t="str">
        <f t="shared" si="3"/>
        <v>BLOCO ESPUMA D60 (DINATEC)|46143</v>
      </c>
    </row>
    <row r="34" spans="2:14" ht="13.5" customHeight="1" x14ac:dyDescent="0.3">
      <c r="B34" s="14" t="s">
        <v>798</v>
      </c>
      <c r="C34" s="15" t="s">
        <v>780</v>
      </c>
      <c r="D34" s="16">
        <f t="shared" si="0"/>
        <v>2143.15</v>
      </c>
      <c r="F34" s="17">
        <v>46143</v>
      </c>
      <c r="G34" s="18" t="s">
        <v>780</v>
      </c>
      <c r="H34" s="18" t="s">
        <v>798</v>
      </c>
      <c r="I34" s="18" t="s">
        <v>796</v>
      </c>
      <c r="J34" s="19">
        <v>2143.15</v>
      </c>
      <c r="K34" s="20" t="str">
        <f t="shared" si="1"/>
        <v>1º registro</v>
      </c>
      <c r="L34" s="21" t="str">
        <f t="shared" si="2"/>
        <v/>
      </c>
      <c r="M34" s="18" t="s">
        <v>783</v>
      </c>
      <c r="N34" s="22" t="str">
        <f t="shared" si="3"/>
        <v>BLOCO ESPUMA D80 (DINATEC)|46143</v>
      </c>
    </row>
    <row r="35" spans="2:14" ht="13.5" customHeight="1" x14ac:dyDescent="0.3">
      <c r="B35" s="14" t="s">
        <v>799</v>
      </c>
      <c r="C35" s="15" t="s">
        <v>780</v>
      </c>
      <c r="D35" s="16">
        <f t="shared" si="0"/>
        <v>42.52</v>
      </c>
      <c r="F35" s="17">
        <v>46143</v>
      </c>
      <c r="G35" s="18" t="s">
        <v>780</v>
      </c>
      <c r="H35" s="18" t="s">
        <v>799</v>
      </c>
      <c r="I35" s="18" t="s">
        <v>801</v>
      </c>
      <c r="J35" s="19">
        <v>42.52</v>
      </c>
      <c r="K35" s="20" t="str">
        <f t="shared" si="1"/>
        <v>1º registro</v>
      </c>
      <c r="L35" s="21" t="str">
        <f t="shared" si="2"/>
        <v/>
      </c>
      <c r="M35" s="18" t="s">
        <v>783</v>
      </c>
      <c r="N35" s="22" t="str">
        <f t="shared" si="3"/>
        <v>ELASTOMERO 385 TECPUR (kg)|46143</v>
      </c>
    </row>
    <row r="36" spans="2:14" ht="13.5" customHeight="1" x14ac:dyDescent="0.3">
      <c r="B36" s="14" t="s">
        <v>800</v>
      </c>
      <c r="C36" s="15" t="s">
        <v>780</v>
      </c>
      <c r="D36" s="16">
        <f t="shared" si="0"/>
        <v>27.97</v>
      </c>
      <c r="F36" s="17">
        <v>46143</v>
      </c>
      <c r="G36" s="18" t="s">
        <v>780</v>
      </c>
      <c r="H36" s="18" t="s">
        <v>800</v>
      </c>
      <c r="I36" s="18" t="s">
        <v>782</v>
      </c>
      <c r="J36" s="19">
        <v>27.97</v>
      </c>
      <c r="K36" s="20" t="str">
        <f t="shared" si="1"/>
        <v>1º registro</v>
      </c>
      <c r="L36" s="21" t="str">
        <f t="shared" si="2"/>
        <v/>
      </c>
      <c r="M36" s="18" t="s">
        <v>783</v>
      </c>
      <c r="N36" s="22" t="str">
        <f t="shared" si="3"/>
        <v>MOCA / CURATIVO (kg)|46143</v>
      </c>
    </row>
    <row r="37" spans="2:14" ht="13.5" customHeight="1" x14ac:dyDescent="0.3">
      <c r="B37" s="14" t="s">
        <v>802</v>
      </c>
      <c r="C37" s="15" t="s">
        <v>780</v>
      </c>
      <c r="D37" s="16">
        <f t="shared" si="0"/>
        <v>20.36</v>
      </c>
      <c r="F37" s="17">
        <v>46143</v>
      </c>
      <c r="G37" s="18" t="s">
        <v>780</v>
      </c>
      <c r="H37" s="18" t="s">
        <v>802</v>
      </c>
      <c r="I37" s="18" t="s">
        <v>793</v>
      </c>
      <c r="J37" s="19">
        <v>20.36</v>
      </c>
      <c r="K37" s="20" t="str">
        <f t="shared" si="1"/>
        <v>1º registro</v>
      </c>
      <c r="L37" s="21" t="str">
        <f t="shared" si="2"/>
        <v/>
      </c>
      <c r="M37" s="18" t="s">
        <v>783</v>
      </c>
      <c r="N37" s="22" t="str">
        <f t="shared" si="3"/>
        <v>SISTEMA AMINO 2471 A ALTA (kg)|46143</v>
      </c>
    </row>
    <row r="38" spans="2:14" ht="13.5" customHeight="1" x14ac:dyDescent="0.3">
      <c r="B38" s="14" t="s">
        <v>803</v>
      </c>
      <c r="C38" s="15" t="s">
        <v>780</v>
      </c>
      <c r="D38" s="16">
        <f t="shared" si="0"/>
        <v>20.36</v>
      </c>
      <c r="F38" s="17">
        <v>46143</v>
      </c>
      <c r="G38" s="18" t="s">
        <v>780</v>
      </c>
      <c r="H38" s="18" t="s">
        <v>803</v>
      </c>
      <c r="I38" s="18" t="s">
        <v>793</v>
      </c>
      <c r="J38" s="19">
        <v>20.36</v>
      </c>
      <c r="K38" s="20" t="str">
        <f t="shared" si="1"/>
        <v>1º registro</v>
      </c>
      <c r="L38" s="21" t="str">
        <f t="shared" si="2"/>
        <v/>
      </c>
      <c r="M38" s="18" t="s">
        <v>783</v>
      </c>
      <c r="N38" s="22" t="str">
        <f t="shared" si="3"/>
        <v>SISTEMA AMINO 2475 A MÉDIA (kg)|46143</v>
      </c>
    </row>
    <row r="39" spans="2:14" ht="13.5" customHeight="1" x14ac:dyDescent="0.3">
      <c r="B39" s="14" t="s">
        <v>804</v>
      </c>
      <c r="C39" s="15" t="s">
        <v>780</v>
      </c>
      <c r="D39" s="16">
        <f t="shared" si="0"/>
        <v>20.36</v>
      </c>
      <c r="F39" s="17">
        <v>46143</v>
      </c>
      <c r="G39" s="18" t="s">
        <v>780</v>
      </c>
      <c r="H39" s="18" t="s">
        <v>804</v>
      </c>
      <c r="I39" s="18" t="s">
        <v>793</v>
      </c>
      <c r="J39" s="19">
        <v>20.36</v>
      </c>
      <c r="K39" s="20" t="str">
        <f t="shared" si="1"/>
        <v>1º registro</v>
      </c>
      <c r="L39" s="21" t="str">
        <f t="shared" si="2"/>
        <v/>
      </c>
      <c r="M39" s="18" t="s">
        <v>783</v>
      </c>
      <c r="N39" s="22" t="str">
        <f t="shared" si="3"/>
        <v>SISTEMA AMINO 122 B ISO (kg)|46143</v>
      </c>
    </row>
    <row r="40" spans="2:14" ht="13.5" customHeight="1" x14ac:dyDescent="0.3">
      <c r="B40" s="14" t="s">
        <v>805</v>
      </c>
      <c r="C40" s="15" t="s">
        <v>780</v>
      </c>
      <c r="D40" s="16">
        <f t="shared" si="0"/>
        <v>87</v>
      </c>
      <c r="F40" s="17">
        <v>45627</v>
      </c>
      <c r="G40" s="18" t="s">
        <v>780</v>
      </c>
      <c r="H40" s="18" t="s">
        <v>805</v>
      </c>
      <c r="I40" s="18" t="s">
        <v>807</v>
      </c>
      <c r="J40" s="19">
        <v>87</v>
      </c>
      <c r="K40" s="20" t="str">
        <f t="shared" si="1"/>
        <v>1º registro</v>
      </c>
      <c r="L40" s="21" t="str">
        <f t="shared" si="2"/>
        <v/>
      </c>
      <c r="M40" s="18" t="s">
        <v>783</v>
      </c>
      <c r="N40" s="22" t="str">
        <f t="shared" si="3"/>
        <v>PIGMENTO (kg) - ASTA QUIMICA|45627</v>
      </c>
    </row>
    <row r="41" spans="2:14" ht="13.5" customHeight="1" x14ac:dyDescent="0.3">
      <c r="B41" s="14" t="s">
        <v>806</v>
      </c>
      <c r="C41" s="15" t="s">
        <v>780</v>
      </c>
      <c r="D41" s="16">
        <f t="shared" si="0"/>
        <v>3</v>
      </c>
      <c r="F41" s="17">
        <v>45597</v>
      </c>
      <c r="G41" s="18" t="s">
        <v>780</v>
      </c>
      <c r="H41" s="18" t="s">
        <v>806</v>
      </c>
      <c r="I41" s="18" t="s">
        <v>809</v>
      </c>
      <c r="J41" s="19">
        <v>3</v>
      </c>
      <c r="K41" s="20" t="str">
        <f t="shared" si="1"/>
        <v>1º registro</v>
      </c>
      <c r="L41" s="21" t="str">
        <f t="shared" si="2"/>
        <v/>
      </c>
      <c r="M41" s="18" t="s">
        <v>783</v>
      </c>
      <c r="N41" s="22" t="str">
        <f t="shared" si="3"/>
        <v>CORDA OLHAL (metro)|45597</v>
      </c>
    </row>
    <row r="42" spans="2:14" ht="13.5" customHeight="1" x14ac:dyDescent="0.3">
      <c r="B42" s="14" t="s">
        <v>808</v>
      </c>
      <c r="C42" s="15" t="s">
        <v>780</v>
      </c>
      <c r="D42" s="16">
        <f t="shared" si="0"/>
        <v>142.88</v>
      </c>
      <c r="F42" s="17">
        <v>46143</v>
      </c>
      <c r="G42" s="18" t="s">
        <v>780</v>
      </c>
      <c r="H42" s="18" t="s">
        <v>808</v>
      </c>
      <c r="I42" s="18" t="s">
        <v>811</v>
      </c>
      <c r="J42" s="19">
        <v>142.88</v>
      </c>
      <c r="K42" s="20" t="str">
        <f t="shared" si="1"/>
        <v>1º registro</v>
      </c>
      <c r="L42" s="21" t="str">
        <f t="shared" si="2"/>
        <v/>
      </c>
      <c r="M42" s="18" t="s">
        <v>783</v>
      </c>
      <c r="N42" s="22" t="str">
        <f t="shared" si="3"/>
        <v>ESCOVA FINA HLR (metro)|46143</v>
      </c>
    </row>
    <row r="43" spans="2:14" ht="13.5" customHeight="1" x14ac:dyDescent="0.3">
      <c r="B43" s="14" t="s">
        <v>810</v>
      </c>
      <c r="C43" s="15" t="s">
        <v>780</v>
      </c>
      <c r="D43" s="16">
        <f t="shared" si="0"/>
        <v>179.34</v>
      </c>
      <c r="F43" s="17">
        <v>46143</v>
      </c>
      <c r="G43" s="18" t="s">
        <v>780</v>
      </c>
      <c r="H43" s="18" t="s">
        <v>810</v>
      </c>
      <c r="I43" s="18" t="s">
        <v>811</v>
      </c>
      <c r="J43" s="19">
        <v>179.34</v>
      </c>
      <c r="K43" s="20" t="str">
        <f t="shared" si="1"/>
        <v>1º registro</v>
      </c>
      <c r="L43" s="21" t="str">
        <f t="shared" si="2"/>
        <v/>
      </c>
      <c r="M43" s="18" t="s">
        <v>783</v>
      </c>
      <c r="N43" s="22" t="str">
        <f t="shared" si="3"/>
        <v>ESCOVA GROSSA HLR (metro)|46143</v>
      </c>
    </row>
    <row r="44" spans="2:14" ht="13.5" customHeight="1" x14ac:dyDescent="0.3">
      <c r="B44" s="14" t="s">
        <v>812</v>
      </c>
      <c r="C44" s="15" t="s">
        <v>780</v>
      </c>
      <c r="D44" s="16">
        <f t="shared" si="0"/>
        <v>5.84</v>
      </c>
      <c r="F44" s="17">
        <v>45597</v>
      </c>
      <c r="G44" s="18" t="s">
        <v>780</v>
      </c>
      <c r="H44" s="18" t="s">
        <v>812</v>
      </c>
      <c r="I44" s="18" t="s">
        <v>809</v>
      </c>
      <c r="J44" s="19">
        <v>5.84</v>
      </c>
      <c r="K44" s="20" t="str">
        <f t="shared" si="1"/>
        <v>1º registro</v>
      </c>
      <c r="L44" s="21" t="str">
        <f t="shared" si="2"/>
        <v/>
      </c>
      <c r="M44" s="18" t="s">
        <v>783</v>
      </c>
      <c r="N44" s="22" t="str">
        <f t="shared" si="3"/>
        <v>VELCRO HLR V (metro)|45597</v>
      </c>
    </row>
    <row r="45" spans="2:14" ht="13.5" customHeight="1" x14ac:dyDescent="0.3">
      <c r="B45" s="14" t="s">
        <v>813</v>
      </c>
      <c r="C45" s="15" t="s">
        <v>780</v>
      </c>
      <c r="D45" s="16">
        <f t="shared" si="0"/>
        <v>15.15</v>
      </c>
      <c r="F45" s="17">
        <v>45658</v>
      </c>
      <c r="G45" s="18" t="s">
        <v>780</v>
      </c>
      <c r="H45" s="18" t="s">
        <v>813</v>
      </c>
      <c r="I45" s="18" t="s">
        <v>809</v>
      </c>
      <c r="J45" s="19">
        <v>15.15</v>
      </c>
      <c r="K45" s="20" t="str">
        <f t="shared" si="1"/>
        <v>1º registro</v>
      </c>
      <c r="L45" s="21" t="str">
        <f t="shared" si="2"/>
        <v/>
      </c>
      <c r="M45" s="18" t="s">
        <v>783</v>
      </c>
      <c r="N45" s="22" t="str">
        <f t="shared" si="3"/>
        <v>COLA SAPATEIRO (kg)|45658</v>
      </c>
    </row>
    <row r="46" spans="2:14" ht="13.5" customHeight="1" x14ac:dyDescent="0.3">
      <c r="B46" s="14" t="s">
        <v>814</v>
      </c>
      <c r="C46" s="15" t="s">
        <v>780</v>
      </c>
      <c r="D46" s="16">
        <f t="shared" si="0"/>
        <v>9.6999999999999993</v>
      </c>
      <c r="F46" s="17">
        <v>45627</v>
      </c>
      <c r="G46" s="18" t="s">
        <v>780</v>
      </c>
      <c r="H46" s="18" t="s">
        <v>814</v>
      </c>
      <c r="I46" s="18" t="s">
        <v>809</v>
      </c>
      <c r="J46" s="19">
        <v>9.6999999999999993</v>
      </c>
      <c r="K46" s="20" t="str">
        <f t="shared" si="1"/>
        <v>1º registro</v>
      </c>
      <c r="L46" s="21" t="str">
        <f t="shared" si="2"/>
        <v/>
      </c>
      <c r="M46" s="18" t="s">
        <v>783</v>
      </c>
      <c r="N46" s="22" t="str">
        <f t="shared" si="3"/>
        <v>CABO DE AÇO (metro)|45627</v>
      </c>
    </row>
    <row r="47" spans="2:14" ht="13.5" customHeight="1" x14ac:dyDescent="0.3">
      <c r="B47" s="14" t="s">
        <v>815</v>
      </c>
      <c r="C47" s="15" t="s">
        <v>780</v>
      </c>
      <c r="D47" s="16">
        <f t="shared" si="0"/>
        <v>0.95</v>
      </c>
      <c r="F47" s="17">
        <v>45627</v>
      </c>
      <c r="G47" s="18" t="s">
        <v>780</v>
      </c>
      <c r="H47" s="18" t="s">
        <v>815</v>
      </c>
      <c r="I47" s="18" t="s">
        <v>809</v>
      </c>
      <c r="J47" s="19">
        <v>0.95</v>
      </c>
      <c r="K47" s="20" t="str">
        <f t="shared" si="1"/>
        <v>1º registro</v>
      </c>
      <c r="L47" s="21" t="str">
        <f t="shared" si="2"/>
        <v/>
      </c>
      <c r="M47" s="18" t="s">
        <v>783</v>
      </c>
      <c r="N47" s="22" t="str">
        <f t="shared" si="3"/>
        <v>PRENSA CABO 3/16" (unidade)|45627</v>
      </c>
    </row>
    <row r="48" spans="2:14" ht="13.5" customHeight="1" x14ac:dyDescent="0.3">
      <c r="B48" s="14" t="s">
        <v>816</v>
      </c>
      <c r="C48" s="15" t="s">
        <v>780</v>
      </c>
      <c r="D48" s="16">
        <f t="shared" si="0"/>
        <v>35.15</v>
      </c>
      <c r="F48" s="17">
        <v>46143</v>
      </c>
      <c r="G48" s="18" t="s">
        <v>780</v>
      </c>
      <c r="H48" s="18" t="s">
        <v>816</v>
      </c>
      <c r="I48" s="18" t="s">
        <v>809</v>
      </c>
      <c r="J48" s="19">
        <v>35.15</v>
      </c>
      <c r="K48" s="20" t="str">
        <f t="shared" si="1"/>
        <v>1º registro</v>
      </c>
      <c r="L48" s="21" t="str">
        <f t="shared" si="2"/>
        <v/>
      </c>
      <c r="M48" s="18" t="s">
        <v>783</v>
      </c>
      <c r="N48" s="22" t="str">
        <f t="shared" si="3"/>
        <v>KIT FIXAÇÃO HLCC-PC (conjunto)|46143</v>
      </c>
    </row>
    <row r="49" spans="2:14" ht="13.5" customHeight="1" x14ac:dyDescent="0.3">
      <c r="B49" s="14" t="s">
        <v>817</v>
      </c>
      <c r="C49" s="15" t="s">
        <v>780</v>
      </c>
      <c r="D49" s="16">
        <f t="shared" si="0"/>
        <v>57</v>
      </c>
      <c r="F49" s="17">
        <v>45627</v>
      </c>
      <c r="G49" s="18" t="s">
        <v>780</v>
      </c>
      <c r="H49" s="18" t="s">
        <v>817</v>
      </c>
      <c r="I49" s="18" t="s">
        <v>809</v>
      </c>
      <c r="J49" s="19">
        <v>57</v>
      </c>
      <c r="K49" s="20" t="str">
        <f t="shared" si="1"/>
        <v>1º registro</v>
      </c>
      <c r="L49" s="21" t="str">
        <f t="shared" si="2"/>
        <v/>
      </c>
      <c r="M49" s="18" t="s">
        <v>783</v>
      </c>
      <c r="N49" s="22" t="str">
        <f t="shared" si="3"/>
        <v>BARRA ROSCADA 3/4" (metro)|45627</v>
      </c>
    </row>
    <row r="50" spans="2:14" ht="13.5" customHeight="1" x14ac:dyDescent="0.3">
      <c r="B50" s="14" t="s">
        <v>818</v>
      </c>
      <c r="C50" s="15" t="s">
        <v>780</v>
      </c>
      <c r="D50" s="16">
        <f t="shared" si="0"/>
        <v>55</v>
      </c>
      <c r="F50" s="17">
        <v>45658</v>
      </c>
      <c r="G50" s="18" t="s">
        <v>780</v>
      </c>
      <c r="H50" s="18" t="s">
        <v>818</v>
      </c>
      <c r="I50" s="18" t="s">
        <v>809</v>
      </c>
      <c r="J50" s="19">
        <v>55</v>
      </c>
      <c r="K50" s="20" t="str">
        <f t="shared" si="1"/>
        <v>1º registro</v>
      </c>
      <c r="L50" s="21" t="str">
        <f t="shared" si="2"/>
        <v/>
      </c>
      <c r="M50" s="18" t="s">
        <v>783</v>
      </c>
      <c r="N50" s="22" t="str">
        <f t="shared" si="3"/>
        <v>BUMPER PU - COIM (kg)|45658</v>
      </c>
    </row>
    <row r="51" spans="2:14" ht="13.5" customHeight="1" x14ac:dyDescent="0.3">
      <c r="B51" s="14"/>
      <c r="C51" s="15"/>
      <c r="D51" s="16" t="str">
        <f t="shared" si="0"/>
        <v/>
      </c>
      <c r="F51" s="17">
        <v>46246</v>
      </c>
      <c r="G51" s="18" t="s">
        <v>780</v>
      </c>
      <c r="H51" s="18" t="s">
        <v>1647</v>
      </c>
      <c r="I51" s="18" t="s">
        <v>793</v>
      </c>
      <c r="J51" s="19">
        <v>34.130000000000003</v>
      </c>
      <c r="K51" s="20" t="str">
        <f t="shared" si="1"/>
        <v>1º registro</v>
      </c>
      <c r="L51" s="21" t="str">
        <f t="shared" si="2"/>
        <v/>
      </c>
      <c r="M51" s="18" t="s">
        <v>1649</v>
      </c>
      <c r="N51" s="22" t="str">
        <f t="shared" si="3"/>
        <v>ATS 75 PRÉ-POLÍMERO (AMINO) TDI|46246</v>
      </c>
    </row>
    <row r="52" spans="2:14" ht="13.5" customHeight="1" x14ac:dyDescent="0.3">
      <c r="B52" s="14"/>
      <c r="C52" s="15"/>
      <c r="D52" s="16" t="str">
        <f t="shared" ref="D52:D70" si="4">IF($B52="","",IFERROR(INDEX($J$21:$J$170,MATCH($B52&amp;"|"&amp;TEXT(_xlfn.MAXIFS($F$21:$F$170,$H$21:$H$170,$B52,$F$21:$F$170,"&lt;="&amp;EOMONTH(D$19,0)),"0"),$N$21:$N$170,0)),"-"))</f>
        <v/>
      </c>
      <c r="F52" s="18"/>
      <c r="G52" s="18"/>
      <c r="H52" s="18"/>
      <c r="I52" s="18"/>
      <c r="J52" s="18"/>
      <c r="K52" s="20" t="str">
        <f t="shared" si="1"/>
        <v/>
      </c>
      <c r="L52" s="21" t="str">
        <f t="shared" si="2"/>
        <v/>
      </c>
      <c r="M52" s="18"/>
      <c r="N52" s="22" t="str">
        <f t="shared" si="3"/>
        <v/>
      </c>
    </row>
    <row r="53" spans="2:14" ht="13.5" customHeight="1" x14ac:dyDescent="0.3">
      <c r="B53" s="14"/>
      <c r="C53" s="15"/>
      <c r="D53" s="16" t="str">
        <f t="shared" si="4"/>
        <v/>
      </c>
      <c r="F53" s="18"/>
      <c r="G53" s="18"/>
      <c r="H53" s="18"/>
      <c r="I53" s="18"/>
      <c r="J53" s="18"/>
      <c r="K53" s="20" t="str">
        <f t="shared" ref="K53:K84" si="5">IF($H53="","",IFERROR(INDEX($J$21:$J$170,MATCH($H53&amp;"|"&amp;TEXT(_xlfn.MAXIFS($F$21:$F$170,$H$21:$H$170,$H53,$F$21:$F$170,"&lt;"&amp;$F53),"0"),$N$21:$N$170,0)),"1º registro"))</f>
        <v/>
      </c>
      <c r="L53" s="21" t="str">
        <f t="shared" ref="L53:L84" si="6">IF(OR($H53="",$K53="1º registro"),"",IFERROR(($J53-$K53)/$K53,""))</f>
        <v/>
      </c>
      <c r="M53" s="18"/>
      <c r="N53" s="22" t="str">
        <f t="shared" ref="N53:N84" si="7">IF($H53="","",$H53&amp;"|"&amp;TEXT($F53,"0"))</f>
        <v/>
      </c>
    </row>
    <row r="54" spans="2:14" ht="13.5" customHeight="1" x14ac:dyDescent="0.3">
      <c r="B54" s="14"/>
      <c r="C54" s="15"/>
      <c r="D54" s="16" t="str">
        <f t="shared" si="4"/>
        <v/>
      </c>
      <c r="F54" s="18"/>
      <c r="G54" s="18"/>
      <c r="H54" s="18"/>
      <c r="I54" s="18"/>
      <c r="J54" s="18"/>
      <c r="K54" s="20" t="str">
        <f t="shared" si="5"/>
        <v/>
      </c>
      <c r="L54" s="21" t="str">
        <f t="shared" si="6"/>
        <v/>
      </c>
      <c r="M54" s="18"/>
      <c r="N54" s="22" t="str">
        <f t="shared" si="7"/>
        <v/>
      </c>
    </row>
    <row r="55" spans="2:14" ht="13.5" customHeight="1" x14ac:dyDescent="0.3">
      <c r="B55" s="14"/>
      <c r="C55" s="15"/>
      <c r="D55" s="16" t="str">
        <f t="shared" si="4"/>
        <v/>
      </c>
      <c r="F55" s="18"/>
      <c r="G55" s="18"/>
      <c r="H55" s="18"/>
      <c r="I55" s="18"/>
      <c r="J55" s="18"/>
      <c r="K55" s="20" t="str">
        <f t="shared" si="5"/>
        <v/>
      </c>
      <c r="L55" s="21" t="str">
        <f t="shared" si="6"/>
        <v/>
      </c>
      <c r="M55" s="18"/>
      <c r="N55" s="22" t="str">
        <f t="shared" si="7"/>
        <v/>
      </c>
    </row>
    <row r="56" spans="2:14" ht="13.5" customHeight="1" x14ac:dyDescent="0.3">
      <c r="B56" s="14"/>
      <c r="C56" s="15"/>
      <c r="D56" s="16" t="str">
        <f t="shared" si="4"/>
        <v/>
      </c>
      <c r="F56" s="18"/>
      <c r="G56" s="18"/>
      <c r="H56" s="18"/>
      <c r="I56" s="18"/>
      <c r="J56" s="18"/>
      <c r="K56" s="20" t="str">
        <f t="shared" si="5"/>
        <v/>
      </c>
      <c r="L56" s="21" t="str">
        <f t="shared" si="6"/>
        <v/>
      </c>
      <c r="M56" s="18"/>
      <c r="N56" s="22" t="str">
        <f t="shared" si="7"/>
        <v/>
      </c>
    </row>
    <row r="57" spans="2:14" ht="13.5" customHeight="1" x14ac:dyDescent="0.3">
      <c r="B57" s="14"/>
      <c r="C57" s="15"/>
      <c r="D57" s="16" t="str">
        <f t="shared" si="4"/>
        <v/>
      </c>
      <c r="F57" s="18"/>
      <c r="G57" s="18"/>
      <c r="H57" s="18"/>
      <c r="I57" s="18"/>
      <c r="J57" s="18"/>
      <c r="K57" s="20" t="str">
        <f t="shared" si="5"/>
        <v/>
      </c>
      <c r="L57" s="21" t="str">
        <f t="shared" si="6"/>
        <v/>
      </c>
      <c r="M57" s="18"/>
      <c r="N57" s="22" t="str">
        <f t="shared" si="7"/>
        <v/>
      </c>
    </row>
    <row r="58" spans="2:14" ht="13.5" customHeight="1" x14ac:dyDescent="0.3">
      <c r="B58" s="14"/>
      <c r="C58" s="15"/>
      <c r="D58" s="16" t="str">
        <f t="shared" si="4"/>
        <v/>
      </c>
      <c r="F58" s="18"/>
      <c r="G58" s="18"/>
      <c r="H58" s="18"/>
      <c r="I58" s="18"/>
      <c r="J58" s="18"/>
      <c r="K58" s="20" t="str">
        <f t="shared" si="5"/>
        <v/>
      </c>
      <c r="L58" s="21" t="str">
        <f t="shared" si="6"/>
        <v/>
      </c>
      <c r="M58" s="18"/>
      <c r="N58" s="22" t="str">
        <f t="shared" si="7"/>
        <v/>
      </c>
    </row>
    <row r="59" spans="2:14" ht="13.5" customHeight="1" x14ac:dyDescent="0.3">
      <c r="B59" s="14"/>
      <c r="C59" s="15"/>
      <c r="D59" s="16" t="str">
        <f t="shared" si="4"/>
        <v/>
      </c>
      <c r="F59" s="18"/>
      <c r="G59" s="18"/>
      <c r="H59" s="18"/>
      <c r="I59" s="18"/>
      <c r="J59" s="18"/>
      <c r="K59" s="20" t="str">
        <f t="shared" si="5"/>
        <v/>
      </c>
      <c r="L59" s="21" t="str">
        <f t="shared" si="6"/>
        <v/>
      </c>
      <c r="M59" s="18"/>
      <c r="N59" s="22" t="str">
        <f t="shared" si="7"/>
        <v/>
      </c>
    </row>
    <row r="60" spans="2:14" ht="13.5" customHeight="1" x14ac:dyDescent="0.3">
      <c r="B60" s="14"/>
      <c r="C60" s="15"/>
      <c r="D60" s="16" t="str">
        <f t="shared" si="4"/>
        <v/>
      </c>
      <c r="F60" s="18"/>
      <c r="G60" s="18"/>
      <c r="H60" s="18"/>
      <c r="I60" s="18"/>
      <c r="J60" s="18"/>
      <c r="K60" s="20" t="str">
        <f t="shared" si="5"/>
        <v/>
      </c>
      <c r="L60" s="21" t="str">
        <f t="shared" si="6"/>
        <v/>
      </c>
      <c r="M60" s="18"/>
      <c r="N60" s="22" t="str">
        <f t="shared" si="7"/>
        <v/>
      </c>
    </row>
    <row r="61" spans="2:14" ht="13.5" customHeight="1" x14ac:dyDescent="0.3">
      <c r="B61" s="14"/>
      <c r="C61" s="15"/>
      <c r="D61" s="16" t="str">
        <f t="shared" si="4"/>
        <v/>
      </c>
      <c r="F61" s="18"/>
      <c r="G61" s="18"/>
      <c r="H61" s="18"/>
      <c r="I61" s="18"/>
      <c r="J61" s="18"/>
      <c r="K61" s="20" t="str">
        <f t="shared" si="5"/>
        <v/>
      </c>
      <c r="L61" s="21" t="str">
        <f t="shared" si="6"/>
        <v/>
      </c>
      <c r="M61" s="18"/>
      <c r="N61" s="22" t="str">
        <f t="shared" si="7"/>
        <v/>
      </c>
    </row>
    <row r="62" spans="2:14" ht="13.5" customHeight="1" x14ac:dyDescent="0.3">
      <c r="B62" s="14"/>
      <c r="C62" s="15"/>
      <c r="D62" s="16" t="str">
        <f t="shared" si="4"/>
        <v/>
      </c>
      <c r="F62" s="18"/>
      <c r="G62" s="18"/>
      <c r="H62" s="18"/>
      <c r="I62" s="18"/>
      <c r="J62" s="18"/>
      <c r="K62" s="20" t="str">
        <f t="shared" si="5"/>
        <v/>
      </c>
      <c r="L62" s="21" t="str">
        <f t="shared" si="6"/>
        <v/>
      </c>
      <c r="M62" s="18"/>
      <c r="N62" s="22" t="str">
        <f t="shared" si="7"/>
        <v/>
      </c>
    </row>
    <row r="63" spans="2:14" ht="13.5" customHeight="1" x14ac:dyDescent="0.3">
      <c r="B63" s="14"/>
      <c r="C63" s="15"/>
      <c r="D63" s="16" t="str">
        <f t="shared" si="4"/>
        <v/>
      </c>
      <c r="F63" s="18"/>
      <c r="G63" s="18"/>
      <c r="H63" s="18"/>
      <c r="I63" s="18"/>
      <c r="J63" s="18"/>
      <c r="K63" s="20" t="str">
        <f t="shared" si="5"/>
        <v/>
      </c>
      <c r="L63" s="21" t="str">
        <f t="shared" si="6"/>
        <v/>
      </c>
      <c r="M63" s="18"/>
      <c r="N63" s="22" t="str">
        <f t="shared" si="7"/>
        <v/>
      </c>
    </row>
    <row r="64" spans="2:14" ht="13.5" customHeight="1" x14ac:dyDescent="0.3">
      <c r="B64" s="14"/>
      <c r="C64" s="15"/>
      <c r="D64" s="16" t="str">
        <f t="shared" si="4"/>
        <v/>
      </c>
      <c r="F64" s="18"/>
      <c r="G64" s="18"/>
      <c r="H64" s="18"/>
      <c r="I64" s="18"/>
      <c r="J64" s="18"/>
      <c r="K64" s="20" t="str">
        <f t="shared" si="5"/>
        <v/>
      </c>
      <c r="L64" s="21" t="str">
        <f t="shared" si="6"/>
        <v/>
      </c>
      <c r="M64" s="18"/>
      <c r="N64" s="22" t="str">
        <f t="shared" si="7"/>
        <v/>
      </c>
    </row>
    <row r="65" spans="2:14" ht="13.5" customHeight="1" x14ac:dyDescent="0.3">
      <c r="B65" s="14"/>
      <c r="C65" s="15"/>
      <c r="D65" s="16" t="str">
        <f t="shared" si="4"/>
        <v/>
      </c>
      <c r="F65" s="18"/>
      <c r="G65" s="18"/>
      <c r="H65" s="18"/>
      <c r="I65" s="18"/>
      <c r="J65" s="18"/>
      <c r="K65" s="20" t="str">
        <f t="shared" si="5"/>
        <v/>
      </c>
      <c r="L65" s="21" t="str">
        <f t="shared" si="6"/>
        <v/>
      </c>
      <c r="M65" s="18"/>
      <c r="N65" s="22" t="str">
        <f t="shared" si="7"/>
        <v/>
      </c>
    </row>
    <row r="66" spans="2:14" ht="13.5" customHeight="1" x14ac:dyDescent="0.3">
      <c r="B66" s="14"/>
      <c r="C66" s="15"/>
      <c r="D66" s="16" t="str">
        <f t="shared" si="4"/>
        <v/>
      </c>
      <c r="F66" s="18"/>
      <c r="G66" s="18"/>
      <c r="H66" s="18"/>
      <c r="I66" s="18"/>
      <c r="J66" s="18"/>
      <c r="K66" s="20" t="str">
        <f t="shared" si="5"/>
        <v/>
      </c>
      <c r="L66" s="21" t="str">
        <f t="shared" si="6"/>
        <v/>
      </c>
      <c r="M66" s="18"/>
      <c r="N66" s="22" t="str">
        <f t="shared" si="7"/>
        <v/>
      </c>
    </row>
    <row r="67" spans="2:14" ht="13.5" customHeight="1" x14ac:dyDescent="0.3">
      <c r="B67" s="14"/>
      <c r="C67" s="15"/>
      <c r="D67" s="16" t="str">
        <f t="shared" si="4"/>
        <v/>
      </c>
      <c r="F67" s="18"/>
      <c r="G67" s="18"/>
      <c r="H67" s="18"/>
      <c r="I67" s="18"/>
      <c r="J67" s="18"/>
      <c r="K67" s="20" t="str">
        <f t="shared" si="5"/>
        <v/>
      </c>
      <c r="L67" s="21" t="str">
        <f t="shared" si="6"/>
        <v/>
      </c>
      <c r="M67" s="18"/>
      <c r="N67" s="22" t="str">
        <f t="shared" si="7"/>
        <v/>
      </c>
    </row>
    <row r="68" spans="2:14" ht="13.5" customHeight="1" x14ac:dyDescent="0.3">
      <c r="B68" s="14"/>
      <c r="C68" s="15"/>
      <c r="D68" s="16" t="str">
        <f t="shared" si="4"/>
        <v/>
      </c>
      <c r="F68" s="18"/>
      <c r="G68" s="18"/>
      <c r="H68" s="18"/>
      <c r="I68" s="18"/>
      <c r="J68" s="18"/>
      <c r="K68" s="20" t="str">
        <f t="shared" si="5"/>
        <v/>
      </c>
      <c r="L68" s="21" t="str">
        <f t="shared" si="6"/>
        <v/>
      </c>
      <c r="M68" s="18"/>
      <c r="N68" s="22" t="str">
        <f t="shared" si="7"/>
        <v/>
      </c>
    </row>
    <row r="69" spans="2:14" ht="13.5" customHeight="1" x14ac:dyDescent="0.3">
      <c r="B69" s="14"/>
      <c r="C69" s="15"/>
      <c r="D69" s="16" t="str">
        <f t="shared" si="4"/>
        <v/>
      </c>
      <c r="F69" s="18"/>
      <c r="G69" s="18"/>
      <c r="H69" s="18"/>
      <c r="I69" s="18"/>
      <c r="J69" s="18"/>
      <c r="K69" s="20" t="str">
        <f t="shared" si="5"/>
        <v/>
      </c>
      <c r="L69" s="21" t="str">
        <f t="shared" si="6"/>
        <v/>
      </c>
      <c r="M69" s="18"/>
      <c r="N69" s="22" t="str">
        <f t="shared" si="7"/>
        <v/>
      </c>
    </row>
    <row r="70" spans="2:14" ht="13.5" customHeight="1" x14ac:dyDescent="0.3">
      <c r="B70" s="14"/>
      <c r="C70" s="15"/>
      <c r="D70" s="16" t="str">
        <f t="shared" si="4"/>
        <v/>
      </c>
      <c r="F70" s="18"/>
      <c r="G70" s="18"/>
      <c r="H70" s="18"/>
      <c r="I70" s="18"/>
      <c r="J70" s="18"/>
      <c r="K70" s="20" t="str">
        <f t="shared" si="5"/>
        <v/>
      </c>
      <c r="L70" s="21" t="str">
        <f t="shared" si="6"/>
        <v/>
      </c>
      <c r="M70" s="18"/>
      <c r="N70" s="22" t="str">
        <f t="shared" si="7"/>
        <v/>
      </c>
    </row>
    <row r="71" spans="2:14" ht="13.5" customHeight="1" x14ac:dyDescent="0.3">
      <c r="F71" s="18"/>
      <c r="G71" s="18"/>
      <c r="H71" s="18"/>
      <c r="I71" s="18"/>
      <c r="J71" s="18"/>
      <c r="K71" s="20" t="str">
        <f t="shared" si="5"/>
        <v/>
      </c>
      <c r="L71" s="21" t="str">
        <f t="shared" si="6"/>
        <v/>
      </c>
      <c r="M71" s="18"/>
      <c r="N71" s="22" t="str">
        <f t="shared" si="7"/>
        <v/>
      </c>
    </row>
    <row r="72" spans="2:14" ht="13.5" customHeight="1" x14ac:dyDescent="0.3">
      <c r="F72" s="18"/>
      <c r="G72" s="18"/>
      <c r="H72" s="18"/>
      <c r="I72" s="18"/>
      <c r="J72" s="18"/>
      <c r="K72" s="20" t="str">
        <f t="shared" si="5"/>
        <v/>
      </c>
      <c r="L72" s="21" t="str">
        <f t="shared" si="6"/>
        <v/>
      </c>
      <c r="M72" s="18"/>
      <c r="N72" s="22" t="str">
        <f t="shared" si="7"/>
        <v/>
      </c>
    </row>
    <row r="73" spans="2:14" ht="13.5" customHeight="1" x14ac:dyDescent="0.3">
      <c r="F73" s="18"/>
      <c r="G73" s="18"/>
      <c r="H73" s="18"/>
      <c r="I73" s="18"/>
      <c r="J73" s="18"/>
      <c r="K73" s="20" t="str">
        <f t="shared" si="5"/>
        <v/>
      </c>
      <c r="L73" s="21" t="str">
        <f t="shared" si="6"/>
        <v/>
      </c>
      <c r="M73" s="18"/>
      <c r="N73" s="22" t="str">
        <f t="shared" si="7"/>
        <v/>
      </c>
    </row>
    <row r="74" spans="2:14" ht="13.5" customHeight="1" x14ac:dyDescent="0.3">
      <c r="F74" s="18"/>
      <c r="G74" s="18"/>
      <c r="H74" s="18"/>
      <c r="I74" s="18"/>
      <c r="J74" s="18"/>
      <c r="K74" s="20" t="str">
        <f t="shared" si="5"/>
        <v/>
      </c>
      <c r="L74" s="21" t="str">
        <f t="shared" si="6"/>
        <v/>
      </c>
      <c r="M74" s="18"/>
      <c r="N74" s="22" t="str">
        <f t="shared" si="7"/>
        <v/>
      </c>
    </row>
    <row r="75" spans="2:14" ht="13.5" customHeight="1" x14ac:dyDescent="0.3">
      <c r="F75" s="18"/>
      <c r="G75" s="18"/>
      <c r="H75" s="18"/>
      <c r="I75" s="18"/>
      <c r="J75" s="18"/>
      <c r="K75" s="20" t="str">
        <f t="shared" si="5"/>
        <v/>
      </c>
      <c r="L75" s="21" t="str">
        <f t="shared" si="6"/>
        <v/>
      </c>
      <c r="M75" s="18"/>
      <c r="N75" s="22" t="str">
        <f t="shared" si="7"/>
        <v/>
      </c>
    </row>
    <row r="76" spans="2:14" ht="13.5" customHeight="1" x14ac:dyDescent="0.3">
      <c r="F76" s="18"/>
      <c r="G76" s="18"/>
      <c r="H76" s="18"/>
      <c r="I76" s="18"/>
      <c r="J76" s="18"/>
      <c r="K76" s="20" t="str">
        <f t="shared" si="5"/>
        <v/>
      </c>
      <c r="L76" s="21" t="str">
        <f t="shared" si="6"/>
        <v/>
      </c>
      <c r="M76" s="18"/>
      <c r="N76" s="22" t="str">
        <f t="shared" si="7"/>
        <v/>
      </c>
    </row>
    <row r="77" spans="2:14" ht="13.5" customHeight="1" x14ac:dyDescent="0.3">
      <c r="F77" s="18"/>
      <c r="G77" s="18"/>
      <c r="H77" s="18"/>
      <c r="I77" s="18"/>
      <c r="J77" s="18"/>
      <c r="K77" s="20" t="str">
        <f t="shared" si="5"/>
        <v/>
      </c>
      <c r="L77" s="21" t="str">
        <f t="shared" si="6"/>
        <v/>
      </c>
      <c r="M77" s="18"/>
      <c r="N77" s="22" t="str">
        <f t="shared" si="7"/>
        <v/>
      </c>
    </row>
    <row r="78" spans="2:14" ht="13.5" customHeight="1" x14ac:dyDescent="0.3">
      <c r="F78" s="18"/>
      <c r="G78" s="18"/>
      <c r="H78" s="18"/>
      <c r="I78" s="18"/>
      <c r="J78" s="18"/>
      <c r="K78" s="20" t="str">
        <f t="shared" si="5"/>
        <v/>
      </c>
      <c r="L78" s="21" t="str">
        <f t="shared" si="6"/>
        <v/>
      </c>
      <c r="M78" s="18"/>
      <c r="N78" s="22" t="str">
        <f t="shared" si="7"/>
        <v/>
      </c>
    </row>
    <row r="79" spans="2:14" ht="13.5" customHeight="1" x14ac:dyDescent="0.3">
      <c r="F79" s="18"/>
      <c r="G79" s="18"/>
      <c r="H79" s="18"/>
      <c r="I79" s="18"/>
      <c r="J79" s="18"/>
      <c r="K79" s="20" t="str">
        <f t="shared" si="5"/>
        <v/>
      </c>
      <c r="L79" s="21" t="str">
        <f t="shared" si="6"/>
        <v/>
      </c>
      <c r="M79" s="18"/>
      <c r="N79" s="22" t="str">
        <f t="shared" si="7"/>
        <v/>
      </c>
    </row>
    <row r="80" spans="2:14" ht="13.5" customHeight="1" x14ac:dyDescent="0.3">
      <c r="F80" s="18"/>
      <c r="G80" s="18"/>
      <c r="H80" s="18"/>
      <c r="I80" s="18"/>
      <c r="J80" s="18"/>
      <c r="K80" s="20" t="str">
        <f t="shared" si="5"/>
        <v/>
      </c>
      <c r="L80" s="21" t="str">
        <f t="shared" si="6"/>
        <v/>
      </c>
      <c r="M80" s="18"/>
      <c r="N80" s="22" t="str">
        <f t="shared" si="7"/>
        <v/>
      </c>
    </row>
    <row r="81" spans="6:14" ht="13.5" customHeight="1" x14ac:dyDescent="0.3">
      <c r="F81" s="18"/>
      <c r="G81" s="18"/>
      <c r="H81" s="18"/>
      <c r="I81" s="18"/>
      <c r="J81" s="18"/>
      <c r="K81" s="20" t="str">
        <f t="shared" si="5"/>
        <v/>
      </c>
      <c r="L81" s="21" t="str">
        <f t="shared" si="6"/>
        <v/>
      </c>
      <c r="M81" s="18"/>
      <c r="N81" s="22" t="str">
        <f t="shared" si="7"/>
        <v/>
      </c>
    </row>
    <row r="82" spans="6:14" ht="13.5" customHeight="1" x14ac:dyDescent="0.3">
      <c r="F82" s="18"/>
      <c r="G82" s="18"/>
      <c r="H82" s="18"/>
      <c r="I82" s="18"/>
      <c r="J82" s="18"/>
      <c r="K82" s="20" t="str">
        <f t="shared" si="5"/>
        <v/>
      </c>
      <c r="L82" s="21" t="str">
        <f t="shared" si="6"/>
        <v/>
      </c>
      <c r="M82" s="18"/>
      <c r="N82" s="22" t="str">
        <f t="shared" si="7"/>
        <v/>
      </c>
    </row>
    <row r="83" spans="6:14" ht="13.5" customHeight="1" x14ac:dyDescent="0.3">
      <c r="F83" s="18"/>
      <c r="G83" s="18"/>
      <c r="H83" s="18"/>
      <c r="I83" s="18"/>
      <c r="J83" s="18"/>
      <c r="K83" s="20" t="str">
        <f t="shared" si="5"/>
        <v/>
      </c>
      <c r="L83" s="21" t="str">
        <f t="shared" si="6"/>
        <v/>
      </c>
      <c r="M83" s="18"/>
      <c r="N83" s="22" t="str">
        <f t="shared" si="7"/>
        <v/>
      </c>
    </row>
    <row r="84" spans="6:14" ht="13.5" customHeight="1" x14ac:dyDescent="0.3">
      <c r="F84" s="18"/>
      <c r="G84" s="18"/>
      <c r="H84" s="18"/>
      <c r="I84" s="18"/>
      <c r="J84" s="18"/>
      <c r="K84" s="20" t="str">
        <f t="shared" si="5"/>
        <v/>
      </c>
      <c r="L84" s="21" t="str">
        <f t="shared" si="6"/>
        <v/>
      </c>
      <c r="M84" s="18"/>
      <c r="N84" s="22" t="str">
        <f t="shared" si="7"/>
        <v/>
      </c>
    </row>
    <row r="85" spans="6:14" ht="13.5" customHeight="1" x14ac:dyDescent="0.3">
      <c r="F85" s="18"/>
      <c r="G85" s="18"/>
      <c r="H85" s="18"/>
      <c r="I85" s="18"/>
      <c r="J85" s="18"/>
      <c r="K85" s="20" t="str">
        <f t="shared" ref="K85:K116" si="8">IF($H85="","",IFERROR(INDEX($J$21:$J$170,MATCH($H85&amp;"|"&amp;TEXT(_xlfn.MAXIFS($F$21:$F$170,$H$21:$H$170,$H85,$F$21:$F$170,"&lt;"&amp;$F85),"0"),$N$21:$N$170,0)),"1º registro"))</f>
        <v/>
      </c>
      <c r="L85" s="21" t="str">
        <f t="shared" ref="L85:L116" si="9">IF(OR($H85="",$K85="1º registro"),"",IFERROR(($J85-$K85)/$K85,""))</f>
        <v/>
      </c>
      <c r="M85" s="18"/>
      <c r="N85" s="22" t="str">
        <f t="shared" ref="N85:N116" si="10">IF($H85="","",$H85&amp;"|"&amp;TEXT($F85,"0"))</f>
        <v/>
      </c>
    </row>
    <row r="86" spans="6:14" ht="13.5" customHeight="1" x14ac:dyDescent="0.3">
      <c r="F86" s="18"/>
      <c r="G86" s="18"/>
      <c r="H86" s="18"/>
      <c r="I86" s="18"/>
      <c r="J86" s="18"/>
      <c r="K86" s="20" t="str">
        <f t="shared" si="8"/>
        <v/>
      </c>
      <c r="L86" s="21" t="str">
        <f t="shared" si="9"/>
        <v/>
      </c>
      <c r="M86" s="18"/>
      <c r="N86" s="22" t="str">
        <f t="shared" si="10"/>
        <v/>
      </c>
    </row>
    <row r="87" spans="6:14" ht="13.5" customHeight="1" x14ac:dyDescent="0.3">
      <c r="F87" s="18"/>
      <c r="G87" s="18"/>
      <c r="H87" s="18"/>
      <c r="I87" s="18"/>
      <c r="J87" s="18"/>
      <c r="K87" s="20" t="str">
        <f t="shared" si="8"/>
        <v/>
      </c>
      <c r="L87" s="21" t="str">
        <f t="shared" si="9"/>
        <v/>
      </c>
      <c r="M87" s="18"/>
      <c r="N87" s="22" t="str">
        <f t="shared" si="10"/>
        <v/>
      </c>
    </row>
    <row r="88" spans="6:14" ht="13.5" customHeight="1" x14ac:dyDescent="0.3">
      <c r="F88" s="18"/>
      <c r="G88" s="18"/>
      <c r="H88" s="18"/>
      <c r="I88" s="18"/>
      <c r="J88" s="18"/>
      <c r="K88" s="20" t="str">
        <f t="shared" si="8"/>
        <v/>
      </c>
      <c r="L88" s="21" t="str">
        <f t="shared" si="9"/>
        <v/>
      </c>
      <c r="M88" s="18"/>
      <c r="N88" s="22" t="str">
        <f t="shared" si="10"/>
        <v/>
      </c>
    </row>
    <row r="89" spans="6:14" ht="13.5" customHeight="1" x14ac:dyDescent="0.3">
      <c r="F89" s="18"/>
      <c r="G89" s="18"/>
      <c r="H89" s="18"/>
      <c r="I89" s="18"/>
      <c r="J89" s="18"/>
      <c r="K89" s="20" t="str">
        <f t="shared" si="8"/>
        <v/>
      </c>
      <c r="L89" s="21" t="str">
        <f t="shared" si="9"/>
        <v/>
      </c>
      <c r="M89" s="18"/>
      <c r="N89" s="22" t="str">
        <f t="shared" si="10"/>
        <v/>
      </c>
    </row>
    <row r="90" spans="6:14" ht="13.5" customHeight="1" x14ac:dyDescent="0.3">
      <c r="F90" s="18"/>
      <c r="G90" s="18"/>
      <c r="H90" s="18"/>
      <c r="I90" s="18"/>
      <c r="J90" s="18"/>
      <c r="K90" s="20" t="str">
        <f t="shared" si="8"/>
        <v/>
      </c>
      <c r="L90" s="21" t="str">
        <f t="shared" si="9"/>
        <v/>
      </c>
      <c r="M90" s="18"/>
      <c r="N90" s="22" t="str">
        <f t="shared" si="10"/>
        <v/>
      </c>
    </row>
    <row r="91" spans="6:14" ht="13.5" customHeight="1" x14ac:dyDescent="0.3">
      <c r="F91" s="18"/>
      <c r="G91" s="18"/>
      <c r="H91" s="18"/>
      <c r="I91" s="18"/>
      <c r="J91" s="18"/>
      <c r="K91" s="20" t="str">
        <f t="shared" si="8"/>
        <v/>
      </c>
      <c r="L91" s="21" t="str">
        <f t="shared" si="9"/>
        <v/>
      </c>
      <c r="M91" s="18"/>
      <c r="N91" s="22" t="str">
        <f t="shared" si="10"/>
        <v/>
      </c>
    </row>
    <row r="92" spans="6:14" ht="13.5" customHeight="1" x14ac:dyDescent="0.3">
      <c r="F92" s="18"/>
      <c r="G92" s="18"/>
      <c r="H92" s="18"/>
      <c r="I92" s="18"/>
      <c r="J92" s="18"/>
      <c r="K92" s="20" t="str">
        <f t="shared" si="8"/>
        <v/>
      </c>
      <c r="L92" s="21" t="str">
        <f t="shared" si="9"/>
        <v/>
      </c>
      <c r="M92" s="18"/>
      <c r="N92" s="22" t="str">
        <f t="shared" si="10"/>
        <v/>
      </c>
    </row>
    <row r="93" spans="6:14" ht="13.5" customHeight="1" x14ac:dyDescent="0.3">
      <c r="F93" s="18"/>
      <c r="G93" s="18"/>
      <c r="H93" s="18"/>
      <c r="I93" s="18"/>
      <c r="J93" s="18"/>
      <c r="K93" s="20" t="str">
        <f t="shared" si="8"/>
        <v/>
      </c>
      <c r="L93" s="21" t="str">
        <f t="shared" si="9"/>
        <v/>
      </c>
      <c r="M93" s="18"/>
      <c r="N93" s="22" t="str">
        <f t="shared" si="10"/>
        <v/>
      </c>
    </row>
    <row r="94" spans="6:14" ht="13.5" customHeight="1" x14ac:dyDescent="0.3">
      <c r="F94" s="18"/>
      <c r="G94" s="18"/>
      <c r="H94" s="18"/>
      <c r="I94" s="18"/>
      <c r="J94" s="18"/>
      <c r="K94" s="20" t="str">
        <f t="shared" si="8"/>
        <v/>
      </c>
      <c r="L94" s="21" t="str">
        <f t="shared" si="9"/>
        <v/>
      </c>
      <c r="M94" s="18"/>
      <c r="N94" s="22" t="str">
        <f t="shared" si="10"/>
        <v/>
      </c>
    </row>
    <row r="95" spans="6:14" ht="13.5" customHeight="1" x14ac:dyDescent="0.3">
      <c r="F95" s="18"/>
      <c r="G95" s="18"/>
      <c r="H95" s="18"/>
      <c r="I95" s="18"/>
      <c r="J95" s="18"/>
      <c r="K95" s="20" t="str">
        <f t="shared" si="8"/>
        <v/>
      </c>
      <c r="L95" s="21" t="str">
        <f t="shared" si="9"/>
        <v/>
      </c>
      <c r="M95" s="18"/>
      <c r="N95" s="22" t="str">
        <f t="shared" si="10"/>
        <v/>
      </c>
    </row>
    <row r="96" spans="6:14" ht="13.5" customHeight="1" x14ac:dyDescent="0.3">
      <c r="F96" s="18"/>
      <c r="G96" s="18"/>
      <c r="H96" s="18"/>
      <c r="I96" s="18"/>
      <c r="J96" s="18"/>
      <c r="K96" s="20" t="str">
        <f t="shared" si="8"/>
        <v/>
      </c>
      <c r="L96" s="21" t="str">
        <f t="shared" si="9"/>
        <v/>
      </c>
      <c r="M96" s="18"/>
      <c r="N96" s="22" t="str">
        <f t="shared" si="10"/>
        <v/>
      </c>
    </row>
    <row r="97" spans="6:14" ht="13.5" customHeight="1" x14ac:dyDescent="0.3">
      <c r="F97" s="18"/>
      <c r="G97" s="18"/>
      <c r="H97" s="18"/>
      <c r="I97" s="18"/>
      <c r="J97" s="18"/>
      <c r="K97" s="20" t="str">
        <f t="shared" si="8"/>
        <v/>
      </c>
      <c r="L97" s="21" t="str">
        <f t="shared" si="9"/>
        <v/>
      </c>
      <c r="M97" s="18"/>
      <c r="N97" s="22" t="str">
        <f t="shared" si="10"/>
        <v/>
      </c>
    </row>
    <row r="98" spans="6:14" ht="13.5" customHeight="1" x14ac:dyDescent="0.3">
      <c r="F98" s="18"/>
      <c r="G98" s="18"/>
      <c r="H98" s="18"/>
      <c r="I98" s="18"/>
      <c r="J98" s="18"/>
      <c r="K98" s="20" t="str">
        <f t="shared" si="8"/>
        <v/>
      </c>
      <c r="L98" s="21" t="str">
        <f t="shared" si="9"/>
        <v/>
      </c>
      <c r="M98" s="18"/>
      <c r="N98" s="22" t="str">
        <f t="shared" si="10"/>
        <v/>
      </c>
    </row>
    <row r="99" spans="6:14" ht="13.5" customHeight="1" x14ac:dyDescent="0.3">
      <c r="F99" s="18"/>
      <c r="G99" s="18"/>
      <c r="H99" s="18"/>
      <c r="I99" s="18"/>
      <c r="J99" s="18"/>
      <c r="K99" s="20" t="str">
        <f t="shared" si="8"/>
        <v/>
      </c>
      <c r="L99" s="21" t="str">
        <f t="shared" si="9"/>
        <v/>
      </c>
      <c r="M99" s="18"/>
      <c r="N99" s="22" t="str">
        <f t="shared" si="10"/>
        <v/>
      </c>
    </row>
    <row r="100" spans="6:14" ht="13.5" customHeight="1" x14ac:dyDescent="0.3">
      <c r="F100" s="18"/>
      <c r="G100" s="18"/>
      <c r="H100" s="18"/>
      <c r="I100" s="18"/>
      <c r="J100" s="18"/>
      <c r="K100" s="20" t="str">
        <f t="shared" si="8"/>
        <v/>
      </c>
      <c r="L100" s="21" t="str">
        <f t="shared" si="9"/>
        <v/>
      </c>
      <c r="M100" s="18"/>
      <c r="N100" s="22" t="str">
        <f t="shared" si="10"/>
        <v/>
      </c>
    </row>
    <row r="101" spans="6:14" ht="13.5" customHeight="1" x14ac:dyDescent="0.3">
      <c r="F101" s="18"/>
      <c r="G101" s="18"/>
      <c r="H101" s="18"/>
      <c r="I101" s="18"/>
      <c r="J101" s="18"/>
      <c r="K101" s="20" t="str">
        <f t="shared" si="8"/>
        <v/>
      </c>
      <c r="L101" s="21" t="str">
        <f t="shared" si="9"/>
        <v/>
      </c>
      <c r="M101" s="18"/>
      <c r="N101" s="22" t="str">
        <f t="shared" si="10"/>
        <v/>
      </c>
    </row>
    <row r="102" spans="6:14" ht="13.5" customHeight="1" x14ac:dyDescent="0.3">
      <c r="F102" s="18"/>
      <c r="G102" s="18"/>
      <c r="H102" s="18"/>
      <c r="I102" s="18"/>
      <c r="J102" s="18"/>
      <c r="K102" s="20" t="str">
        <f t="shared" si="8"/>
        <v/>
      </c>
      <c r="L102" s="21" t="str">
        <f t="shared" si="9"/>
        <v/>
      </c>
      <c r="M102" s="18"/>
      <c r="N102" s="22" t="str">
        <f t="shared" si="10"/>
        <v/>
      </c>
    </row>
    <row r="103" spans="6:14" ht="13.5" customHeight="1" x14ac:dyDescent="0.3">
      <c r="F103" s="18"/>
      <c r="G103" s="18"/>
      <c r="H103" s="18"/>
      <c r="I103" s="18"/>
      <c r="J103" s="18"/>
      <c r="K103" s="20" t="str">
        <f t="shared" si="8"/>
        <v/>
      </c>
      <c r="L103" s="21" t="str">
        <f t="shared" si="9"/>
        <v/>
      </c>
      <c r="M103" s="18"/>
      <c r="N103" s="22" t="str">
        <f t="shared" si="10"/>
        <v/>
      </c>
    </row>
    <row r="104" spans="6:14" ht="13.5" customHeight="1" x14ac:dyDescent="0.3">
      <c r="F104" s="18"/>
      <c r="G104" s="18"/>
      <c r="H104" s="18"/>
      <c r="I104" s="18"/>
      <c r="J104" s="18"/>
      <c r="K104" s="20" t="str">
        <f t="shared" si="8"/>
        <v/>
      </c>
      <c r="L104" s="21" t="str">
        <f t="shared" si="9"/>
        <v/>
      </c>
      <c r="M104" s="18"/>
      <c r="N104" s="22" t="str">
        <f t="shared" si="10"/>
        <v/>
      </c>
    </row>
    <row r="105" spans="6:14" ht="13.5" customHeight="1" x14ac:dyDescent="0.3">
      <c r="F105" s="18"/>
      <c r="G105" s="18"/>
      <c r="H105" s="18"/>
      <c r="I105" s="18"/>
      <c r="J105" s="18"/>
      <c r="K105" s="20" t="str">
        <f t="shared" si="8"/>
        <v/>
      </c>
      <c r="L105" s="21" t="str">
        <f t="shared" si="9"/>
        <v/>
      </c>
      <c r="M105" s="18"/>
      <c r="N105" s="22" t="str">
        <f t="shared" si="10"/>
        <v/>
      </c>
    </row>
    <row r="106" spans="6:14" ht="13.5" customHeight="1" x14ac:dyDescent="0.3">
      <c r="F106" s="18"/>
      <c r="G106" s="18"/>
      <c r="H106" s="18"/>
      <c r="I106" s="18"/>
      <c r="J106" s="18"/>
      <c r="K106" s="20" t="str">
        <f t="shared" si="8"/>
        <v/>
      </c>
      <c r="L106" s="21" t="str">
        <f t="shared" si="9"/>
        <v/>
      </c>
      <c r="M106" s="18"/>
      <c r="N106" s="22" t="str">
        <f t="shared" si="10"/>
        <v/>
      </c>
    </row>
    <row r="107" spans="6:14" ht="13.5" customHeight="1" x14ac:dyDescent="0.3">
      <c r="F107" s="18"/>
      <c r="G107" s="18"/>
      <c r="H107" s="18"/>
      <c r="I107" s="18"/>
      <c r="J107" s="18"/>
      <c r="K107" s="20" t="str">
        <f t="shared" si="8"/>
        <v/>
      </c>
      <c r="L107" s="21" t="str">
        <f t="shared" si="9"/>
        <v/>
      </c>
      <c r="M107" s="18"/>
      <c r="N107" s="22" t="str">
        <f t="shared" si="10"/>
        <v/>
      </c>
    </row>
    <row r="108" spans="6:14" ht="13.5" customHeight="1" x14ac:dyDescent="0.3">
      <c r="F108" s="18"/>
      <c r="G108" s="18"/>
      <c r="H108" s="18"/>
      <c r="I108" s="18"/>
      <c r="J108" s="18"/>
      <c r="K108" s="20" t="str">
        <f t="shared" si="8"/>
        <v/>
      </c>
      <c r="L108" s="21" t="str">
        <f t="shared" si="9"/>
        <v/>
      </c>
      <c r="M108" s="18"/>
      <c r="N108" s="22" t="str">
        <f t="shared" si="10"/>
        <v/>
      </c>
    </row>
    <row r="109" spans="6:14" ht="13.5" customHeight="1" x14ac:dyDescent="0.3">
      <c r="F109" s="18"/>
      <c r="G109" s="18"/>
      <c r="H109" s="18"/>
      <c r="I109" s="18"/>
      <c r="J109" s="18"/>
      <c r="K109" s="20" t="str">
        <f t="shared" si="8"/>
        <v/>
      </c>
      <c r="L109" s="21" t="str">
        <f t="shared" si="9"/>
        <v/>
      </c>
      <c r="M109" s="18"/>
      <c r="N109" s="22" t="str">
        <f t="shared" si="10"/>
        <v/>
      </c>
    </row>
    <row r="110" spans="6:14" ht="13.5" customHeight="1" x14ac:dyDescent="0.3">
      <c r="F110" s="18"/>
      <c r="G110" s="18"/>
      <c r="H110" s="18"/>
      <c r="I110" s="18"/>
      <c r="J110" s="18"/>
      <c r="K110" s="20" t="str">
        <f t="shared" si="8"/>
        <v/>
      </c>
      <c r="L110" s="21" t="str">
        <f t="shared" si="9"/>
        <v/>
      </c>
      <c r="M110" s="18"/>
      <c r="N110" s="22" t="str">
        <f t="shared" si="10"/>
        <v/>
      </c>
    </row>
    <row r="111" spans="6:14" ht="13.5" customHeight="1" x14ac:dyDescent="0.3">
      <c r="F111" s="18"/>
      <c r="G111" s="18"/>
      <c r="H111" s="18"/>
      <c r="I111" s="18"/>
      <c r="J111" s="18"/>
      <c r="K111" s="20" t="str">
        <f t="shared" si="8"/>
        <v/>
      </c>
      <c r="L111" s="21" t="str">
        <f t="shared" si="9"/>
        <v/>
      </c>
      <c r="M111" s="18"/>
      <c r="N111" s="22" t="str">
        <f t="shared" si="10"/>
        <v/>
      </c>
    </row>
    <row r="112" spans="6:14" ht="13.5" customHeight="1" x14ac:dyDescent="0.3">
      <c r="F112" s="18"/>
      <c r="G112" s="18"/>
      <c r="H112" s="18"/>
      <c r="I112" s="18"/>
      <c r="J112" s="18"/>
      <c r="K112" s="20" t="str">
        <f t="shared" si="8"/>
        <v/>
      </c>
      <c r="L112" s="21" t="str">
        <f t="shared" si="9"/>
        <v/>
      </c>
      <c r="M112" s="18"/>
      <c r="N112" s="22" t="str">
        <f t="shared" si="10"/>
        <v/>
      </c>
    </row>
    <row r="113" spans="6:14" ht="13.5" customHeight="1" x14ac:dyDescent="0.3">
      <c r="F113" s="18"/>
      <c r="G113" s="18"/>
      <c r="H113" s="18"/>
      <c r="I113" s="18"/>
      <c r="J113" s="18"/>
      <c r="K113" s="20" t="str">
        <f t="shared" si="8"/>
        <v/>
      </c>
      <c r="L113" s="21" t="str">
        <f t="shared" si="9"/>
        <v/>
      </c>
      <c r="M113" s="18"/>
      <c r="N113" s="22" t="str">
        <f t="shared" si="10"/>
        <v/>
      </c>
    </row>
    <row r="114" spans="6:14" ht="13.5" customHeight="1" x14ac:dyDescent="0.3">
      <c r="F114" s="18"/>
      <c r="G114" s="18"/>
      <c r="H114" s="18"/>
      <c r="I114" s="18"/>
      <c r="J114" s="18"/>
      <c r="K114" s="20" t="str">
        <f t="shared" si="8"/>
        <v/>
      </c>
      <c r="L114" s="21" t="str">
        <f t="shared" si="9"/>
        <v/>
      </c>
      <c r="M114" s="18"/>
      <c r="N114" s="22" t="str">
        <f t="shared" si="10"/>
        <v/>
      </c>
    </row>
    <row r="115" spans="6:14" ht="13.5" customHeight="1" x14ac:dyDescent="0.3">
      <c r="F115" s="18"/>
      <c r="G115" s="18"/>
      <c r="H115" s="18"/>
      <c r="I115" s="18"/>
      <c r="J115" s="18"/>
      <c r="K115" s="20" t="str">
        <f t="shared" si="8"/>
        <v/>
      </c>
      <c r="L115" s="21" t="str">
        <f t="shared" si="9"/>
        <v/>
      </c>
      <c r="M115" s="18"/>
      <c r="N115" s="22" t="str">
        <f t="shared" si="10"/>
        <v/>
      </c>
    </row>
    <row r="116" spans="6:14" ht="13.5" customHeight="1" x14ac:dyDescent="0.3">
      <c r="F116" s="18"/>
      <c r="G116" s="18"/>
      <c r="H116" s="18"/>
      <c r="I116" s="18"/>
      <c r="J116" s="18"/>
      <c r="K116" s="20" t="str">
        <f t="shared" si="8"/>
        <v/>
      </c>
      <c r="L116" s="21" t="str">
        <f t="shared" si="9"/>
        <v/>
      </c>
      <c r="M116" s="18"/>
      <c r="N116" s="22" t="str">
        <f t="shared" si="10"/>
        <v/>
      </c>
    </row>
    <row r="117" spans="6:14" ht="13.5" customHeight="1" x14ac:dyDescent="0.3">
      <c r="F117" s="18"/>
      <c r="G117" s="18"/>
      <c r="H117" s="18"/>
      <c r="I117" s="18"/>
      <c r="J117" s="18"/>
      <c r="K117" s="20" t="str">
        <f t="shared" ref="K117:K148" si="11">IF($H117="","",IFERROR(INDEX($J$21:$J$170,MATCH($H117&amp;"|"&amp;TEXT(_xlfn.MAXIFS($F$21:$F$170,$H$21:$H$170,$H117,$F$21:$F$170,"&lt;"&amp;$F117),"0"),$N$21:$N$170,0)),"1º registro"))</f>
        <v/>
      </c>
      <c r="L117" s="21" t="str">
        <f t="shared" ref="L117:L148" si="12">IF(OR($H117="",$K117="1º registro"),"",IFERROR(($J117-$K117)/$K117,""))</f>
        <v/>
      </c>
      <c r="M117" s="18"/>
      <c r="N117" s="22" t="str">
        <f t="shared" ref="N117:N148" si="13">IF($H117="","",$H117&amp;"|"&amp;TEXT($F117,"0"))</f>
        <v/>
      </c>
    </row>
    <row r="118" spans="6:14" ht="13.5" customHeight="1" x14ac:dyDescent="0.3">
      <c r="F118" s="18"/>
      <c r="G118" s="18"/>
      <c r="H118" s="18"/>
      <c r="I118" s="18"/>
      <c r="J118" s="18"/>
      <c r="K118" s="20" t="str">
        <f t="shared" si="11"/>
        <v/>
      </c>
      <c r="L118" s="21" t="str">
        <f t="shared" si="12"/>
        <v/>
      </c>
      <c r="M118" s="18"/>
      <c r="N118" s="22" t="str">
        <f t="shared" si="13"/>
        <v/>
      </c>
    </row>
    <row r="119" spans="6:14" ht="13.5" customHeight="1" x14ac:dyDescent="0.3">
      <c r="F119" s="18"/>
      <c r="G119" s="18"/>
      <c r="H119" s="18"/>
      <c r="I119" s="18"/>
      <c r="J119" s="18"/>
      <c r="K119" s="20" t="str">
        <f t="shared" si="11"/>
        <v/>
      </c>
      <c r="L119" s="21" t="str">
        <f t="shared" si="12"/>
        <v/>
      </c>
      <c r="M119" s="18"/>
      <c r="N119" s="22" t="str">
        <f t="shared" si="13"/>
        <v/>
      </c>
    </row>
    <row r="120" spans="6:14" ht="13.5" customHeight="1" x14ac:dyDescent="0.3">
      <c r="F120" s="18"/>
      <c r="G120" s="18"/>
      <c r="H120" s="18"/>
      <c r="I120" s="18"/>
      <c r="J120" s="18"/>
      <c r="K120" s="20" t="str">
        <f t="shared" si="11"/>
        <v/>
      </c>
      <c r="L120" s="21" t="str">
        <f t="shared" si="12"/>
        <v/>
      </c>
      <c r="M120" s="18"/>
      <c r="N120" s="22" t="str">
        <f t="shared" si="13"/>
        <v/>
      </c>
    </row>
    <row r="121" spans="6:14" ht="13.5" customHeight="1" x14ac:dyDescent="0.3">
      <c r="F121" s="18"/>
      <c r="G121" s="18"/>
      <c r="H121" s="18"/>
      <c r="I121" s="18"/>
      <c r="J121" s="18"/>
      <c r="K121" s="20" t="str">
        <f t="shared" si="11"/>
        <v/>
      </c>
      <c r="L121" s="21" t="str">
        <f t="shared" si="12"/>
        <v/>
      </c>
      <c r="M121" s="18"/>
      <c r="N121" s="22" t="str">
        <f t="shared" si="13"/>
        <v/>
      </c>
    </row>
    <row r="122" spans="6:14" ht="13.5" customHeight="1" x14ac:dyDescent="0.3">
      <c r="F122" s="18"/>
      <c r="G122" s="18"/>
      <c r="H122" s="18"/>
      <c r="I122" s="18"/>
      <c r="J122" s="18"/>
      <c r="K122" s="20" t="str">
        <f t="shared" si="11"/>
        <v/>
      </c>
      <c r="L122" s="21" t="str">
        <f t="shared" si="12"/>
        <v/>
      </c>
      <c r="M122" s="18"/>
      <c r="N122" s="22" t="str">
        <f t="shared" si="13"/>
        <v/>
      </c>
    </row>
    <row r="123" spans="6:14" ht="13.5" customHeight="1" x14ac:dyDescent="0.3">
      <c r="F123" s="18"/>
      <c r="G123" s="18"/>
      <c r="H123" s="18"/>
      <c r="I123" s="18"/>
      <c r="J123" s="18"/>
      <c r="K123" s="20" t="str">
        <f t="shared" si="11"/>
        <v/>
      </c>
      <c r="L123" s="21" t="str">
        <f t="shared" si="12"/>
        <v/>
      </c>
      <c r="M123" s="18"/>
      <c r="N123" s="22" t="str">
        <f t="shared" si="13"/>
        <v/>
      </c>
    </row>
    <row r="124" spans="6:14" ht="13.5" customHeight="1" x14ac:dyDescent="0.3">
      <c r="F124" s="18"/>
      <c r="G124" s="18"/>
      <c r="H124" s="18"/>
      <c r="I124" s="18"/>
      <c r="J124" s="18"/>
      <c r="K124" s="20" t="str">
        <f t="shared" si="11"/>
        <v/>
      </c>
      <c r="L124" s="21" t="str">
        <f t="shared" si="12"/>
        <v/>
      </c>
      <c r="M124" s="18"/>
      <c r="N124" s="22" t="str">
        <f t="shared" si="13"/>
        <v/>
      </c>
    </row>
    <row r="125" spans="6:14" ht="13.5" customHeight="1" x14ac:dyDescent="0.3">
      <c r="F125" s="18"/>
      <c r="G125" s="18"/>
      <c r="H125" s="18"/>
      <c r="I125" s="18"/>
      <c r="J125" s="18"/>
      <c r="K125" s="20" t="str">
        <f t="shared" si="11"/>
        <v/>
      </c>
      <c r="L125" s="21" t="str">
        <f t="shared" si="12"/>
        <v/>
      </c>
      <c r="M125" s="18"/>
      <c r="N125" s="22" t="str">
        <f t="shared" si="13"/>
        <v/>
      </c>
    </row>
    <row r="126" spans="6:14" ht="13.5" customHeight="1" x14ac:dyDescent="0.3">
      <c r="F126" s="18"/>
      <c r="G126" s="18"/>
      <c r="H126" s="18"/>
      <c r="I126" s="18"/>
      <c r="J126" s="18"/>
      <c r="K126" s="20" t="str">
        <f t="shared" si="11"/>
        <v/>
      </c>
      <c r="L126" s="21" t="str">
        <f t="shared" si="12"/>
        <v/>
      </c>
      <c r="M126" s="18"/>
      <c r="N126" s="22" t="str">
        <f t="shared" si="13"/>
        <v/>
      </c>
    </row>
    <row r="127" spans="6:14" ht="13.5" customHeight="1" x14ac:dyDescent="0.3">
      <c r="F127" s="18"/>
      <c r="G127" s="18"/>
      <c r="H127" s="18"/>
      <c r="I127" s="18"/>
      <c r="J127" s="18"/>
      <c r="K127" s="20" t="str">
        <f t="shared" si="11"/>
        <v/>
      </c>
      <c r="L127" s="21" t="str">
        <f t="shared" si="12"/>
        <v/>
      </c>
      <c r="M127" s="18"/>
      <c r="N127" s="22" t="str">
        <f t="shared" si="13"/>
        <v/>
      </c>
    </row>
    <row r="128" spans="6:14" ht="13.5" customHeight="1" x14ac:dyDescent="0.3">
      <c r="F128" s="18"/>
      <c r="G128" s="18"/>
      <c r="H128" s="18"/>
      <c r="I128" s="18"/>
      <c r="J128" s="18"/>
      <c r="K128" s="20" t="str">
        <f t="shared" si="11"/>
        <v/>
      </c>
      <c r="L128" s="21" t="str">
        <f t="shared" si="12"/>
        <v/>
      </c>
      <c r="M128" s="18"/>
      <c r="N128" s="22" t="str">
        <f t="shared" si="13"/>
        <v/>
      </c>
    </row>
    <row r="129" spans="6:14" ht="13.5" customHeight="1" x14ac:dyDescent="0.3">
      <c r="F129" s="18"/>
      <c r="G129" s="18"/>
      <c r="H129" s="18"/>
      <c r="I129" s="18"/>
      <c r="J129" s="18"/>
      <c r="K129" s="20" t="str">
        <f t="shared" si="11"/>
        <v/>
      </c>
      <c r="L129" s="21" t="str">
        <f t="shared" si="12"/>
        <v/>
      </c>
      <c r="M129" s="18"/>
      <c r="N129" s="22" t="str">
        <f t="shared" si="13"/>
        <v/>
      </c>
    </row>
    <row r="130" spans="6:14" ht="13.5" customHeight="1" x14ac:dyDescent="0.3">
      <c r="F130" s="18"/>
      <c r="G130" s="18"/>
      <c r="H130" s="18"/>
      <c r="I130" s="18"/>
      <c r="J130" s="18"/>
      <c r="K130" s="20" t="str">
        <f t="shared" si="11"/>
        <v/>
      </c>
      <c r="L130" s="21" t="str">
        <f t="shared" si="12"/>
        <v/>
      </c>
      <c r="M130" s="18"/>
      <c r="N130" s="22" t="str">
        <f t="shared" si="13"/>
        <v/>
      </c>
    </row>
    <row r="131" spans="6:14" ht="13.5" customHeight="1" x14ac:dyDescent="0.3">
      <c r="F131" s="18"/>
      <c r="G131" s="18"/>
      <c r="H131" s="18"/>
      <c r="I131" s="18"/>
      <c r="J131" s="18"/>
      <c r="K131" s="20" t="str">
        <f t="shared" si="11"/>
        <v/>
      </c>
      <c r="L131" s="21" t="str">
        <f t="shared" si="12"/>
        <v/>
      </c>
      <c r="M131" s="18"/>
      <c r="N131" s="22" t="str">
        <f t="shared" si="13"/>
        <v/>
      </c>
    </row>
    <row r="132" spans="6:14" ht="13.5" customHeight="1" x14ac:dyDescent="0.3">
      <c r="F132" s="18"/>
      <c r="G132" s="18"/>
      <c r="H132" s="18"/>
      <c r="I132" s="18"/>
      <c r="J132" s="18"/>
      <c r="K132" s="20" t="str">
        <f t="shared" si="11"/>
        <v/>
      </c>
      <c r="L132" s="21" t="str">
        <f t="shared" si="12"/>
        <v/>
      </c>
      <c r="M132" s="18"/>
      <c r="N132" s="22" t="str">
        <f t="shared" si="13"/>
        <v/>
      </c>
    </row>
    <row r="133" spans="6:14" ht="13.5" customHeight="1" x14ac:dyDescent="0.3">
      <c r="F133" s="18"/>
      <c r="G133" s="18"/>
      <c r="H133" s="18"/>
      <c r="I133" s="18"/>
      <c r="J133" s="18"/>
      <c r="K133" s="20" t="str">
        <f t="shared" si="11"/>
        <v/>
      </c>
      <c r="L133" s="21" t="str">
        <f t="shared" si="12"/>
        <v/>
      </c>
      <c r="M133" s="18"/>
      <c r="N133" s="22" t="str">
        <f t="shared" si="13"/>
        <v/>
      </c>
    </row>
    <row r="134" spans="6:14" ht="13.5" customHeight="1" x14ac:dyDescent="0.3">
      <c r="F134" s="18"/>
      <c r="G134" s="18"/>
      <c r="H134" s="18"/>
      <c r="I134" s="18"/>
      <c r="J134" s="18"/>
      <c r="K134" s="20" t="str">
        <f t="shared" si="11"/>
        <v/>
      </c>
      <c r="L134" s="21" t="str">
        <f t="shared" si="12"/>
        <v/>
      </c>
      <c r="M134" s="18"/>
      <c r="N134" s="22" t="str">
        <f t="shared" si="13"/>
        <v/>
      </c>
    </row>
    <row r="135" spans="6:14" ht="13.5" customHeight="1" x14ac:dyDescent="0.3">
      <c r="F135" s="18"/>
      <c r="G135" s="18"/>
      <c r="H135" s="18"/>
      <c r="I135" s="18"/>
      <c r="J135" s="18"/>
      <c r="K135" s="20" t="str">
        <f t="shared" si="11"/>
        <v/>
      </c>
      <c r="L135" s="21" t="str">
        <f t="shared" si="12"/>
        <v/>
      </c>
      <c r="M135" s="18"/>
      <c r="N135" s="22" t="str">
        <f t="shared" si="13"/>
        <v/>
      </c>
    </row>
    <row r="136" spans="6:14" ht="13.5" customHeight="1" x14ac:dyDescent="0.3">
      <c r="F136" s="18"/>
      <c r="G136" s="18"/>
      <c r="H136" s="18"/>
      <c r="I136" s="18"/>
      <c r="J136" s="18"/>
      <c r="K136" s="20" t="str">
        <f t="shared" si="11"/>
        <v/>
      </c>
      <c r="L136" s="21" t="str">
        <f t="shared" si="12"/>
        <v/>
      </c>
      <c r="M136" s="18"/>
      <c r="N136" s="22" t="str">
        <f t="shared" si="13"/>
        <v/>
      </c>
    </row>
    <row r="137" spans="6:14" ht="13.5" customHeight="1" x14ac:dyDescent="0.3">
      <c r="F137" s="18"/>
      <c r="G137" s="18"/>
      <c r="H137" s="18"/>
      <c r="I137" s="18"/>
      <c r="J137" s="18"/>
      <c r="K137" s="20" t="str">
        <f t="shared" si="11"/>
        <v/>
      </c>
      <c r="L137" s="21" t="str">
        <f t="shared" si="12"/>
        <v/>
      </c>
      <c r="M137" s="18"/>
      <c r="N137" s="22" t="str">
        <f t="shared" si="13"/>
        <v/>
      </c>
    </row>
    <row r="138" spans="6:14" ht="13.5" customHeight="1" x14ac:dyDescent="0.3">
      <c r="F138" s="18"/>
      <c r="G138" s="18"/>
      <c r="H138" s="18"/>
      <c r="I138" s="18"/>
      <c r="J138" s="18"/>
      <c r="K138" s="20" t="str">
        <f t="shared" si="11"/>
        <v/>
      </c>
      <c r="L138" s="21" t="str">
        <f t="shared" si="12"/>
        <v/>
      </c>
      <c r="M138" s="18"/>
      <c r="N138" s="22" t="str">
        <f t="shared" si="13"/>
        <v/>
      </c>
    </row>
    <row r="139" spans="6:14" ht="13.5" customHeight="1" x14ac:dyDescent="0.3">
      <c r="F139" s="18"/>
      <c r="G139" s="18"/>
      <c r="H139" s="18"/>
      <c r="I139" s="18"/>
      <c r="J139" s="18"/>
      <c r="K139" s="20" t="str">
        <f t="shared" si="11"/>
        <v/>
      </c>
      <c r="L139" s="21" t="str">
        <f t="shared" si="12"/>
        <v/>
      </c>
      <c r="M139" s="18"/>
      <c r="N139" s="22" t="str">
        <f t="shared" si="13"/>
        <v/>
      </c>
    </row>
    <row r="140" spans="6:14" ht="13.5" customHeight="1" x14ac:dyDescent="0.3">
      <c r="F140" s="18"/>
      <c r="G140" s="18"/>
      <c r="H140" s="18"/>
      <c r="I140" s="18"/>
      <c r="J140" s="18"/>
      <c r="K140" s="20" t="str">
        <f t="shared" si="11"/>
        <v/>
      </c>
      <c r="L140" s="21" t="str">
        <f t="shared" si="12"/>
        <v/>
      </c>
      <c r="M140" s="18"/>
      <c r="N140" s="22" t="str">
        <f t="shared" si="13"/>
        <v/>
      </c>
    </row>
    <row r="141" spans="6:14" ht="13.5" customHeight="1" x14ac:dyDescent="0.3">
      <c r="F141" s="18"/>
      <c r="G141" s="18"/>
      <c r="H141" s="18"/>
      <c r="I141" s="18"/>
      <c r="J141" s="18"/>
      <c r="K141" s="20" t="str">
        <f t="shared" si="11"/>
        <v/>
      </c>
      <c r="L141" s="21" t="str">
        <f t="shared" si="12"/>
        <v/>
      </c>
      <c r="M141" s="18"/>
      <c r="N141" s="22" t="str">
        <f t="shared" si="13"/>
        <v/>
      </c>
    </row>
    <row r="142" spans="6:14" ht="13.5" customHeight="1" x14ac:dyDescent="0.3">
      <c r="F142" s="18"/>
      <c r="G142" s="18"/>
      <c r="H142" s="18"/>
      <c r="I142" s="18"/>
      <c r="J142" s="18"/>
      <c r="K142" s="20" t="str">
        <f t="shared" si="11"/>
        <v/>
      </c>
      <c r="L142" s="21" t="str">
        <f t="shared" si="12"/>
        <v/>
      </c>
      <c r="M142" s="18"/>
      <c r="N142" s="22" t="str">
        <f t="shared" si="13"/>
        <v/>
      </c>
    </row>
    <row r="143" spans="6:14" ht="13.5" customHeight="1" x14ac:dyDescent="0.3">
      <c r="F143" s="18"/>
      <c r="G143" s="18"/>
      <c r="H143" s="18"/>
      <c r="I143" s="18"/>
      <c r="J143" s="18"/>
      <c r="K143" s="20" t="str">
        <f t="shared" si="11"/>
        <v/>
      </c>
      <c r="L143" s="21" t="str">
        <f t="shared" si="12"/>
        <v/>
      </c>
      <c r="M143" s="18"/>
      <c r="N143" s="22" t="str">
        <f t="shared" si="13"/>
        <v/>
      </c>
    </row>
    <row r="144" spans="6:14" ht="13.5" customHeight="1" x14ac:dyDescent="0.3">
      <c r="F144" s="18"/>
      <c r="G144" s="18"/>
      <c r="H144" s="18"/>
      <c r="I144" s="18"/>
      <c r="J144" s="18"/>
      <c r="K144" s="20" t="str">
        <f t="shared" si="11"/>
        <v/>
      </c>
      <c r="L144" s="21" t="str">
        <f t="shared" si="12"/>
        <v/>
      </c>
      <c r="M144" s="18"/>
      <c r="N144" s="22" t="str">
        <f t="shared" si="13"/>
        <v/>
      </c>
    </row>
    <row r="145" spans="6:14" ht="13.5" customHeight="1" x14ac:dyDescent="0.3">
      <c r="F145" s="18"/>
      <c r="G145" s="18"/>
      <c r="H145" s="18"/>
      <c r="I145" s="18"/>
      <c r="J145" s="18"/>
      <c r="K145" s="20" t="str">
        <f t="shared" si="11"/>
        <v/>
      </c>
      <c r="L145" s="21" t="str">
        <f t="shared" si="12"/>
        <v/>
      </c>
      <c r="M145" s="18"/>
      <c r="N145" s="22" t="str">
        <f t="shared" si="13"/>
        <v/>
      </c>
    </row>
    <row r="146" spans="6:14" ht="13.5" customHeight="1" x14ac:dyDescent="0.3">
      <c r="F146" s="18"/>
      <c r="G146" s="18"/>
      <c r="H146" s="18"/>
      <c r="I146" s="18"/>
      <c r="J146" s="18"/>
      <c r="K146" s="20" t="str">
        <f t="shared" si="11"/>
        <v/>
      </c>
      <c r="L146" s="21" t="str">
        <f t="shared" si="12"/>
        <v/>
      </c>
      <c r="M146" s="18"/>
      <c r="N146" s="22" t="str">
        <f t="shared" si="13"/>
        <v/>
      </c>
    </row>
    <row r="147" spans="6:14" ht="13.5" customHeight="1" x14ac:dyDescent="0.3">
      <c r="F147" s="18"/>
      <c r="G147" s="18"/>
      <c r="H147" s="18"/>
      <c r="I147" s="18"/>
      <c r="J147" s="18"/>
      <c r="K147" s="20" t="str">
        <f t="shared" si="11"/>
        <v/>
      </c>
      <c r="L147" s="21" t="str">
        <f t="shared" si="12"/>
        <v/>
      </c>
      <c r="M147" s="18"/>
      <c r="N147" s="22" t="str">
        <f t="shared" si="13"/>
        <v/>
      </c>
    </row>
    <row r="148" spans="6:14" ht="13.5" customHeight="1" x14ac:dyDescent="0.3">
      <c r="F148" s="18"/>
      <c r="G148" s="18"/>
      <c r="H148" s="18"/>
      <c r="I148" s="18"/>
      <c r="J148" s="18"/>
      <c r="K148" s="20" t="str">
        <f t="shared" si="11"/>
        <v/>
      </c>
      <c r="L148" s="21" t="str">
        <f t="shared" si="12"/>
        <v/>
      </c>
      <c r="M148" s="18"/>
      <c r="N148" s="22" t="str">
        <f t="shared" si="13"/>
        <v/>
      </c>
    </row>
    <row r="149" spans="6:14" ht="13.5" customHeight="1" x14ac:dyDescent="0.3">
      <c r="F149" s="18"/>
      <c r="G149" s="18"/>
      <c r="H149" s="18"/>
      <c r="I149" s="18"/>
      <c r="J149" s="18"/>
      <c r="K149" s="20" t="str">
        <f t="shared" ref="K149:K170" si="14">IF($H149="","",IFERROR(INDEX($J$21:$J$170,MATCH($H149&amp;"|"&amp;TEXT(_xlfn.MAXIFS($F$21:$F$170,$H$21:$H$170,$H149,$F$21:$F$170,"&lt;"&amp;$F149),"0"),$N$21:$N$170,0)),"1º registro"))</f>
        <v/>
      </c>
      <c r="L149" s="21" t="str">
        <f t="shared" ref="L149:L170" si="15">IF(OR($H149="",$K149="1º registro"),"",IFERROR(($J149-$K149)/$K149,""))</f>
        <v/>
      </c>
      <c r="M149" s="18"/>
      <c r="N149" s="22" t="str">
        <f t="shared" ref="N149:N170" si="16">IF($H149="","",$H149&amp;"|"&amp;TEXT($F149,"0"))</f>
        <v/>
      </c>
    </row>
    <row r="150" spans="6:14" ht="13.5" customHeight="1" x14ac:dyDescent="0.3">
      <c r="F150" s="18"/>
      <c r="G150" s="18"/>
      <c r="H150" s="18"/>
      <c r="I150" s="18"/>
      <c r="J150" s="18"/>
      <c r="K150" s="20" t="str">
        <f t="shared" si="14"/>
        <v/>
      </c>
      <c r="L150" s="21" t="str">
        <f t="shared" si="15"/>
        <v/>
      </c>
      <c r="M150" s="18"/>
      <c r="N150" s="22" t="str">
        <f t="shared" si="16"/>
        <v/>
      </c>
    </row>
    <row r="151" spans="6:14" ht="13.5" customHeight="1" x14ac:dyDescent="0.3">
      <c r="F151" s="18"/>
      <c r="G151" s="18"/>
      <c r="H151" s="18"/>
      <c r="I151" s="18"/>
      <c r="J151" s="18"/>
      <c r="K151" s="20" t="str">
        <f t="shared" si="14"/>
        <v/>
      </c>
      <c r="L151" s="21" t="str">
        <f t="shared" si="15"/>
        <v/>
      </c>
      <c r="M151" s="18"/>
      <c r="N151" s="22" t="str">
        <f t="shared" si="16"/>
        <v/>
      </c>
    </row>
    <row r="152" spans="6:14" ht="13.5" customHeight="1" x14ac:dyDescent="0.3">
      <c r="F152" s="18"/>
      <c r="G152" s="18"/>
      <c r="H152" s="18"/>
      <c r="I152" s="18"/>
      <c r="J152" s="18"/>
      <c r="K152" s="20" t="str">
        <f t="shared" si="14"/>
        <v/>
      </c>
      <c r="L152" s="21" t="str">
        <f t="shared" si="15"/>
        <v/>
      </c>
      <c r="M152" s="18"/>
      <c r="N152" s="22" t="str">
        <f t="shared" si="16"/>
        <v/>
      </c>
    </row>
    <row r="153" spans="6:14" ht="13.5" customHeight="1" x14ac:dyDescent="0.3">
      <c r="F153" s="18"/>
      <c r="G153" s="18"/>
      <c r="H153" s="18"/>
      <c r="I153" s="18"/>
      <c r="J153" s="18"/>
      <c r="K153" s="20" t="str">
        <f t="shared" si="14"/>
        <v/>
      </c>
      <c r="L153" s="21" t="str">
        <f t="shared" si="15"/>
        <v/>
      </c>
      <c r="M153" s="18"/>
      <c r="N153" s="22" t="str">
        <f t="shared" si="16"/>
        <v/>
      </c>
    </row>
    <row r="154" spans="6:14" ht="13.5" customHeight="1" x14ac:dyDescent="0.3">
      <c r="F154" s="18"/>
      <c r="G154" s="18"/>
      <c r="H154" s="18"/>
      <c r="I154" s="18"/>
      <c r="J154" s="18"/>
      <c r="K154" s="20" t="str">
        <f t="shared" si="14"/>
        <v/>
      </c>
      <c r="L154" s="21" t="str">
        <f t="shared" si="15"/>
        <v/>
      </c>
      <c r="M154" s="18"/>
      <c r="N154" s="22" t="str">
        <f t="shared" si="16"/>
        <v/>
      </c>
    </row>
    <row r="155" spans="6:14" ht="13.5" customHeight="1" x14ac:dyDescent="0.3">
      <c r="F155" s="18"/>
      <c r="G155" s="18"/>
      <c r="H155" s="18"/>
      <c r="I155" s="18"/>
      <c r="J155" s="18"/>
      <c r="K155" s="20" t="str">
        <f t="shared" si="14"/>
        <v/>
      </c>
      <c r="L155" s="21" t="str">
        <f t="shared" si="15"/>
        <v/>
      </c>
      <c r="M155" s="18"/>
      <c r="N155" s="22" t="str">
        <f t="shared" si="16"/>
        <v/>
      </c>
    </row>
    <row r="156" spans="6:14" ht="13.5" customHeight="1" x14ac:dyDescent="0.3">
      <c r="F156" s="18"/>
      <c r="G156" s="18"/>
      <c r="H156" s="18"/>
      <c r="I156" s="18"/>
      <c r="J156" s="18"/>
      <c r="K156" s="20" t="str">
        <f t="shared" si="14"/>
        <v/>
      </c>
      <c r="L156" s="21" t="str">
        <f t="shared" si="15"/>
        <v/>
      </c>
      <c r="M156" s="18"/>
      <c r="N156" s="22" t="str">
        <f t="shared" si="16"/>
        <v/>
      </c>
    </row>
    <row r="157" spans="6:14" ht="13.5" customHeight="1" x14ac:dyDescent="0.3">
      <c r="F157" s="18"/>
      <c r="G157" s="18"/>
      <c r="H157" s="18"/>
      <c r="I157" s="18"/>
      <c r="J157" s="18"/>
      <c r="K157" s="20" t="str">
        <f t="shared" si="14"/>
        <v/>
      </c>
      <c r="L157" s="21" t="str">
        <f t="shared" si="15"/>
        <v/>
      </c>
      <c r="M157" s="18"/>
      <c r="N157" s="22" t="str">
        <f t="shared" si="16"/>
        <v/>
      </c>
    </row>
    <row r="158" spans="6:14" ht="13.5" customHeight="1" x14ac:dyDescent="0.3">
      <c r="F158" s="18"/>
      <c r="G158" s="18"/>
      <c r="H158" s="18"/>
      <c r="I158" s="18"/>
      <c r="J158" s="18"/>
      <c r="K158" s="20" t="str">
        <f t="shared" si="14"/>
        <v/>
      </c>
      <c r="L158" s="21" t="str">
        <f t="shared" si="15"/>
        <v/>
      </c>
      <c r="M158" s="18"/>
      <c r="N158" s="22" t="str">
        <f t="shared" si="16"/>
        <v/>
      </c>
    </row>
    <row r="159" spans="6:14" ht="13.5" customHeight="1" x14ac:dyDescent="0.3">
      <c r="F159" s="18"/>
      <c r="G159" s="18"/>
      <c r="H159" s="18"/>
      <c r="I159" s="18"/>
      <c r="J159" s="18"/>
      <c r="K159" s="20" t="str">
        <f t="shared" si="14"/>
        <v/>
      </c>
      <c r="L159" s="21" t="str">
        <f t="shared" si="15"/>
        <v/>
      </c>
      <c r="M159" s="18"/>
      <c r="N159" s="22" t="str">
        <f t="shared" si="16"/>
        <v/>
      </c>
    </row>
    <row r="160" spans="6:14" ht="13.5" customHeight="1" x14ac:dyDescent="0.3">
      <c r="F160" s="18"/>
      <c r="G160" s="18"/>
      <c r="H160" s="18"/>
      <c r="I160" s="18"/>
      <c r="J160" s="18"/>
      <c r="K160" s="20" t="str">
        <f t="shared" si="14"/>
        <v/>
      </c>
      <c r="L160" s="21" t="str">
        <f t="shared" si="15"/>
        <v/>
      </c>
      <c r="M160" s="18"/>
      <c r="N160" s="22" t="str">
        <f t="shared" si="16"/>
        <v/>
      </c>
    </row>
    <row r="161" spans="6:14" ht="13.5" customHeight="1" x14ac:dyDescent="0.3">
      <c r="F161" s="18"/>
      <c r="G161" s="18"/>
      <c r="H161" s="18"/>
      <c r="I161" s="18"/>
      <c r="J161" s="18"/>
      <c r="K161" s="20" t="str">
        <f t="shared" si="14"/>
        <v/>
      </c>
      <c r="L161" s="21" t="str">
        <f t="shared" si="15"/>
        <v/>
      </c>
      <c r="M161" s="18"/>
      <c r="N161" s="22" t="str">
        <f t="shared" si="16"/>
        <v/>
      </c>
    </row>
    <row r="162" spans="6:14" ht="13.5" customHeight="1" x14ac:dyDescent="0.3">
      <c r="F162" s="18"/>
      <c r="G162" s="18"/>
      <c r="H162" s="18"/>
      <c r="I162" s="18"/>
      <c r="J162" s="18"/>
      <c r="K162" s="20" t="str">
        <f t="shared" si="14"/>
        <v/>
      </c>
      <c r="L162" s="21" t="str">
        <f t="shared" si="15"/>
        <v/>
      </c>
      <c r="M162" s="18"/>
      <c r="N162" s="22" t="str">
        <f t="shared" si="16"/>
        <v/>
      </c>
    </row>
    <row r="163" spans="6:14" ht="13.5" customHeight="1" x14ac:dyDescent="0.3">
      <c r="F163" s="18"/>
      <c r="G163" s="18"/>
      <c r="H163" s="18"/>
      <c r="I163" s="18"/>
      <c r="J163" s="18"/>
      <c r="K163" s="20" t="str">
        <f t="shared" si="14"/>
        <v/>
      </c>
      <c r="L163" s="21" t="str">
        <f t="shared" si="15"/>
        <v/>
      </c>
      <c r="M163" s="18"/>
      <c r="N163" s="22" t="str">
        <f t="shared" si="16"/>
        <v/>
      </c>
    </row>
    <row r="164" spans="6:14" ht="13.5" customHeight="1" x14ac:dyDescent="0.3">
      <c r="F164" s="18"/>
      <c r="G164" s="18"/>
      <c r="H164" s="18"/>
      <c r="I164" s="18"/>
      <c r="J164" s="18"/>
      <c r="K164" s="20" t="str">
        <f t="shared" si="14"/>
        <v/>
      </c>
      <c r="L164" s="21" t="str">
        <f t="shared" si="15"/>
        <v/>
      </c>
      <c r="M164" s="18"/>
      <c r="N164" s="22" t="str">
        <f t="shared" si="16"/>
        <v/>
      </c>
    </row>
    <row r="165" spans="6:14" ht="13.5" customHeight="1" x14ac:dyDescent="0.3">
      <c r="F165" s="18"/>
      <c r="G165" s="18"/>
      <c r="H165" s="18"/>
      <c r="I165" s="18"/>
      <c r="J165" s="18"/>
      <c r="K165" s="20" t="str">
        <f t="shared" si="14"/>
        <v/>
      </c>
      <c r="L165" s="21" t="str">
        <f t="shared" si="15"/>
        <v/>
      </c>
      <c r="M165" s="18"/>
      <c r="N165" s="22" t="str">
        <f t="shared" si="16"/>
        <v/>
      </c>
    </row>
    <row r="166" spans="6:14" ht="13.5" customHeight="1" x14ac:dyDescent="0.3">
      <c r="F166" s="18"/>
      <c r="G166" s="18"/>
      <c r="H166" s="18"/>
      <c r="I166" s="18"/>
      <c r="J166" s="18"/>
      <c r="K166" s="20" t="str">
        <f t="shared" si="14"/>
        <v/>
      </c>
      <c r="L166" s="21" t="str">
        <f t="shared" si="15"/>
        <v/>
      </c>
      <c r="M166" s="18"/>
      <c r="N166" s="22" t="str">
        <f t="shared" si="16"/>
        <v/>
      </c>
    </row>
    <row r="167" spans="6:14" ht="13.5" customHeight="1" x14ac:dyDescent="0.3">
      <c r="F167" s="18"/>
      <c r="G167" s="18"/>
      <c r="H167" s="18"/>
      <c r="I167" s="18"/>
      <c r="J167" s="18"/>
      <c r="K167" s="20" t="str">
        <f t="shared" si="14"/>
        <v/>
      </c>
      <c r="L167" s="21" t="str">
        <f t="shared" si="15"/>
        <v/>
      </c>
      <c r="M167" s="18"/>
      <c r="N167" s="22" t="str">
        <f t="shared" si="16"/>
        <v/>
      </c>
    </row>
    <row r="168" spans="6:14" ht="13.5" customHeight="1" x14ac:dyDescent="0.3">
      <c r="F168" s="18"/>
      <c r="G168" s="18"/>
      <c r="H168" s="18"/>
      <c r="I168" s="18"/>
      <c r="J168" s="18"/>
      <c r="K168" s="20" t="str">
        <f t="shared" si="14"/>
        <v/>
      </c>
      <c r="L168" s="21" t="str">
        <f t="shared" si="15"/>
        <v/>
      </c>
      <c r="M168" s="18"/>
      <c r="N168" s="22" t="str">
        <f t="shared" si="16"/>
        <v/>
      </c>
    </row>
    <row r="169" spans="6:14" ht="13.5" customHeight="1" x14ac:dyDescent="0.3">
      <c r="F169" s="18"/>
      <c r="G169" s="18"/>
      <c r="H169" s="18"/>
      <c r="I169" s="18"/>
      <c r="J169" s="18"/>
      <c r="K169" s="20" t="str">
        <f t="shared" si="14"/>
        <v/>
      </c>
      <c r="L169" s="21" t="str">
        <f t="shared" si="15"/>
        <v/>
      </c>
      <c r="M169" s="18"/>
      <c r="N169" s="22" t="str">
        <f t="shared" si="16"/>
        <v/>
      </c>
    </row>
    <row r="170" spans="6:14" ht="13.5" customHeight="1" x14ac:dyDescent="0.3">
      <c r="F170" s="18"/>
      <c r="G170" s="18"/>
      <c r="H170" s="18"/>
      <c r="I170" s="18"/>
      <c r="J170" s="18"/>
      <c r="K170" s="20" t="str">
        <f t="shared" si="14"/>
        <v/>
      </c>
      <c r="L170" s="21" t="str">
        <f t="shared" si="15"/>
        <v/>
      </c>
      <c r="M170" s="18"/>
      <c r="N170" s="22" t="str">
        <f t="shared" si="16"/>
        <v/>
      </c>
    </row>
  </sheetData>
  <mergeCells count="7">
    <mergeCell ref="A1:C1"/>
    <mergeCell ref="B18:D18"/>
    <mergeCell ref="F18:N18"/>
    <mergeCell ref="B2:N2"/>
    <mergeCell ref="B3:N3"/>
    <mergeCell ref="B4:N4"/>
    <mergeCell ref="B5:C5"/>
  </mergeCells>
  <conditionalFormatting sqref="D20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2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3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4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7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0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1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2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4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5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9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0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1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3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5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8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9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1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2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3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5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6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7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8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0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2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3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5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6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7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8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9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0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list" allowBlank="1" sqref="G21:G170 C20:C70" xr:uid="{00000000-0002-0000-0100-000000000000}">
      <formula1>"Matéria-Prima,Produto Acabado,Insumo/Consumível"</formula1>
      <formula2>0</formula2>
    </dataValidation>
    <dataValidation type="list" allowBlank="1" sqref="H21:H170 C6" xr:uid="{00000000-0002-0000-0100-000002000000}">
      <formula1>$B$20:$B$70</formula1>
      <formula2>0</formula2>
    </dataValidation>
  </dataValidations>
  <hyperlinks>
    <hyperlink ref="A1" location="PAINEL!A1" tooltip="Voltar ao Painel de Navegação" display="⬅ PAINEL" xr:uid="{07CF9920-9EBD-41DF-98BC-BDC2AD8FCA84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M115"/>
  <sheetViews>
    <sheetView tabSelected="1" zoomScale="145" zoomScaleNormal="145" workbookViewId="0">
      <pane ySplit="3" topLeftCell="A4" activePane="bottomLeft" state="frozen"/>
      <selection pane="bottomLeft" activeCell="C26" sqref="C26"/>
    </sheetView>
  </sheetViews>
  <sheetFormatPr defaultColWidth="8.5546875" defaultRowHeight="14.4" x14ac:dyDescent="0.3"/>
  <cols>
    <col min="1" max="1" width="8" customWidth="1"/>
    <col min="2" max="2" width="32.21875" customWidth="1"/>
    <col min="3" max="3" width="18" customWidth="1"/>
    <col min="4" max="4" width="22" customWidth="1"/>
    <col min="5" max="5" width="33" customWidth="1"/>
    <col min="6" max="6" width="8.21875" style="23" customWidth="1"/>
    <col min="7" max="7" width="18" style="23" customWidth="1"/>
    <col min="8" max="8" width="29.88671875" style="23" customWidth="1"/>
    <col min="9" max="9" width="14" style="23" customWidth="1"/>
    <col min="10" max="10" width="13.88671875" customWidth="1"/>
    <col min="11" max="11" width="13.33203125" customWidth="1"/>
    <col min="12" max="13" width="8.5546875" style="23"/>
  </cols>
  <sheetData>
    <row r="1" spans="1:11" ht="31.5" customHeight="1" x14ac:dyDescent="0.3">
      <c r="A1" s="406" t="s">
        <v>819</v>
      </c>
      <c r="B1" s="406"/>
      <c r="C1" s="406"/>
      <c r="D1" s="406"/>
      <c r="E1" s="406"/>
      <c r="F1" s="406"/>
      <c r="G1" s="406"/>
      <c r="H1" s="406"/>
      <c r="I1" s="406"/>
      <c r="J1" s="23"/>
      <c r="K1" s="23"/>
    </row>
    <row r="2" spans="1:11" ht="19.5" customHeight="1" x14ac:dyDescent="0.3">
      <c r="A2" s="407" t="s">
        <v>820</v>
      </c>
      <c r="B2" s="407"/>
      <c r="C2" s="407"/>
      <c r="D2" s="407"/>
      <c r="E2" s="407"/>
      <c r="F2" s="407"/>
      <c r="G2" s="407"/>
      <c r="H2" s="407"/>
      <c r="I2" s="407"/>
      <c r="J2" s="23"/>
      <c r="K2" s="23"/>
    </row>
    <row r="3" spans="1:11" s="23" customFormat="1" ht="21.75" customHeight="1" thickBot="1" x14ac:dyDescent="0.35">
      <c r="A3" s="414" t="s">
        <v>1757</v>
      </c>
      <c r="B3" s="415"/>
      <c r="G3" s="24" t="s">
        <v>821</v>
      </c>
      <c r="H3" s="25">
        <v>40</v>
      </c>
    </row>
    <row r="4" spans="1:11" ht="21.75" customHeight="1" thickBot="1" x14ac:dyDescent="0.35">
      <c r="A4" s="408" t="s">
        <v>822</v>
      </c>
      <c r="B4" s="409"/>
      <c r="C4" s="409"/>
      <c r="D4" s="409"/>
      <c r="E4" s="410"/>
      <c r="G4"/>
      <c r="H4"/>
      <c r="J4" s="23"/>
      <c r="K4" s="23"/>
    </row>
    <row r="5" spans="1:11" ht="33.75" customHeight="1" thickBot="1" x14ac:dyDescent="0.35">
      <c r="A5" s="380" t="s">
        <v>823</v>
      </c>
      <c r="B5" s="381" t="s">
        <v>824</v>
      </c>
      <c r="C5" s="381" t="s">
        <v>825</v>
      </c>
      <c r="D5" s="381" t="s">
        <v>826</v>
      </c>
      <c r="E5" s="382" t="s">
        <v>1648</v>
      </c>
      <c r="F5" s="26"/>
      <c r="J5" s="23"/>
      <c r="K5" s="23"/>
    </row>
    <row r="6" spans="1:11" ht="15.75" customHeight="1" x14ac:dyDescent="0.3">
      <c r="A6" s="383">
        <v>1</v>
      </c>
      <c r="B6" s="384" t="s">
        <v>779</v>
      </c>
      <c r="C6" s="385" t="s">
        <v>782</v>
      </c>
      <c r="D6" s="395">
        <v>46235</v>
      </c>
      <c r="E6" s="386">
        <v>39.93</v>
      </c>
      <c r="F6" s="26"/>
      <c r="H6" s="392"/>
      <c r="I6" s="392"/>
      <c r="J6" s="23"/>
      <c r="K6" s="23"/>
    </row>
    <row r="7" spans="1:11" ht="15.75" customHeight="1" x14ac:dyDescent="0.3">
      <c r="A7" s="27">
        <v>2</v>
      </c>
      <c r="B7" s="28" t="s">
        <v>781</v>
      </c>
      <c r="C7" s="29" t="s">
        <v>782</v>
      </c>
      <c r="D7" s="396">
        <v>46236</v>
      </c>
      <c r="E7" s="387">
        <v>36.909999999999997</v>
      </c>
      <c r="F7" s="26"/>
      <c r="H7" s="392"/>
      <c r="I7" s="392"/>
      <c r="J7" s="23"/>
      <c r="K7" s="23"/>
    </row>
    <row r="8" spans="1:11" ht="15.75" customHeight="1" x14ac:dyDescent="0.3">
      <c r="A8" s="27">
        <v>3</v>
      </c>
      <c r="B8" s="28" t="s">
        <v>784</v>
      </c>
      <c r="C8" s="29" t="s">
        <v>782</v>
      </c>
      <c r="D8" s="396">
        <v>46237</v>
      </c>
      <c r="E8" s="387">
        <v>30.89</v>
      </c>
      <c r="F8" s="26"/>
      <c r="G8" s="412" t="s">
        <v>1867</v>
      </c>
      <c r="H8" s="413"/>
      <c r="I8" s="392"/>
      <c r="J8" s="23"/>
      <c r="K8" s="23"/>
    </row>
    <row r="9" spans="1:11" ht="15.75" customHeight="1" x14ac:dyDescent="0.3">
      <c r="A9" s="27">
        <v>4</v>
      </c>
      <c r="B9" s="28" t="s">
        <v>786</v>
      </c>
      <c r="C9" s="29" t="s">
        <v>788</v>
      </c>
      <c r="D9" s="396">
        <v>46238</v>
      </c>
      <c r="E9" s="387">
        <v>17.66</v>
      </c>
      <c r="F9" s="26"/>
      <c r="G9" s="399" t="s">
        <v>796</v>
      </c>
      <c r="H9" s="400" t="s">
        <v>1866</v>
      </c>
      <c r="I9" s="392"/>
      <c r="J9" s="23"/>
      <c r="K9" s="23"/>
    </row>
    <row r="10" spans="1:11" ht="15.75" customHeight="1" x14ac:dyDescent="0.3">
      <c r="A10" s="27">
        <v>5</v>
      </c>
      <c r="B10" s="28" t="s">
        <v>787</v>
      </c>
      <c r="C10" s="29" t="s">
        <v>782</v>
      </c>
      <c r="D10" s="394">
        <v>45658</v>
      </c>
      <c r="E10" s="387">
        <v>50.95</v>
      </c>
      <c r="F10" s="26"/>
      <c r="G10" s="401">
        <f>$E$18</f>
        <v>438.3</v>
      </c>
      <c r="H10" s="398">
        <v>445</v>
      </c>
      <c r="J10" s="23"/>
      <c r="K10" s="23"/>
    </row>
    <row r="11" spans="1:11" ht="15.75" customHeight="1" x14ac:dyDescent="0.3">
      <c r="A11" s="27">
        <v>6</v>
      </c>
      <c r="B11" s="28" t="s">
        <v>789</v>
      </c>
      <c r="C11" s="29" t="s">
        <v>782</v>
      </c>
      <c r="D11" s="394">
        <v>45658</v>
      </c>
      <c r="E11" s="387">
        <v>44.74</v>
      </c>
      <c r="F11" s="26"/>
      <c r="J11" s="23"/>
      <c r="K11" s="23"/>
    </row>
    <row r="12" spans="1:11" ht="15.75" customHeight="1" x14ac:dyDescent="0.3">
      <c r="A12" s="27">
        <v>7</v>
      </c>
      <c r="B12" s="28" t="s">
        <v>790</v>
      </c>
      <c r="C12" s="29" t="s">
        <v>782</v>
      </c>
      <c r="D12" s="394">
        <v>45658</v>
      </c>
      <c r="E12" s="387">
        <v>60.06</v>
      </c>
      <c r="F12" s="26"/>
      <c r="I12" s="392"/>
      <c r="J12" s="23"/>
      <c r="K12" s="23"/>
    </row>
    <row r="13" spans="1:11" ht="15.75" customHeight="1" x14ac:dyDescent="0.3">
      <c r="A13" s="30">
        <v>8</v>
      </c>
      <c r="B13" s="31" t="s">
        <v>1647</v>
      </c>
      <c r="C13" s="32" t="s">
        <v>793</v>
      </c>
      <c r="D13" s="396">
        <v>46238</v>
      </c>
      <c r="E13" s="388">
        <v>34.130000000000003</v>
      </c>
      <c r="F13" s="26"/>
      <c r="G13" s="392"/>
      <c r="H13" s="393"/>
      <c r="I13" s="392"/>
      <c r="J13" s="23"/>
      <c r="K13" s="23"/>
    </row>
    <row r="14" spans="1:11" ht="15.75" customHeight="1" x14ac:dyDescent="0.3">
      <c r="A14" s="30">
        <v>9</v>
      </c>
      <c r="B14" s="31" t="s">
        <v>792</v>
      </c>
      <c r="C14" s="32" t="s">
        <v>793</v>
      </c>
      <c r="D14" s="396">
        <v>46239</v>
      </c>
      <c r="E14" s="388">
        <v>21.53</v>
      </c>
      <c r="F14" s="26"/>
      <c r="H14" s="393"/>
      <c r="I14" s="392"/>
      <c r="J14" s="23"/>
      <c r="K14" s="23"/>
    </row>
    <row r="15" spans="1:11" ht="15.75" customHeight="1" thickBot="1" x14ac:dyDescent="0.35">
      <c r="A15" s="33">
        <v>10</v>
      </c>
      <c r="B15" s="34" t="s">
        <v>758</v>
      </c>
      <c r="C15" s="35" t="s">
        <v>793</v>
      </c>
      <c r="D15" s="397">
        <v>46240</v>
      </c>
      <c r="E15" s="389">
        <v>34.130000000000003</v>
      </c>
      <c r="F15" s="26"/>
      <c r="J15" s="23"/>
      <c r="K15" s="23"/>
    </row>
    <row r="16" spans="1:11" ht="21.75" customHeight="1" x14ac:dyDescent="0.3">
      <c r="A16" s="411" t="s">
        <v>827</v>
      </c>
      <c r="B16" s="411"/>
      <c r="C16" s="411"/>
      <c r="D16" s="411"/>
      <c r="E16" s="411"/>
      <c r="G16" s="411" t="s">
        <v>1529</v>
      </c>
      <c r="H16" s="411"/>
      <c r="I16" s="411"/>
      <c r="J16" s="411"/>
      <c r="K16" s="411"/>
    </row>
    <row r="17" spans="1:11" ht="24" x14ac:dyDescent="0.3">
      <c r="A17" s="36" t="s">
        <v>823</v>
      </c>
      <c r="B17" s="36" t="s">
        <v>824</v>
      </c>
      <c r="C17" s="36" t="s">
        <v>825</v>
      </c>
      <c r="D17" s="36" t="s">
        <v>826</v>
      </c>
      <c r="E17" s="36" t="s">
        <v>1868</v>
      </c>
      <c r="G17" s="36" t="s">
        <v>823</v>
      </c>
      <c r="H17" s="36" t="s">
        <v>824</v>
      </c>
      <c r="I17" s="36" t="s">
        <v>825</v>
      </c>
      <c r="J17" s="36" t="s">
        <v>826</v>
      </c>
      <c r="K17" s="36" t="s">
        <v>828</v>
      </c>
    </row>
    <row r="18" spans="1:11" ht="18" customHeight="1" x14ac:dyDescent="0.3">
      <c r="A18" s="37">
        <v>8</v>
      </c>
      <c r="B18" s="38" t="s">
        <v>794</v>
      </c>
      <c r="C18" s="39" t="s">
        <v>1871</v>
      </c>
      <c r="D18" s="396">
        <v>46266</v>
      </c>
      <c r="E18" s="40">
        <v>438.3</v>
      </c>
      <c r="G18" s="37">
        <v>8</v>
      </c>
      <c r="H18" s="38" t="s">
        <v>794</v>
      </c>
      <c r="I18" s="39" t="s">
        <v>796</v>
      </c>
      <c r="J18" s="394">
        <v>46143</v>
      </c>
      <c r="K18" s="41">
        <v>936</v>
      </c>
    </row>
    <row r="19" spans="1:11" ht="18" customHeight="1" x14ac:dyDescent="0.3">
      <c r="A19" s="37">
        <v>9</v>
      </c>
      <c r="B19" s="38" t="s">
        <v>795</v>
      </c>
      <c r="C19" s="39" t="s">
        <v>796</v>
      </c>
      <c r="D19" s="396">
        <v>46235</v>
      </c>
      <c r="E19" s="40">
        <v>1205.52</v>
      </c>
      <c r="G19" s="37">
        <v>9</v>
      </c>
      <c r="H19" s="38" t="s">
        <v>795</v>
      </c>
      <c r="I19" s="39" t="s">
        <v>796</v>
      </c>
      <c r="J19" s="394">
        <v>46143</v>
      </c>
      <c r="K19" s="41">
        <v>1050</v>
      </c>
    </row>
    <row r="20" spans="1:11" ht="18" customHeight="1" x14ac:dyDescent="0.3">
      <c r="A20" s="37">
        <v>10</v>
      </c>
      <c r="B20" s="38" t="s">
        <v>797</v>
      </c>
      <c r="C20" s="39" t="s">
        <v>796</v>
      </c>
      <c r="D20" s="396">
        <v>46235</v>
      </c>
      <c r="E20" s="40">
        <v>1607.36</v>
      </c>
      <c r="G20" s="37">
        <v>10</v>
      </c>
      <c r="H20" s="38" t="s">
        <v>797</v>
      </c>
      <c r="I20" s="39" t="s">
        <v>796</v>
      </c>
      <c r="J20" s="394">
        <v>46143</v>
      </c>
      <c r="K20" s="41">
        <v>1350</v>
      </c>
    </row>
    <row r="21" spans="1:11" ht="18" customHeight="1" x14ac:dyDescent="0.3">
      <c r="A21" s="37">
        <v>11</v>
      </c>
      <c r="B21" s="38" t="s">
        <v>798</v>
      </c>
      <c r="C21" s="39" t="s">
        <v>796</v>
      </c>
      <c r="D21" s="396">
        <v>46235</v>
      </c>
      <c r="E21" s="40">
        <v>2143.15</v>
      </c>
      <c r="G21" s="37">
        <v>11</v>
      </c>
      <c r="H21" s="38" t="s">
        <v>798</v>
      </c>
      <c r="I21" s="39" t="s">
        <v>796</v>
      </c>
      <c r="J21" s="394">
        <v>46143</v>
      </c>
      <c r="K21" s="41">
        <v>1718</v>
      </c>
    </row>
    <row r="22" spans="1:11" ht="18" customHeight="1" x14ac:dyDescent="0.3">
      <c r="A22" s="37">
        <v>12</v>
      </c>
      <c r="B22" s="38" t="s">
        <v>799</v>
      </c>
      <c r="C22" s="39" t="s">
        <v>801</v>
      </c>
      <c r="D22" s="396">
        <v>46235</v>
      </c>
      <c r="E22" s="40">
        <v>42.37</v>
      </c>
      <c r="G22" s="37">
        <v>12</v>
      </c>
      <c r="H22" s="38" t="s">
        <v>829</v>
      </c>
      <c r="I22" s="39" t="s">
        <v>801</v>
      </c>
      <c r="J22" s="394">
        <v>46143</v>
      </c>
      <c r="K22" s="41">
        <v>64.400000000000006</v>
      </c>
    </row>
    <row r="23" spans="1:11" ht="18" customHeight="1" x14ac:dyDescent="0.3">
      <c r="A23" s="37">
        <v>13</v>
      </c>
      <c r="B23" s="38" t="s">
        <v>802</v>
      </c>
      <c r="C23" s="39" t="s">
        <v>793</v>
      </c>
      <c r="D23" s="396">
        <v>46235</v>
      </c>
      <c r="E23" s="40">
        <v>19.59</v>
      </c>
      <c r="G23" s="37">
        <v>13</v>
      </c>
      <c r="H23" s="38" t="s">
        <v>830</v>
      </c>
      <c r="I23" s="39" t="s">
        <v>793</v>
      </c>
      <c r="J23" s="394">
        <v>46143</v>
      </c>
      <c r="K23" s="41">
        <v>26.62</v>
      </c>
    </row>
    <row r="24" spans="1:11" ht="18" customHeight="1" x14ac:dyDescent="0.3">
      <c r="A24" s="37">
        <v>14</v>
      </c>
      <c r="B24" s="38" t="s">
        <v>803</v>
      </c>
      <c r="C24" s="39" t="s">
        <v>793</v>
      </c>
      <c r="D24" s="396">
        <v>46235</v>
      </c>
      <c r="E24" s="40">
        <v>19.59</v>
      </c>
      <c r="G24" s="37">
        <v>14</v>
      </c>
      <c r="H24" s="38" t="s">
        <v>831</v>
      </c>
      <c r="I24" s="39" t="s">
        <v>793</v>
      </c>
      <c r="J24" s="394">
        <v>46143</v>
      </c>
      <c r="K24" s="41">
        <v>26.62</v>
      </c>
    </row>
    <row r="25" spans="1:11" ht="18" customHeight="1" x14ac:dyDescent="0.3">
      <c r="A25" s="37">
        <v>15</v>
      </c>
      <c r="B25" s="38" t="s">
        <v>804</v>
      </c>
      <c r="C25" s="39" t="s">
        <v>793</v>
      </c>
      <c r="D25" s="396">
        <v>46235</v>
      </c>
      <c r="E25" s="40">
        <v>19.59</v>
      </c>
      <c r="G25" s="37">
        <v>15</v>
      </c>
      <c r="H25" s="38" t="s">
        <v>832</v>
      </c>
      <c r="I25" s="39" t="s">
        <v>793</v>
      </c>
      <c r="J25" s="394">
        <v>46143</v>
      </c>
      <c r="K25" s="41">
        <v>26.62</v>
      </c>
    </row>
    <row r="26" spans="1:11" ht="18" customHeight="1" x14ac:dyDescent="0.3">
      <c r="A26" s="37">
        <v>16</v>
      </c>
      <c r="B26" s="38" t="s">
        <v>805</v>
      </c>
      <c r="C26" s="39" t="s">
        <v>807</v>
      </c>
      <c r="D26" s="396">
        <v>46235</v>
      </c>
      <c r="E26" s="40">
        <v>89.3</v>
      </c>
      <c r="J26" s="23"/>
      <c r="K26" s="23"/>
    </row>
    <row r="27" spans="1:11" ht="18" customHeight="1" x14ac:dyDescent="0.3">
      <c r="A27" s="37">
        <v>17</v>
      </c>
      <c r="B27" s="38" t="s">
        <v>806</v>
      </c>
      <c r="C27" s="39" t="s">
        <v>809</v>
      </c>
      <c r="D27" s="394">
        <v>45597</v>
      </c>
      <c r="E27" s="40">
        <v>3</v>
      </c>
      <c r="J27" s="23"/>
      <c r="K27" s="23"/>
    </row>
    <row r="28" spans="1:11" ht="18" customHeight="1" x14ac:dyDescent="0.3">
      <c r="A28" s="37">
        <v>18</v>
      </c>
      <c r="B28" s="38" t="s">
        <v>808</v>
      </c>
      <c r="C28" s="39" t="s">
        <v>811</v>
      </c>
      <c r="D28" s="396">
        <v>46235</v>
      </c>
      <c r="E28" s="40">
        <v>142.88</v>
      </c>
      <c r="J28" s="23"/>
      <c r="K28" s="23"/>
    </row>
    <row r="29" spans="1:11" ht="18" customHeight="1" x14ac:dyDescent="0.3">
      <c r="A29" s="37">
        <v>19</v>
      </c>
      <c r="B29" s="38" t="s">
        <v>810</v>
      </c>
      <c r="C29" s="39" t="s">
        <v>811</v>
      </c>
      <c r="D29" s="396">
        <v>46235</v>
      </c>
      <c r="E29" s="40">
        <v>179.34</v>
      </c>
      <c r="J29" s="23"/>
      <c r="K29" s="23"/>
    </row>
    <row r="30" spans="1:11" ht="18" customHeight="1" x14ac:dyDescent="0.3">
      <c r="A30" s="37">
        <v>20</v>
      </c>
      <c r="B30" s="38" t="s">
        <v>812</v>
      </c>
      <c r="C30" s="39" t="s">
        <v>809</v>
      </c>
      <c r="D30" s="394">
        <v>45597</v>
      </c>
      <c r="E30" s="40">
        <v>5.84</v>
      </c>
      <c r="J30" s="23"/>
      <c r="K30" s="23"/>
    </row>
    <row r="31" spans="1:11" ht="18" customHeight="1" x14ac:dyDescent="0.3">
      <c r="A31" s="37">
        <v>21</v>
      </c>
      <c r="B31" s="38" t="s">
        <v>813</v>
      </c>
      <c r="C31" s="39" t="s">
        <v>809</v>
      </c>
      <c r="D31" s="394">
        <v>45658</v>
      </c>
      <c r="E31" s="40">
        <v>15.15</v>
      </c>
      <c r="J31" s="23"/>
      <c r="K31" s="23"/>
    </row>
    <row r="32" spans="1:11" ht="18" customHeight="1" x14ac:dyDescent="0.3">
      <c r="A32" s="37">
        <v>22</v>
      </c>
      <c r="B32" s="38" t="s">
        <v>1857</v>
      </c>
      <c r="C32" s="39" t="s">
        <v>1864</v>
      </c>
      <c r="D32" s="396">
        <v>46235</v>
      </c>
      <c r="E32" s="40">
        <v>157.31</v>
      </c>
      <c r="J32" s="23"/>
      <c r="K32" s="23"/>
    </row>
    <row r="33" spans="1:11" ht="18" customHeight="1" x14ac:dyDescent="0.3">
      <c r="A33" s="37">
        <v>23</v>
      </c>
      <c r="B33" s="38" t="s">
        <v>1862</v>
      </c>
      <c r="C33" s="39" t="s">
        <v>1865</v>
      </c>
      <c r="D33" s="396">
        <v>46235</v>
      </c>
      <c r="E33" s="40">
        <v>53.8</v>
      </c>
      <c r="J33" s="23"/>
      <c r="K33" s="23"/>
    </row>
    <row r="34" spans="1:11" ht="18" customHeight="1" x14ac:dyDescent="0.3">
      <c r="A34" s="37">
        <v>24</v>
      </c>
      <c r="B34" s="38" t="s">
        <v>1863</v>
      </c>
      <c r="C34" s="39" t="s">
        <v>1865</v>
      </c>
      <c r="D34" s="396">
        <v>46235</v>
      </c>
      <c r="E34" s="40">
        <v>3.39</v>
      </c>
      <c r="J34" s="23"/>
      <c r="K34" s="23"/>
    </row>
    <row r="35" spans="1:11" s="23" customFormat="1" ht="14.25" customHeight="1" x14ac:dyDescent="0.3"/>
    <row r="36" spans="1:11" s="23" customFormat="1" ht="15" customHeight="1" x14ac:dyDescent="0.3">
      <c r="A36" s="405" t="s">
        <v>840</v>
      </c>
      <c r="B36" s="405"/>
      <c r="C36" s="405"/>
      <c r="D36" s="405"/>
      <c r="E36" s="405"/>
    </row>
    <row r="37" spans="1:11" s="23" customFormat="1" ht="14.25" customHeight="1" x14ac:dyDescent="0.3"/>
    <row r="38" spans="1:11" s="23" customFormat="1" ht="14.25" customHeight="1" x14ac:dyDescent="0.3"/>
    <row r="39" spans="1:11" s="23" customFormat="1" ht="14.25" customHeight="1" x14ac:dyDescent="0.3">
      <c r="A39" s="402" t="s">
        <v>841</v>
      </c>
      <c r="B39" s="402"/>
      <c r="C39" s="402"/>
      <c r="D39" s="402"/>
      <c r="E39" s="402"/>
      <c r="F39" s="402"/>
      <c r="G39" s="402"/>
      <c r="H39" s="402"/>
    </row>
    <row r="40" spans="1:11" s="23" customFormat="1" ht="21.75" customHeight="1" x14ac:dyDescent="0.3">
      <c r="A40" s="3" t="s">
        <v>10</v>
      </c>
      <c r="B40" s="3" t="s">
        <v>842</v>
      </c>
      <c r="C40" s="3" t="s">
        <v>843</v>
      </c>
      <c r="D40" s="3" t="s">
        <v>844</v>
      </c>
      <c r="E40" s="3" t="s">
        <v>845</v>
      </c>
      <c r="F40" s="3" t="s">
        <v>846</v>
      </c>
      <c r="G40" s="3" t="s">
        <v>847</v>
      </c>
      <c r="H40" s="3" t="s">
        <v>848</v>
      </c>
    </row>
    <row r="41" spans="1:11" s="23" customFormat="1" ht="14.25" customHeight="1" x14ac:dyDescent="0.3">
      <c r="A41" s="5">
        <v>6</v>
      </c>
      <c r="B41" s="4" t="s">
        <v>849</v>
      </c>
      <c r="C41" s="42">
        <v>21.6</v>
      </c>
      <c r="D41" s="42">
        <v>24</v>
      </c>
      <c r="E41" s="42">
        <v>27</v>
      </c>
      <c r="F41" s="42">
        <v>0.77</v>
      </c>
      <c r="G41" s="42">
        <v>0.9</v>
      </c>
      <c r="H41" s="42">
        <v>0.3</v>
      </c>
    </row>
    <row r="42" spans="1:11" s="23" customFormat="1" ht="14.25" customHeight="1" x14ac:dyDescent="0.3">
      <c r="A42" s="5">
        <v>8</v>
      </c>
      <c r="B42" s="4" t="s">
        <v>849</v>
      </c>
      <c r="C42" s="42">
        <v>25.2</v>
      </c>
      <c r="D42" s="42">
        <v>30</v>
      </c>
      <c r="E42" s="42">
        <v>37</v>
      </c>
      <c r="F42" s="42">
        <v>1.34</v>
      </c>
      <c r="G42" s="42">
        <v>1</v>
      </c>
      <c r="H42" s="42">
        <v>0.43</v>
      </c>
    </row>
    <row r="43" spans="1:11" s="23" customFormat="1" ht="14.25" customHeight="1" x14ac:dyDescent="0.3">
      <c r="A43" s="5">
        <v>10</v>
      </c>
      <c r="B43" s="4" t="s">
        <v>850</v>
      </c>
      <c r="C43" s="42">
        <v>81</v>
      </c>
      <c r="D43" s="42">
        <v>37</v>
      </c>
      <c r="E43" s="42">
        <v>47</v>
      </c>
      <c r="F43" s="42">
        <v>2.56</v>
      </c>
      <c r="G43" s="42">
        <v>1.5</v>
      </c>
      <c r="H43" s="42">
        <v>0.66</v>
      </c>
    </row>
    <row r="44" spans="1:11" s="23" customFormat="1" ht="14.25" customHeight="1" x14ac:dyDescent="0.3">
      <c r="A44" s="5">
        <v>12</v>
      </c>
      <c r="B44" s="4" t="s">
        <v>851</v>
      </c>
      <c r="C44" s="42">
        <v>127.8</v>
      </c>
      <c r="D44" s="42">
        <v>50</v>
      </c>
      <c r="E44" s="42">
        <v>62</v>
      </c>
      <c r="F44" s="42">
        <v>5.24</v>
      </c>
      <c r="G44" s="42">
        <v>3</v>
      </c>
      <c r="H44" s="42">
        <v>1</v>
      </c>
    </row>
    <row r="45" spans="1:11" s="23" customFormat="1" ht="14.25" customHeight="1" x14ac:dyDescent="0.3">
      <c r="A45" s="5">
        <v>14</v>
      </c>
      <c r="B45" s="4" t="s">
        <v>851</v>
      </c>
      <c r="C45" s="42">
        <v>142.19999999999999</v>
      </c>
      <c r="D45" s="42">
        <v>57</v>
      </c>
      <c r="E45" s="42">
        <v>74</v>
      </c>
      <c r="F45" s="42">
        <v>5.24</v>
      </c>
      <c r="G45" s="42">
        <v>3</v>
      </c>
      <c r="H45" s="42">
        <v>1</v>
      </c>
    </row>
    <row r="46" spans="1:11" s="23" customFormat="1" ht="14.25" customHeight="1" x14ac:dyDescent="0.3">
      <c r="A46" s="5">
        <v>16</v>
      </c>
      <c r="B46" s="4" t="s">
        <v>851</v>
      </c>
      <c r="C46" s="42">
        <v>156.6</v>
      </c>
      <c r="D46" s="42">
        <v>62</v>
      </c>
      <c r="E46" s="42">
        <v>84</v>
      </c>
      <c r="F46" s="42">
        <v>6.01</v>
      </c>
      <c r="G46" s="42">
        <v>3</v>
      </c>
      <c r="H46" s="42">
        <v>1</v>
      </c>
    </row>
    <row r="47" spans="1:11" s="23" customFormat="1" ht="14.25" customHeight="1" x14ac:dyDescent="0.3">
      <c r="A47" s="5">
        <v>18</v>
      </c>
      <c r="B47" s="4" t="s">
        <v>852</v>
      </c>
      <c r="C47" s="42">
        <v>319.2</v>
      </c>
      <c r="D47" s="42">
        <v>82</v>
      </c>
      <c r="E47" s="42">
        <v>112</v>
      </c>
      <c r="F47" s="42">
        <v>6.01</v>
      </c>
      <c r="G47" s="42">
        <v>3</v>
      </c>
      <c r="H47" s="42">
        <v>1</v>
      </c>
    </row>
    <row r="48" spans="1:11" s="23" customFormat="1" ht="14.25" customHeight="1" x14ac:dyDescent="0.3">
      <c r="A48" s="5">
        <v>20</v>
      </c>
      <c r="B48" s="4" t="s">
        <v>853</v>
      </c>
      <c r="C48" s="42">
        <v>522.5</v>
      </c>
      <c r="D48" s="42">
        <v>107</v>
      </c>
      <c r="E48" s="42">
        <v>153</v>
      </c>
      <c r="F48" s="42">
        <v>6.01</v>
      </c>
      <c r="G48" s="42">
        <v>3</v>
      </c>
      <c r="H48" s="42">
        <v>1</v>
      </c>
    </row>
    <row r="49" spans="1:8" s="23" customFormat="1" ht="14.25" customHeight="1" x14ac:dyDescent="0.3">
      <c r="A49" s="5">
        <v>22</v>
      </c>
      <c r="B49" s="4" t="s">
        <v>853</v>
      </c>
      <c r="C49" s="42">
        <v>560.5</v>
      </c>
      <c r="D49" s="42">
        <v>151</v>
      </c>
      <c r="E49" s="42">
        <v>201</v>
      </c>
      <c r="F49" s="42">
        <v>6.01</v>
      </c>
      <c r="G49" s="42">
        <v>3</v>
      </c>
      <c r="H49" s="42">
        <v>1</v>
      </c>
    </row>
    <row r="50" spans="1:8" s="23" customFormat="1" ht="14.25" customHeight="1" x14ac:dyDescent="0.3">
      <c r="A50" s="5">
        <v>24</v>
      </c>
      <c r="B50" s="4" t="s">
        <v>853</v>
      </c>
      <c r="C50" s="42">
        <v>598.5</v>
      </c>
      <c r="D50" s="42">
        <v>169</v>
      </c>
      <c r="E50" s="42">
        <v>224</v>
      </c>
      <c r="F50" s="42">
        <v>15.79</v>
      </c>
      <c r="G50" s="42">
        <v>3</v>
      </c>
      <c r="H50" s="42">
        <v>1</v>
      </c>
    </row>
    <row r="51" spans="1:8" s="23" customFormat="1" ht="14.25" customHeight="1" x14ac:dyDescent="0.3">
      <c r="A51" s="5">
        <v>26</v>
      </c>
      <c r="B51" s="4" t="s">
        <v>853</v>
      </c>
      <c r="C51" s="42">
        <v>642.20000000000005</v>
      </c>
      <c r="D51" s="42">
        <v>169</v>
      </c>
      <c r="E51" s="42">
        <v>224</v>
      </c>
      <c r="F51" s="42">
        <v>15.79</v>
      </c>
      <c r="G51" s="42">
        <v>3</v>
      </c>
      <c r="H51" s="42">
        <v>1</v>
      </c>
    </row>
    <row r="52" spans="1:8" s="23" customFormat="1" ht="14.25" customHeight="1" x14ac:dyDescent="0.3">
      <c r="A52" s="5">
        <v>28</v>
      </c>
      <c r="B52" s="4" t="s">
        <v>854</v>
      </c>
      <c r="C52" s="42">
        <v>1820</v>
      </c>
      <c r="D52" s="42">
        <v>174</v>
      </c>
      <c r="E52" s="42">
        <v>242</v>
      </c>
      <c r="F52" s="42">
        <v>15.79</v>
      </c>
      <c r="G52" s="42">
        <v>3</v>
      </c>
      <c r="H52" s="42">
        <v>1</v>
      </c>
    </row>
    <row r="53" spans="1:8" s="23" customFormat="1" ht="14.25" customHeight="1" x14ac:dyDescent="0.3">
      <c r="A53" s="5">
        <v>30</v>
      </c>
      <c r="B53" s="4" t="s">
        <v>854</v>
      </c>
      <c r="C53" s="42">
        <v>1925</v>
      </c>
      <c r="D53" s="42">
        <v>174</v>
      </c>
      <c r="E53" s="42">
        <v>242</v>
      </c>
      <c r="F53" s="42">
        <v>15.79</v>
      </c>
      <c r="G53" s="42">
        <v>3</v>
      </c>
      <c r="H53" s="42">
        <v>1</v>
      </c>
    </row>
    <row r="54" spans="1:8" s="23" customFormat="1" ht="14.25" customHeight="1" x14ac:dyDescent="0.3">
      <c r="A54" s="5">
        <v>32</v>
      </c>
      <c r="B54" s="4" t="s">
        <v>854</v>
      </c>
      <c r="C54" s="42">
        <v>2030</v>
      </c>
      <c r="D54" s="42">
        <v>269</v>
      </c>
      <c r="E54" s="42">
        <v>364</v>
      </c>
      <c r="F54" s="42">
        <v>15.79</v>
      </c>
      <c r="G54" s="42">
        <v>3</v>
      </c>
      <c r="H54" s="42">
        <v>1</v>
      </c>
    </row>
    <row r="55" spans="1:8" s="23" customFormat="1" ht="14.25" customHeight="1" x14ac:dyDescent="0.3">
      <c r="A55" s="5">
        <v>34</v>
      </c>
      <c r="B55" s="4" t="s">
        <v>854</v>
      </c>
      <c r="C55" s="42">
        <v>2170</v>
      </c>
      <c r="D55" s="42">
        <v>269</v>
      </c>
      <c r="E55" s="42">
        <v>364</v>
      </c>
      <c r="F55" s="42">
        <v>15.79</v>
      </c>
      <c r="G55" s="42">
        <v>3</v>
      </c>
      <c r="H55" s="42">
        <v>1</v>
      </c>
    </row>
    <row r="56" spans="1:8" s="23" customFormat="1" ht="14.25" customHeight="1" x14ac:dyDescent="0.3">
      <c r="A56" s="5">
        <v>36</v>
      </c>
      <c r="B56" s="4" t="s">
        <v>855</v>
      </c>
      <c r="C56" s="42">
        <v>2534</v>
      </c>
      <c r="D56" s="42">
        <v>461</v>
      </c>
      <c r="E56" s="42">
        <v>601</v>
      </c>
      <c r="F56" s="42">
        <v>17.43</v>
      </c>
      <c r="G56" s="42">
        <v>3</v>
      </c>
      <c r="H56" s="42">
        <v>1</v>
      </c>
    </row>
    <row r="57" spans="1:8" s="23" customFormat="1" ht="14.25" customHeight="1" x14ac:dyDescent="0.3">
      <c r="A57" s="5">
        <v>38</v>
      </c>
      <c r="B57" s="4" t="s">
        <v>855</v>
      </c>
      <c r="C57" s="42">
        <v>2673</v>
      </c>
      <c r="D57" s="42">
        <v>461</v>
      </c>
      <c r="E57" s="42">
        <v>601</v>
      </c>
      <c r="F57" s="42">
        <v>17.43</v>
      </c>
      <c r="G57" s="42">
        <v>3</v>
      </c>
      <c r="H57" s="42">
        <v>1</v>
      </c>
    </row>
    <row r="58" spans="1:8" s="23" customFormat="1" ht="14.25" customHeight="1" x14ac:dyDescent="0.3">
      <c r="A58" s="5">
        <v>40</v>
      </c>
      <c r="B58" s="4" t="s">
        <v>855</v>
      </c>
      <c r="C58" s="42">
        <v>2832</v>
      </c>
      <c r="D58" s="42">
        <v>508</v>
      </c>
      <c r="E58" s="42">
        <v>676</v>
      </c>
      <c r="F58" s="42">
        <v>18.399999999999999</v>
      </c>
      <c r="G58" s="42">
        <v>3</v>
      </c>
      <c r="H58" s="42">
        <v>1</v>
      </c>
    </row>
    <row r="59" spans="1:8" s="23" customFormat="1" ht="14.25" customHeight="1" x14ac:dyDescent="0.3">
      <c r="A59" s="5">
        <v>42</v>
      </c>
      <c r="B59" s="4" t="s">
        <v>855</v>
      </c>
      <c r="C59" s="42">
        <v>2970</v>
      </c>
      <c r="D59" s="42">
        <v>508</v>
      </c>
      <c r="E59" s="42">
        <v>676</v>
      </c>
      <c r="F59" s="42">
        <v>18.399999999999999</v>
      </c>
      <c r="G59" s="42">
        <v>3</v>
      </c>
      <c r="H59" s="42">
        <v>1</v>
      </c>
    </row>
    <row r="60" spans="1:8" s="23" customFormat="1" ht="14.25" customHeight="1" x14ac:dyDescent="0.3">
      <c r="A60" s="403" t="s">
        <v>856</v>
      </c>
      <c r="B60" s="403"/>
      <c r="C60" s="403"/>
      <c r="D60" s="403"/>
      <c r="E60" s="403"/>
      <c r="F60" s="403"/>
      <c r="G60" s="403"/>
      <c r="H60" s="403"/>
    </row>
    <row r="61" spans="1:8" s="23" customFormat="1" ht="14.25" customHeight="1" x14ac:dyDescent="0.3"/>
    <row r="62" spans="1:8" s="23" customFormat="1" ht="14.25" customHeight="1" x14ac:dyDescent="0.3"/>
    <row r="63" spans="1:8" s="23" customFormat="1" ht="14.25" customHeight="1" x14ac:dyDescent="0.3">
      <c r="A63" s="402" t="s">
        <v>857</v>
      </c>
      <c r="B63" s="402"/>
      <c r="C63" s="402"/>
      <c r="D63" s="402"/>
      <c r="E63" s="402"/>
      <c r="F63" s="402"/>
      <c r="G63" s="402"/>
      <c r="H63" s="402"/>
    </row>
    <row r="64" spans="1:8" s="23" customFormat="1" ht="14.25" customHeight="1" x14ac:dyDescent="0.3">
      <c r="A64" s="3" t="s">
        <v>10</v>
      </c>
      <c r="B64" s="3" t="s">
        <v>858</v>
      </c>
      <c r="C64" s="3" t="s">
        <v>859</v>
      </c>
      <c r="D64" s="3" t="s">
        <v>860</v>
      </c>
    </row>
    <row r="65" spans="1:11" s="23" customFormat="1" ht="14.25" customHeight="1" x14ac:dyDescent="0.3">
      <c r="A65" s="5" t="s">
        <v>39</v>
      </c>
      <c r="B65" s="42">
        <v>110</v>
      </c>
      <c r="C65" s="42">
        <v>144</v>
      </c>
      <c r="D65" s="42">
        <v>881</v>
      </c>
    </row>
    <row r="66" spans="1:11" s="23" customFormat="1" ht="14.25" customHeight="1" x14ac:dyDescent="0.3">
      <c r="A66" s="5" t="s">
        <v>41</v>
      </c>
      <c r="B66" s="42">
        <v>150</v>
      </c>
      <c r="C66" s="42">
        <v>195</v>
      </c>
      <c r="D66" s="42">
        <v>1080</v>
      </c>
    </row>
    <row r="67" spans="1:11" ht="14.25" customHeight="1" x14ac:dyDescent="0.3">
      <c r="A67" s="5" t="s">
        <v>43</v>
      </c>
      <c r="B67" s="42">
        <v>169</v>
      </c>
      <c r="C67" s="42">
        <v>220</v>
      </c>
      <c r="D67" s="42">
        <v>1492</v>
      </c>
      <c r="J67" s="23"/>
      <c r="K67" s="23"/>
    </row>
    <row r="68" spans="1:11" ht="14.25" customHeight="1" x14ac:dyDescent="0.3">
      <c r="A68" s="5" t="s">
        <v>45</v>
      </c>
      <c r="B68" s="42">
        <v>220</v>
      </c>
      <c r="C68" s="42">
        <v>272</v>
      </c>
      <c r="D68" s="42">
        <v>1890</v>
      </c>
      <c r="J68" s="23"/>
      <c r="K68" s="23"/>
    </row>
    <row r="69" spans="1:11" ht="14.25" customHeight="1" x14ac:dyDescent="0.3">
      <c r="A69" s="5" t="s">
        <v>47</v>
      </c>
      <c r="B69" s="42">
        <v>290</v>
      </c>
      <c r="C69" s="42">
        <v>350</v>
      </c>
      <c r="D69" s="42">
        <v>2325</v>
      </c>
      <c r="J69" s="23"/>
      <c r="K69" s="23"/>
    </row>
    <row r="70" spans="1:11" ht="14.25" customHeight="1" x14ac:dyDescent="0.3">
      <c r="J70" s="23"/>
      <c r="K70" s="23"/>
    </row>
    <row r="71" spans="1:11" ht="14.25" customHeight="1" x14ac:dyDescent="0.3">
      <c r="A71" s="402" t="s">
        <v>861</v>
      </c>
      <c r="B71" s="402"/>
      <c r="C71" s="402"/>
      <c r="D71" s="402"/>
      <c r="E71" s="402"/>
      <c r="F71" s="402"/>
      <c r="G71" s="402"/>
      <c r="H71" s="402"/>
      <c r="J71" s="23"/>
      <c r="K71" s="23"/>
    </row>
    <row r="72" spans="1:11" ht="32.25" customHeight="1" x14ac:dyDescent="0.3">
      <c r="A72" s="3" t="s">
        <v>10</v>
      </c>
      <c r="B72" s="3" t="s">
        <v>862</v>
      </c>
      <c r="C72" s="3" t="s">
        <v>863</v>
      </c>
      <c r="D72" s="3" t="s">
        <v>864</v>
      </c>
      <c r="E72" s="3" t="s">
        <v>865</v>
      </c>
      <c r="F72" s="3" t="s">
        <v>866</v>
      </c>
      <c r="G72" s="3" t="s">
        <v>867</v>
      </c>
      <c r="J72" s="23"/>
      <c r="K72" s="23"/>
    </row>
    <row r="73" spans="1:11" ht="14.25" customHeight="1" x14ac:dyDescent="0.3">
      <c r="A73" s="5" t="s">
        <v>39</v>
      </c>
      <c r="B73" s="42">
        <v>14</v>
      </c>
      <c r="C73" s="42">
        <v>58</v>
      </c>
      <c r="D73" s="42">
        <v>240</v>
      </c>
      <c r="E73" s="42">
        <v>10</v>
      </c>
      <c r="F73" s="42">
        <v>65.3</v>
      </c>
      <c r="G73" s="42">
        <v>120</v>
      </c>
      <c r="J73" s="23"/>
      <c r="K73" s="23"/>
    </row>
    <row r="74" spans="1:11" ht="14.25" customHeight="1" x14ac:dyDescent="0.3">
      <c r="A74" s="5" t="s">
        <v>41</v>
      </c>
      <c r="B74" s="42">
        <v>19.5</v>
      </c>
      <c r="C74" s="42">
        <v>66.5</v>
      </c>
      <c r="D74" s="42">
        <v>288</v>
      </c>
      <c r="E74" s="42">
        <v>13.5</v>
      </c>
      <c r="F74" s="42">
        <v>65.3</v>
      </c>
      <c r="G74" s="42">
        <v>120</v>
      </c>
      <c r="J74" s="23"/>
      <c r="K74" s="23"/>
    </row>
    <row r="75" spans="1:11" ht="14.25" customHeight="1" x14ac:dyDescent="0.3">
      <c r="A75" s="5" t="s">
        <v>43</v>
      </c>
      <c r="B75" s="42">
        <v>23.2</v>
      </c>
      <c r="C75" s="42">
        <v>72</v>
      </c>
      <c r="D75" s="42">
        <v>315</v>
      </c>
      <c r="E75" s="42">
        <v>13.5</v>
      </c>
      <c r="F75" s="42">
        <v>68</v>
      </c>
      <c r="G75" s="42">
        <v>120</v>
      </c>
      <c r="J75" s="23"/>
      <c r="K75" s="23"/>
    </row>
    <row r="76" spans="1:11" ht="14.25" customHeight="1" x14ac:dyDescent="0.3">
      <c r="A76" s="5" t="s">
        <v>45</v>
      </c>
      <c r="B76" s="42">
        <v>28.5</v>
      </c>
      <c r="C76" s="42">
        <v>80</v>
      </c>
      <c r="D76" s="42">
        <v>357</v>
      </c>
      <c r="E76" s="42">
        <v>13.5</v>
      </c>
      <c r="F76" s="42">
        <v>73.099999999999994</v>
      </c>
      <c r="G76" s="42">
        <v>120</v>
      </c>
      <c r="J76" s="23"/>
      <c r="K76" s="23"/>
    </row>
    <row r="77" spans="1:11" ht="14.25" customHeight="1" x14ac:dyDescent="0.3">
      <c r="A77" s="5" t="s">
        <v>47</v>
      </c>
      <c r="B77" s="42">
        <v>32.299999999999997</v>
      </c>
      <c r="C77" s="42">
        <v>115</v>
      </c>
      <c r="D77" s="42">
        <v>430</v>
      </c>
      <c r="E77" s="42">
        <v>16</v>
      </c>
      <c r="F77" s="42">
        <v>73.099999999999994</v>
      </c>
      <c r="G77" s="42">
        <v>120</v>
      </c>
      <c r="J77" s="23"/>
      <c r="K77" s="23"/>
    </row>
    <row r="78" spans="1:11" ht="14.25" customHeight="1" x14ac:dyDescent="0.3">
      <c r="A78" s="403" t="s">
        <v>868</v>
      </c>
      <c r="B78" s="403"/>
      <c r="C78" s="403"/>
      <c r="D78" s="403"/>
      <c r="E78" s="403"/>
      <c r="F78" s="403"/>
      <c r="G78" s="403"/>
      <c r="H78" s="403"/>
      <c r="J78" s="23"/>
      <c r="K78" s="23"/>
    </row>
    <row r="79" spans="1:11" ht="14.25" customHeight="1" x14ac:dyDescent="0.3">
      <c r="J79" s="23"/>
      <c r="K79" s="23"/>
    </row>
    <row r="80" spans="1:11" ht="14.25" customHeight="1" x14ac:dyDescent="0.3">
      <c r="J80" s="23"/>
      <c r="K80" s="23"/>
    </row>
    <row r="81" spans="1:11" ht="14.25" customHeight="1" x14ac:dyDescent="0.3">
      <c r="A81" s="402" t="s">
        <v>869</v>
      </c>
      <c r="B81" s="402"/>
      <c r="C81" s="402"/>
      <c r="D81" s="402"/>
      <c r="E81" s="402"/>
      <c r="F81" s="402"/>
      <c r="G81" s="402"/>
      <c r="J81" s="23"/>
      <c r="K81" s="23"/>
    </row>
    <row r="82" spans="1:11" ht="21.75" customHeight="1" x14ac:dyDescent="0.3">
      <c r="A82" s="3" t="s">
        <v>10</v>
      </c>
      <c r="B82" s="3" t="s">
        <v>843</v>
      </c>
      <c r="C82" s="3" t="s">
        <v>870</v>
      </c>
      <c r="D82" s="3" t="s">
        <v>871</v>
      </c>
      <c r="E82" s="3" t="s">
        <v>872</v>
      </c>
      <c r="F82" s="3" t="s">
        <v>873</v>
      </c>
      <c r="G82" s="3" t="s">
        <v>874</v>
      </c>
      <c r="J82" s="23"/>
      <c r="K82" s="23"/>
    </row>
    <row r="83" spans="1:11" ht="14.25" customHeight="1" x14ac:dyDescent="0.3">
      <c r="A83" s="5">
        <v>6</v>
      </c>
      <c r="B83" s="42">
        <v>21.6</v>
      </c>
      <c r="C83" s="42">
        <v>22</v>
      </c>
      <c r="D83" s="42">
        <v>22</v>
      </c>
      <c r="E83" s="42">
        <v>7</v>
      </c>
      <c r="F83" s="42">
        <v>0.6</v>
      </c>
      <c r="G83" s="42">
        <v>0.8</v>
      </c>
      <c r="J83" s="23"/>
      <c r="K83" s="23"/>
    </row>
    <row r="84" spans="1:11" ht="14.25" customHeight="1" x14ac:dyDescent="0.3">
      <c r="A84" s="5">
        <v>8</v>
      </c>
      <c r="B84" s="42">
        <v>25.2</v>
      </c>
      <c r="C84" s="42">
        <v>30</v>
      </c>
      <c r="D84" s="42">
        <v>30</v>
      </c>
      <c r="E84" s="42">
        <v>8.5</v>
      </c>
      <c r="F84" s="42">
        <v>0.6</v>
      </c>
      <c r="G84" s="42">
        <v>0.8</v>
      </c>
      <c r="J84" s="23"/>
      <c r="K84" s="23"/>
    </row>
    <row r="85" spans="1:11" ht="14.25" customHeight="1" x14ac:dyDescent="0.3">
      <c r="A85" s="5">
        <v>10</v>
      </c>
      <c r="B85" s="42">
        <v>82.8</v>
      </c>
      <c r="C85" s="42">
        <v>36</v>
      </c>
      <c r="D85" s="42">
        <v>36</v>
      </c>
      <c r="E85" s="42">
        <v>9.5</v>
      </c>
      <c r="F85" s="42">
        <v>0.6</v>
      </c>
      <c r="G85" s="42">
        <v>0.8</v>
      </c>
      <c r="J85" s="23"/>
      <c r="K85" s="23"/>
    </row>
    <row r="86" spans="1:11" ht="14.25" customHeight="1" x14ac:dyDescent="0.3">
      <c r="A86" s="5">
        <v>12</v>
      </c>
      <c r="B86" s="42">
        <v>127.8</v>
      </c>
      <c r="C86" s="42">
        <v>48</v>
      </c>
      <c r="D86" s="42">
        <v>48</v>
      </c>
      <c r="E86" s="42">
        <v>10.5</v>
      </c>
      <c r="F86" s="42">
        <v>0.6</v>
      </c>
      <c r="G86" s="42">
        <v>0.8</v>
      </c>
      <c r="J86" s="23"/>
      <c r="K86" s="23"/>
    </row>
    <row r="87" spans="1:11" ht="14.25" customHeight="1" x14ac:dyDescent="0.3">
      <c r="A87" s="5">
        <v>14</v>
      </c>
      <c r="B87" s="42">
        <v>142.19999999999999</v>
      </c>
      <c r="C87" s="42">
        <v>56</v>
      </c>
      <c r="D87" s="42">
        <v>56</v>
      </c>
      <c r="E87" s="42">
        <v>10.5</v>
      </c>
      <c r="F87" s="42">
        <v>0.6</v>
      </c>
      <c r="G87" s="42">
        <v>0.8</v>
      </c>
      <c r="J87" s="23"/>
      <c r="K87" s="23"/>
    </row>
    <row r="88" spans="1:11" ht="14.25" customHeight="1" x14ac:dyDescent="0.3">
      <c r="A88" s="5">
        <v>16</v>
      </c>
      <c r="B88" s="42">
        <v>158.4</v>
      </c>
      <c r="C88" s="42">
        <v>60</v>
      </c>
      <c r="D88" s="42">
        <v>60</v>
      </c>
      <c r="E88" s="42">
        <v>12</v>
      </c>
      <c r="F88" s="42">
        <v>0.6</v>
      </c>
      <c r="G88" s="42">
        <v>0.8</v>
      </c>
      <c r="J88" s="23"/>
      <c r="K88" s="23"/>
    </row>
    <row r="89" spans="1:11" ht="14.25" customHeight="1" x14ac:dyDescent="0.3">
      <c r="A89" s="5">
        <v>18</v>
      </c>
      <c r="B89" s="42">
        <v>319.2</v>
      </c>
      <c r="C89" s="42">
        <v>82</v>
      </c>
      <c r="D89" s="42">
        <v>82</v>
      </c>
      <c r="E89" s="42">
        <v>13</v>
      </c>
      <c r="F89" s="42">
        <v>0.6</v>
      </c>
      <c r="G89" s="42">
        <v>0.8</v>
      </c>
      <c r="J89" s="23"/>
      <c r="K89" s="23"/>
    </row>
    <row r="90" spans="1:11" ht="14.25" customHeight="1" x14ac:dyDescent="0.3">
      <c r="A90" s="5">
        <v>20</v>
      </c>
      <c r="B90" s="42">
        <v>524.4</v>
      </c>
      <c r="C90" s="42">
        <v>113</v>
      </c>
      <c r="D90" s="42">
        <v>113</v>
      </c>
      <c r="E90" s="42">
        <v>13</v>
      </c>
      <c r="F90" s="42">
        <v>0.6</v>
      </c>
      <c r="G90" s="42">
        <v>0.8</v>
      </c>
      <c r="J90" s="23"/>
      <c r="K90" s="23"/>
    </row>
    <row r="91" spans="1:11" ht="14.25" customHeight="1" x14ac:dyDescent="0.3">
      <c r="A91" s="5">
        <v>22</v>
      </c>
      <c r="B91" s="42">
        <v>570</v>
      </c>
      <c r="C91" s="42">
        <v>152</v>
      </c>
      <c r="D91" s="42">
        <v>152</v>
      </c>
      <c r="E91" s="42">
        <v>13</v>
      </c>
      <c r="F91" s="42">
        <v>0.6</v>
      </c>
      <c r="G91" s="42">
        <v>0.8</v>
      </c>
      <c r="J91" s="23"/>
      <c r="K91" s="23"/>
    </row>
    <row r="92" spans="1:11" ht="14.25" customHeight="1" x14ac:dyDescent="0.3">
      <c r="A92" s="5">
        <v>24</v>
      </c>
      <c r="B92" s="42">
        <v>609.9</v>
      </c>
      <c r="C92" s="42">
        <v>155</v>
      </c>
      <c r="D92" s="42">
        <v>155</v>
      </c>
      <c r="E92" s="42">
        <v>14.5</v>
      </c>
      <c r="F92" s="42">
        <v>0.6</v>
      </c>
      <c r="G92" s="42">
        <v>0.8</v>
      </c>
      <c r="J92" s="23"/>
      <c r="K92" s="23"/>
    </row>
    <row r="93" spans="1:11" ht="14.25" customHeight="1" x14ac:dyDescent="0.3">
      <c r="A93" s="5">
        <v>26</v>
      </c>
      <c r="B93" s="42">
        <v>653.6</v>
      </c>
      <c r="C93" s="42">
        <v>167</v>
      </c>
      <c r="D93" s="42">
        <v>167</v>
      </c>
      <c r="E93" s="42">
        <v>14.5</v>
      </c>
      <c r="F93" s="42">
        <v>0.6</v>
      </c>
      <c r="G93" s="42">
        <v>0.8</v>
      </c>
      <c r="J93" s="23"/>
      <c r="K93" s="23"/>
    </row>
    <row r="94" spans="1:11" ht="14.25" customHeight="1" x14ac:dyDescent="0.3">
      <c r="A94" s="5">
        <v>28</v>
      </c>
      <c r="B94" s="42">
        <v>1820</v>
      </c>
      <c r="C94" s="42">
        <v>174</v>
      </c>
      <c r="D94" s="42">
        <v>174</v>
      </c>
      <c r="E94" s="42">
        <v>16.5</v>
      </c>
      <c r="F94" s="42">
        <v>0.6</v>
      </c>
      <c r="G94" s="42">
        <v>0.8</v>
      </c>
      <c r="J94" s="23"/>
      <c r="K94" s="23"/>
    </row>
    <row r="95" spans="1:11" ht="14.25" customHeight="1" x14ac:dyDescent="0.3">
      <c r="A95" s="5">
        <v>30</v>
      </c>
      <c r="B95" s="42">
        <v>1925</v>
      </c>
      <c r="C95" s="42">
        <v>174</v>
      </c>
      <c r="D95" s="42">
        <v>174</v>
      </c>
      <c r="E95" s="42">
        <v>16.5</v>
      </c>
      <c r="F95" s="42">
        <v>0.6</v>
      </c>
      <c r="G95" s="42">
        <v>0.8</v>
      </c>
      <c r="J95" s="23"/>
      <c r="K95" s="23"/>
    </row>
    <row r="96" spans="1:11" ht="14.25" customHeight="1" x14ac:dyDescent="0.3">
      <c r="A96" s="5">
        <v>32</v>
      </c>
      <c r="B96" s="42">
        <v>2030</v>
      </c>
      <c r="C96" s="42">
        <v>268</v>
      </c>
      <c r="D96" s="42">
        <v>268</v>
      </c>
      <c r="E96" s="42">
        <v>17.5</v>
      </c>
      <c r="F96" s="42">
        <v>0.6</v>
      </c>
      <c r="G96" s="42">
        <v>0.8</v>
      </c>
      <c r="J96" s="23"/>
      <c r="K96" s="23"/>
    </row>
    <row r="97" spans="1:11" ht="14.25" customHeight="1" x14ac:dyDescent="0.3">
      <c r="A97" s="5">
        <v>34</v>
      </c>
      <c r="B97" s="42">
        <v>2135</v>
      </c>
      <c r="C97" s="42">
        <v>268</v>
      </c>
      <c r="D97" s="42">
        <v>268</v>
      </c>
      <c r="E97" s="42">
        <v>17.5</v>
      </c>
      <c r="F97" s="42">
        <v>0.6</v>
      </c>
      <c r="G97" s="42">
        <v>0.8</v>
      </c>
      <c r="J97" s="23"/>
      <c r="K97" s="23"/>
    </row>
    <row r="98" spans="1:11" ht="14.25" customHeight="1" x14ac:dyDescent="0.3">
      <c r="A98" s="5">
        <v>36</v>
      </c>
      <c r="B98" s="42">
        <v>1256.52</v>
      </c>
      <c r="C98" s="42">
        <v>460</v>
      </c>
      <c r="D98" s="42">
        <v>460</v>
      </c>
      <c r="E98" s="42">
        <v>20.5</v>
      </c>
      <c r="F98" s="42">
        <v>0.6</v>
      </c>
      <c r="G98" s="42">
        <v>0.8</v>
      </c>
      <c r="J98" s="23"/>
      <c r="K98" s="23"/>
    </row>
    <row r="99" spans="1:11" ht="14.25" customHeight="1" x14ac:dyDescent="0.3">
      <c r="A99" s="5">
        <v>38</v>
      </c>
      <c r="B99" s="42">
        <v>1315.72</v>
      </c>
      <c r="C99" s="42">
        <v>460</v>
      </c>
      <c r="D99" s="42">
        <v>460</v>
      </c>
      <c r="E99" s="42">
        <v>20.5</v>
      </c>
      <c r="F99" s="42">
        <v>0.6</v>
      </c>
      <c r="G99" s="42">
        <v>0.8</v>
      </c>
      <c r="J99" s="23"/>
      <c r="K99" s="23"/>
    </row>
    <row r="100" spans="1:11" ht="14.25" customHeight="1" x14ac:dyDescent="0.3">
      <c r="A100" s="5">
        <v>40</v>
      </c>
      <c r="B100" s="42">
        <v>1385.28</v>
      </c>
      <c r="C100" s="42">
        <v>508</v>
      </c>
      <c r="D100" s="42">
        <v>508</v>
      </c>
      <c r="E100" s="42">
        <v>22.5</v>
      </c>
      <c r="F100" s="42">
        <v>0.6</v>
      </c>
      <c r="G100" s="42">
        <v>0.8</v>
      </c>
      <c r="J100" s="23"/>
      <c r="K100" s="23"/>
    </row>
    <row r="101" spans="1:11" ht="14.25" customHeight="1" x14ac:dyDescent="0.3">
      <c r="A101" s="5">
        <v>42</v>
      </c>
      <c r="B101" s="42">
        <v>1438.56</v>
      </c>
      <c r="C101" s="42">
        <v>508</v>
      </c>
      <c r="D101" s="42">
        <v>508</v>
      </c>
      <c r="E101" s="42">
        <v>24.5</v>
      </c>
      <c r="F101" s="42">
        <v>0.6</v>
      </c>
      <c r="G101" s="42">
        <v>0.8</v>
      </c>
      <c r="J101" s="23"/>
      <c r="K101" s="23"/>
    </row>
    <row r="102" spans="1:11" ht="14.25" customHeight="1" x14ac:dyDescent="0.3">
      <c r="A102" s="404" t="s">
        <v>875</v>
      </c>
      <c r="B102" s="404"/>
      <c r="C102" s="404"/>
      <c r="D102" s="404"/>
      <c r="E102" s="404"/>
      <c r="F102" s="404"/>
      <c r="G102" s="404"/>
      <c r="J102" s="23"/>
      <c r="K102" s="23"/>
    </row>
    <row r="103" spans="1:11" ht="14.25" customHeight="1" x14ac:dyDescent="0.3">
      <c r="A103" s="23"/>
      <c r="B103" s="23"/>
      <c r="C103" s="23"/>
      <c r="D103" s="23"/>
      <c r="E103" s="23"/>
      <c r="J103" s="23"/>
      <c r="K103" s="23"/>
    </row>
    <row r="104" spans="1:11" ht="14.25" customHeight="1" x14ac:dyDescent="0.3">
      <c r="A104" s="23"/>
      <c r="B104" s="23"/>
      <c r="C104" s="23"/>
      <c r="D104" s="23"/>
      <c r="E104" s="23"/>
      <c r="J104" s="23"/>
      <c r="K104" s="23"/>
    </row>
    <row r="105" spans="1:11" ht="14.25" customHeight="1" x14ac:dyDescent="0.3">
      <c r="A105" s="23"/>
      <c r="B105" s="23"/>
      <c r="C105" s="23"/>
      <c r="D105" s="23"/>
      <c r="E105" s="23"/>
      <c r="J105" s="23"/>
      <c r="K105" s="23"/>
    </row>
    <row r="106" spans="1:11" ht="14.25" customHeight="1" x14ac:dyDescent="0.3">
      <c r="A106" s="23"/>
      <c r="B106" s="23"/>
      <c r="C106" s="23"/>
      <c r="D106" s="23"/>
      <c r="E106" s="23"/>
      <c r="J106" s="23"/>
      <c r="K106" s="23"/>
    </row>
    <row r="107" spans="1:11" ht="14.25" customHeight="1" x14ac:dyDescent="0.3">
      <c r="A107" s="23"/>
      <c r="B107" s="23"/>
      <c r="C107" s="23"/>
      <c r="D107" s="23"/>
      <c r="E107" s="23"/>
      <c r="J107" s="23"/>
      <c r="K107" s="23"/>
    </row>
    <row r="108" spans="1:11" ht="14.25" customHeight="1" x14ac:dyDescent="0.3">
      <c r="A108" s="23"/>
      <c r="B108" s="23"/>
      <c r="C108" s="23"/>
      <c r="D108" s="23"/>
      <c r="E108" s="23"/>
      <c r="J108" s="23"/>
      <c r="K108" s="23"/>
    </row>
    <row r="109" spans="1:11" ht="14.25" customHeight="1" x14ac:dyDescent="0.3">
      <c r="A109" s="23"/>
      <c r="B109" s="23"/>
      <c r="C109" s="23"/>
      <c r="D109" s="23"/>
      <c r="E109" s="23"/>
      <c r="J109" s="23"/>
      <c r="K109" s="23"/>
    </row>
    <row r="110" spans="1:11" ht="14.25" customHeight="1" x14ac:dyDescent="0.3">
      <c r="A110" s="23"/>
      <c r="B110" s="23"/>
      <c r="C110" s="23"/>
      <c r="D110" s="23"/>
      <c r="E110" s="23"/>
      <c r="J110" s="23"/>
      <c r="K110" s="23"/>
    </row>
    <row r="111" spans="1:11" ht="45" customHeight="1" x14ac:dyDescent="0.3">
      <c r="A111" s="23"/>
      <c r="B111" s="23"/>
      <c r="C111" s="23"/>
      <c r="D111" s="23"/>
      <c r="E111" s="23"/>
      <c r="J111" s="23"/>
      <c r="K111" s="23"/>
    </row>
    <row r="112" spans="1:11" ht="14.25" customHeight="1" x14ac:dyDescent="0.3">
      <c r="A112" s="23"/>
      <c r="B112" s="23"/>
      <c r="C112" s="23"/>
      <c r="D112" s="23"/>
      <c r="E112" s="23"/>
      <c r="J112" s="23"/>
      <c r="K112" s="23"/>
    </row>
    <row r="113" spans="1:11" ht="14.25" customHeight="1" x14ac:dyDescent="0.3">
      <c r="A113" s="23"/>
      <c r="B113" s="23"/>
      <c r="C113" s="23"/>
      <c r="D113" s="23"/>
      <c r="E113" s="23"/>
      <c r="J113" s="23"/>
      <c r="K113" s="23"/>
    </row>
    <row r="114" spans="1:11" ht="14.25" customHeight="1" x14ac:dyDescent="0.3">
      <c r="A114" s="23"/>
      <c r="B114" s="23"/>
      <c r="C114" s="23"/>
      <c r="D114" s="23"/>
      <c r="E114" s="23"/>
      <c r="J114" s="23"/>
      <c r="K114" s="23"/>
    </row>
    <row r="115" spans="1:11" ht="14.25" customHeight="1" x14ac:dyDescent="0.3">
      <c r="A115" s="23"/>
      <c r="B115" s="23"/>
      <c r="C115" s="23"/>
      <c r="D115" s="23"/>
      <c r="E115" s="23"/>
      <c r="J115" s="23"/>
      <c r="K115" s="23"/>
    </row>
  </sheetData>
  <mergeCells count="15">
    <mergeCell ref="A1:I1"/>
    <mergeCell ref="A2:I2"/>
    <mergeCell ref="A4:E4"/>
    <mergeCell ref="A16:E16"/>
    <mergeCell ref="G16:K16"/>
    <mergeCell ref="G8:H8"/>
    <mergeCell ref="A3:B3"/>
    <mergeCell ref="A71:H71"/>
    <mergeCell ref="A78:H78"/>
    <mergeCell ref="A81:G81"/>
    <mergeCell ref="A102:G102"/>
    <mergeCell ref="A36:E36"/>
    <mergeCell ref="A39:H39"/>
    <mergeCell ref="A60:H60"/>
    <mergeCell ref="A63:H63"/>
  </mergeCells>
  <hyperlinks>
    <hyperlink ref="A3" location="PAINEL!A1" tooltip="Voltar ao Painel de Navegação" display="⬅ PAINEL" xr:uid="{DC6006DE-D3E7-40E1-B7B7-CA54FED29C8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K99"/>
  <sheetViews>
    <sheetView zoomScaleNormal="100" workbookViewId="0">
      <pane ySplit="3" topLeftCell="A29" activePane="bottomLeft" state="frozen"/>
      <selection pane="bottomLeft" activeCell="A3" sqref="A3"/>
    </sheetView>
  </sheetViews>
  <sheetFormatPr defaultColWidth="8.5546875" defaultRowHeight="23.4" outlineLevelCol="1" x14ac:dyDescent="0.45"/>
  <cols>
    <col min="1" max="1" width="15" customWidth="1"/>
    <col min="2" max="2" width="10.5546875" customWidth="1"/>
    <col min="3" max="11" width="11" customWidth="1"/>
    <col min="12" max="12" width="16.77734375" customWidth="1"/>
    <col min="13" max="13" width="11" customWidth="1"/>
    <col min="14" max="14" width="16.77734375" customWidth="1"/>
    <col min="15" max="16" width="15" customWidth="1"/>
    <col min="17" max="17" width="20" customWidth="1"/>
    <col min="18" max="18" width="13" customWidth="1"/>
    <col min="19" max="19" width="29.6640625" customWidth="1"/>
    <col min="20" max="21" width="20" customWidth="1"/>
    <col min="22" max="22" width="6" customWidth="1"/>
    <col min="23" max="23" width="14" customWidth="1"/>
    <col min="24" max="29" width="13" customWidth="1"/>
    <col min="30" max="31" width="20" customWidth="1"/>
    <col min="32" max="32" width="6" customWidth="1"/>
    <col min="33" max="33" width="14" customWidth="1"/>
    <col min="34" max="35" width="13" customWidth="1"/>
    <col min="36" max="36" width="27.77734375" customWidth="1"/>
    <col min="37" max="37" width="20" customWidth="1"/>
    <col min="38" max="38" width="6" customWidth="1"/>
    <col min="39" max="40" width="13" customWidth="1"/>
    <col min="41" max="41" width="26" customWidth="1"/>
    <col min="42" max="42" width="15.77734375" customWidth="1"/>
    <col min="43" max="45" width="13" customWidth="1"/>
    <col min="46" max="46" width="26" customWidth="1"/>
    <col min="47" max="47" width="15.77734375" customWidth="1"/>
    <col min="48" max="52" width="13" customWidth="1"/>
    <col min="53" max="53" width="15.109375" customWidth="1"/>
    <col min="54" max="54" width="22" style="77" customWidth="1"/>
    <col min="55" max="56" width="12" customWidth="1"/>
    <col min="57" max="57" width="13" customWidth="1"/>
    <col min="58" max="58" width="8" customWidth="1"/>
    <col min="59" max="59" width="13" customWidth="1"/>
    <col min="60" max="60" width="29.109375" customWidth="1"/>
    <col min="61" max="61" width="12" hidden="1" customWidth="1" outlineLevel="1"/>
    <col min="62" max="62" width="18.21875" hidden="1" customWidth="1" outlineLevel="1"/>
    <col min="63" max="63" width="8.5546875" collapsed="1"/>
  </cols>
  <sheetData>
    <row r="1" spans="1:62" ht="21.75" customHeight="1" x14ac:dyDescent="0.3">
      <c r="A1" s="423" t="s">
        <v>911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3"/>
      <c r="AH1" s="423"/>
      <c r="AI1" s="423"/>
      <c r="AJ1" s="423"/>
      <c r="AK1" s="423"/>
      <c r="AL1" s="423"/>
      <c r="AM1" s="423"/>
      <c r="AN1" s="423"/>
      <c r="AO1" s="423"/>
      <c r="AP1" s="423"/>
      <c r="AQ1" s="423"/>
      <c r="AR1" s="423"/>
      <c r="AS1" s="423"/>
      <c r="AT1" s="423"/>
      <c r="AU1" s="423"/>
      <c r="AV1" s="423"/>
      <c r="AW1" s="423"/>
      <c r="AX1" s="423"/>
      <c r="AY1" s="423"/>
      <c r="AZ1" s="423"/>
      <c r="BA1" s="423"/>
      <c r="BB1" s="423"/>
      <c r="BC1" s="423"/>
      <c r="BD1" s="423"/>
      <c r="BE1" s="423"/>
      <c r="BF1" s="423"/>
      <c r="BG1" s="423"/>
      <c r="BH1" s="423"/>
      <c r="BI1" s="423"/>
      <c r="BJ1" s="423"/>
    </row>
    <row r="2" spans="1:62" ht="15" customHeight="1" x14ac:dyDescent="0.3">
      <c r="A2" s="441" t="s">
        <v>1077</v>
      </c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  <c r="AB2" s="441"/>
      <c r="AC2" s="441"/>
      <c r="AD2" s="441"/>
      <c r="AE2" s="441"/>
      <c r="AF2" s="441"/>
      <c r="AG2" s="441"/>
      <c r="AH2" s="441"/>
      <c r="AI2" s="441"/>
      <c r="AJ2" s="441"/>
      <c r="AK2" s="441"/>
      <c r="AL2" s="441"/>
      <c r="AM2" s="441"/>
      <c r="AN2" s="441"/>
      <c r="AO2" s="441"/>
      <c r="AP2" s="441"/>
      <c r="AQ2" s="441"/>
      <c r="AR2" s="441"/>
      <c r="AS2" s="441"/>
      <c r="AT2" s="441"/>
      <c r="AU2" s="441"/>
      <c r="AV2" s="441"/>
      <c r="AW2" s="441"/>
      <c r="AX2" s="441"/>
      <c r="AY2" s="441"/>
      <c r="AZ2" s="441"/>
      <c r="BA2" s="441"/>
      <c r="BB2" s="441"/>
      <c r="BC2" s="441"/>
      <c r="BD2" s="441"/>
      <c r="BE2" s="441"/>
      <c r="BF2" s="441"/>
      <c r="BG2" s="441"/>
      <c r="BH2" s="441"/>
      <c r="BI2" s="441"/>
      <c r="BJ2" s="441"/>
    </row>
    <row r="3" spans="1:62" x14ac:dyDescent="0.45">
      <c r="A3" s="358" t="s">
        <v>1757</v>
      </c>
    </row>
    <row r="4" spans="1:62" ht="15" customHeight="1" x14ac:dyDescent="0.3">
      <c r="A4" s="442" t="s">
        <v>914</v>
      </c>
      <c r="B4" s="443" t="s">
        <v>10</v>
      </c>
      <c r="C4" s="437" t="s">
        <v>1078</v>
      </c>
      <c r="D4" s="437"/>
      <c r="E4" s="437"/>
      <c r="F4" s="437"/>
      <c r="G4" s="437" t="s">
        <v>1079</v>
      </c>
      <c r="H4" s="437"/>
      <c r="I4" s="437"/>
      <c r="J4" s="437"/>
      <c r="K4" s="437" t="s">
        <v>1858</v>
      </c>
      <c r="L4" s="437"/>
      <c r="M4" s="437"/>
      <c r="N4" s="437"/>
      <c r="O4" s="437" t="s">
        <v>919</v>
      </c>
      <c r="P4" s="437"/>
      <c r="Q4" s="437"/>
      <c r="R4" s="437"/>
      <c r="S4" s="437"/>
      <c r="T4" s="437" t="s">
        <v>920</v>
      </c>
      <c r="U4" s="437"/>
      <c r="V4" s="437"/>
      <c r="W4" s="437"/>
      <c r="X4" s="437"/>
      <c r="Y4" s="437"/>
      <c r="Z4" s="437" t="s">
        <v>1859</v>
      </c>
      <c r="AA4" s="437"/>
      <c r="AB4" s="437"/>
      <c r="AC4" s="437"/>
      <c r="AD4" s="437" t="s">
        <v>921</v>
      </c>
      <c r="AE4" s="437"/>
      <c r="AF4" s="437"/>
      <c r="AG4" s="437"/>
      <c r="AH4" s="437"/>
      <c r="AI4" s="437"/>
      <c r="AJ4" s="444" t="s">
        <v>922</v>
      </c>
      <c r="AK4" s="444"/>
      <c r="AL4" s="444"/>
      <c r="AM4" s="444"/>
      <c r="AN4" s="444"/>
      <c r="AO4" s="436" t="s">
        <v>923</v>
      </c>
      <c r="AP4" s="436"/>
      <c r="AQ4" s="436"/>
      <c r="AR4" s="436"/>
      <c r="AS4" s="436"/>
      <c r="AT4" s="436" t="s">
        <v>924</v>
      </c>
      <c r="AU4" s="436"/>
      <c r="AV4" s="436"/>
      <c r="AW4" s="436"/>
      <c r="AX4" s="436"/>
      <c r="AY4" s="437" t="s">
        <v>925</v>
      </c>
      <c r="AZ4" s="437"/>
      <c r="BA4" s="437"/>
      <c r="BB4" s="437"/>
      <c r="BC4" s="437" t="s">
        <v>1870</v>
      </c>
      <c r="BD4" s="437"/>
      <c r="BE4" s="437"/>
      <c r="BF4" s="437"/>
      <c r="BG4" s="437"/>
      <c r="BH4" s="437"/>
      <c r="BI4" s="437"/>
      <c r="BJ4" s="437"/>
    </row>
    <row r="5" spans="1:62" ht="51" customHeight="1" x14ac:dyDescent="0.3">
      <c r="A5" s="443"/>
      <c r="B5" s="443"/>
      <c r="C5" s="3" t="s">
        <v>1080</v>
      </c>
      <c r="D5" s="3" t="s">
        <v>1081</v>
      </c>
      <c r="E5" s="3" t="s">
        <v>1082</v>
      </c>
      <c r="F5" s="3" t="s">
        <v>1083</v>
      </c>
      <c r="G5" s="3" t="s">
        <v>1084</v>
      </c>
      <c r="H5" s="3" t="s">
        <v>1085</v>
      </c>
      <c r="I5" s="3" t="s">
        <v>1086</v>
      </c>
      <c r="J5" s="3" t="s">
        <v>1087</v>
      </c>
      <c r="K5" s="3" t="s">
        <v>1088</v>
      </c>
      <c r="L5" s="3" t="s">
        <v>1089</v>
      </c>
      <c r="M5" s="3" t="s">
        <v>1090</v>
      </c>
      <c r="N5" s="3" t="s">
        <v>1091</v>
      </c>
      <c r="O5" s="3" t="s">
        <v>939</v>
      </c>
      <c r="P5" s="3" t="s">
        <v>940</v>
      </c>
      <c r="Q5" s="3" t="s">
        <v>941</v>
      </c>
      <c r="R5" s="3" t="s">
        <v>942</v>
      </c>
      <c r="S5" s="3" t="s">
        <v>943</v>
      </c>
      <c r="T5" s="3" t="s">
        <v>939</v>
      </c>
      <c r="U5" s="3" t="s">
        <v>940</v>
      </c>
      <c r="V5" s="3" t="s">
        <v>941</v>
      </c>
      <c r="W5" s="3" t="s">
        <v>942</v>
      </c>
      <c r="X5" s="3" t="s">
        <v>944</v>
      </c>
      <c r="Y5" s="3" t="s">
        <v>945</v>
      </c>
      <c r="Z5" s="3" t="s">
        <v>946</v>
      </c>
      <c r="AA5" s="3" t="s">
        <v>947</v>
      </c>
      <c r="AB5" s="3" t="s">
        <v>948</v>
      </c>
      <c r="AC5" s="3" t="s">
        <v>945</v>
      </c>
      <c r="AD5" s="3" t="s">
        <v>939</v>
      </c>
      <c r="AE5" s="3" t="s">
        <v>940</v>
      </c>
      <c r="AF5" s="3" t="s">
        <v>941</v>
      </c>
      <c r="AG5" s="3" t="s">
        <v>942</v>
      </c>
      <c r="AH5" s="3" t="s">
        <v>944</v>
      </c>
      <c r="AI5" s="3" t="s">
        <v>945</v>
      </c>
      <c r="AJ5" s="3" t="s">
        <v>939</v>
      </c>
      <c r="AK5" s="3" t="s">
        <v>940</v>
      </c>
      <c r="AL5" s="3" t="s">
        <v>941</v>
      </c>
      <c r="AM5" s="3" t="s">
        <v>944</v>
      </c>
      <c r="AN5" s="3" t="s">
        <v>949</v>
      </c>
      <c r="AO5" s="3" t="s">
        <v>939</v>
      </c>
      <c r="AP5" s="3" t="s">
        <v>940</v>
      </c>
      <c r="AQ5" s="3" t="s">
        <v>941</v>
      </c>
      <c r="AR5" s="3" t="s">
        <v>944</v>
      </c>
      <c r="AS5" s="3" t="s">
        <v>949</v>
      </c>
      <c r="AT5" s="3" t="s">
        <v>939</v>
      </c>
      <c r="AU5" s="3" t="s">
        <v>940</v>
      </c>
      <c r="AV5" s="3" t="s">
        <v>941</v>
      </c>
      <c r="AW5" s="3" t="s">
        <v>944</v>
      </c>
      <c r="AX5" s="3" t="s">
        <v>949</v>
      </c>
      <c r="AY5" s="3" t="s">
        <v>1092</v>
      </c>
      <c r="AZ5" s="3" t="s">
        <v>878</v>
      </c>
      <c r="BA5" s="78" t="s">
        <v>951</v>
      </c>
      <c r="BB5" s="78" t="s">
        <v>952</v>
      </c>
      <c r="BC5" s="3" t="s">
        <v>953</v>
      </c>
      <c r="BD5" s="3" t="s">
        <v>881</v>
      </c>
      <c r="BE5" s="3" t="s">
        <v>882</v>
      </c>
      <c r="BF5" s="3" t="s">
        <v>954</v>
      </c>
      <c r="BG5" s="3" t="s">
        <v>955</v>
      </c>
      <c r="BH5" s="78" t="s">
        <v>956</v>
      </c>
      <c r="BI5" s="3" t="s">
        <v>957</v>
      </c>
      <c r="BJ5" s="3" t="s">
        <v>958</v>
      </c>
    </row>
    <row r="6" spans="1:62" ht="25.5" customHeight="1" x14ac:dyDescent="0.3">
      <c r="A6" s="125" t="s">
        <v>13</v>
      </c>
      <c r="B6" s="125">
        <v>2</v>
      </c>
      <c r="C6" s="86"/>
      <c r="D6" s="86"/>
      <c r="E6" s="6">
        <f>IFERROR(SUMIFS('PU CAST'!$AI$10:$AI$150,'PU CAST'!$AA$10:$AA$150,"DS",'PU CAST'!$AK$10:$AK$150,$B6),0)</f>
        <v>20.733333333333327</v>
      </c>
      <c r="F6" s="85">
        <f t="shared" ref="F6:F27" si="0">E6*4</f>
        <v>82.933333333333309</v>
      </c>
      <c r="G6" s="86"/>
      <c r="H6" s="86"/>
      <c r="I6" s="6">
        <f>IFERROR(SUMIFS('PU CAST'!$AI$10:$AI$150,'PU CAST'!$AA$10:$AA$150,"DG",'PU CAST'!$AK$10:$AK$150,$B6),0)</f>
        <v>21.173333333333328</v>
      </c>
      <c r="J6" s="85">
        <f t="shared" ref="J6:J27" si="1">I6*2</f>
        <v>42.346666666666657</v>
      </c>
      <c r="K6" s="86"/>
      <c r="L6" s="86"/>
      <c r="M6" s="6">
        <f>IFERROR(SUMIFS('PU CAST'!$AI$10:$AI$150,'PU CAST'!$AA$10:$AA$150,"DE",'PU CAST'!$AK$10:$AK$150,$B6),0)</f>
        <v>19.43333333333333</v>
      </c>
      <c r="N6" s="85">
        <f t="shared" ref="N6:N27" si="2">M6*6</f>
        <v>116.59999999999998</v>
      </c>
      <c r="O6" s="4"/>
      <c r="P6" s="4"/>
      <c r="Q6" s="5"/>
      <c r="R6" s="4"/>
      <c r="S6" s="84"/>
      <c r="T6" s="4"/>
      <c r="U6" s="4"/>
      <c r="V6" s="5"/>
      <c r="W6" s="4"/>
      <c r="X6" s="6"/>
      <c r="Y6" s="85">
        <f t="shared" ref="Y6:Y27" si="3">X6*2</f>
        <v>0</v>
      </c>
      <c r="Z6" s="86"/>
      <c r="AA6" s="86"/>
      <c r="AB6" s="6"/>
      <c r="AC6" s="85">
        <f t="shared" ref="AC6:AC27" si="4">AB6*2</f>
        <v>0</v>
      </c>
      <c r="AD6" s="4"/>
      <c r="AE6" s="4"/>
      <c r="AF6" s="5"/>
      <c r="AG6" s="4"/>
      <c r="AH6" s="6"/>
      <c r="AI6" s="85">
        <f t="shared" ref="AI6:AI27" si="5">AH6*2</f>
        <v>0</v>
      </c>
      <c r="AJ6" s="87"/>
      <c r="AK6" s="87"/>
      <c r="AL6" s="88"/>
      <c r="AM6" s="89"/>
      <c r="AN6" s="90"/>
      <c r="AO6" s="89"/>
      <c r="AP6" s="89"/>
      <c r="AQ6" s="89"/>
      <c r="AR6" s="89"/>
      <c r="AS6" s="90"/>
      <c r="AT6" s="89"/>
      <c r="AU6" s="89"/>
      <c r="AV6" s="89"/>
      <c r="AW6" s="89"/>
      <c r="AX6" s="90"/>
      <c r="AY6" s="91">
        <f t="shared" ref="AY6:AY27" si="6">F6+J6+N6</f>
        <v>241.87999999999994</v>
      </c>
      <c r="AZ6" s="91">
        <f t="shared" ref="AZ6:AZ27" si="7">S6+Y6+AC6+AI6</f>
        <v>0</v>
      </c>
      <c r="BA6" s="91">
        <f t="shared" ref="BA6:BA27" si="8">AN6+AS6+AX6</f>
        <v>0</v>
      </c>
      <c r="BB6" s="92">
        <f t="shared" ref="BB6:BB27" si="9">AY6+AZ6+BA6</f>
        <v>241.87999999999994</v>
      </c>
      <c r="BC6" s="6">
        <f>PARÂMETROS!$H$3</f>
        <v>40</v>
      </c>
      <c r="BD6" s="93">
        <v>0.195138888888889</v>
      </c>
      <c r="BE6" s="6">
        <f t="shared" ref="BE6:BE27" si="10">(BD6*BC6)*24</f>
        <v>187.33333333333343</v>
      </c>
      <c r="BF6" s="5">
        <v>1</v>
      </c>
      <c r="BG6" s="90">
        <f t="shared" ref="BG6:BG27" si="11">BE6/BF6</f>
        <v>187.33333333333343</v>
      </c>
      <c r="BH6" s="94">
        <f t="shared" ref="BH6:BH27" si="12">BB6+BG6</f>
        <v>429.21333333333337</v>
      </c>
      <c r="BI6" s="6">
        <v>100</v>
      </c>
      <c r="BJ6" s="95">
        <f t="shared" ref="BJ6:BJ27" si="13">BH6+BI6</f>
        <v>529.21333333333337</v>
      </c>
    </row>
    <row r="7" spans="1:62" ht="25.5" customHeight="1" x14ac:dyDescent="0.3">
      <c r="A7" s="125" t="s">
        <v>13</v>
      </c>
      <c r="B7" s="125">
        <v>3</v>
      </c>
      <c r="C7" s="86"/>
      <c r="D7" s="86"/>
      <c r="E7" s="6">
        <f>IFERROR(SUMIFS('PU CAST'!$AI$10:$AI$150,'PU CAST'!$AA$10:$AA$150,"DS",'PU CAST'!$AK$10:$AK$150,$B7),0)</f>
        <v>21.133333333333329</v>
      </c>
      <c r="F7" s="85">
        <f t="shared" si="0"/>
        <v>84.533333333333317</v>
      </c>
      <c r="G7" s="86"/>
      <c r="H7" s="86"/>
      <c r="I7" s="6">
        <f>IFERROR(SUMIFS('PU CAST'!$AI$10:$AI$150,'PU CAST'!$AA$10:$AA$150,"DG",'PU CAST'!$AK$10:$AK$150,$B7),0)</f>
        <v>22.633333333333329</v>
      </c>
      <c r="J7" s="85">
        <f t="shared" si="1"/>
        <v>45.266666666666659</v>
      </c>
      <c r="K7" s="86"/>
      <c r="L7" s="86"/>
      <c r="M7" s="6">
        <f>IFERROR(SUMIFS('PU CAST'!$AI$10:$AI$150,'PU CAST'!$AA$10:$AA$150,"DE",'PU CAST'!$AK$10:$AK$150,$B7),0)</f>
        <v>19.633333333333329</v>
      </c>
      <c r="N7" s="85">
        <f t="shared" si="2"/>
        <v>117.79999999999998</v>
      </c>
      <c r="O7" s="4"/>
      <c r="P7" s="4"/>
      <c r="Q7" s="5"/>
      <c r="R7" s="4"/>
      <c r="S7" s="84"/>
      <c r="T7" s="4"/>
      <c r="U7" s="4"/>
      <c r="V7" s="5"/>
      <c r="W7" s="4"/>
      <c r="X7" s="6"/>
      <c r="Y7" s="85">
        <f t="shared" si="3"/>
        <v>0</v>
      </c>
      <c r="Z7" s="86"/>
      <c r="AA7" s="86"/>
      <c r="AB7" s="6"/>
      <c r="AC7" s="85">
        <f t="shared" si="4"/>
        <v>0</v>
      </c>
      <c r="AD7" s="4"/>
      <c r="AE7" s="4"/>
      <c r="AF7" s="5"/>
      <c r="AG7" s="4"/>
      <c r="AH7" s="6"/>
      <c r="AI7" s="85">
        <f t="shared" si="5"/>
        <v>0</v>
      </c>
      <c r="AJ7" s="87"/>
      <c r="AK7" s="87"/>
      <c r="AL7" s="88"/>
      <c r="AM7" s="89"/>
      <c r="AN7" s="90"/>
      <c r="AO7" s="89"/>
      <c r="AP7" s="89"/>
      <c r="AQ7" s="89"/>
      <c r="AR7" s="89"/>
      <c r="AS7" s="90"/>
      <c r="AT7" s="89"/>
      <c r="AU7" s="89"/>
      <c r="AV7" s="89"/>
      <c r="AW7" s="89"/>
      <c r="AX7" s="90"/>
      <c r="AY7" s="91">
        <f t="shared" si="6"/>
        <v>247.59999999999997</v>
      </c>
      <c r="AZ7" s="91">
        <f t="shared" si="7"/>
        <v>0</v>
      </c>
      <c r="BA7" s="91">
        <f t="shared" si="8"/>
        <v>0</v>
      </c>
      <c r="BB7" s="92">
        <f t="shared" si="9"/>
        <v>247.59999999999997</v>
      </c>
      <c r="BC7" s="6">
        <f>PARÂMETROS!$H$3</f>
        <v>40</v>
      </c>
      <c r="BD7" s="93">
        <v>0.195138888888889</v>
      </c>
      <c r="BE7" s="6">
        <f t="shared" si="10"/>
        <v>187.33333333333343</v>
      </c>
      <c r="BF7" s="5">
        <v>1</v>
      </c>
      <c r="BG7" s="90">
        <f t="shared" si="11"/>
        <v>187.33333333333343</v>
      </c>
      <c r="BH7" s="94">
        <f t="shared" si="12"/>
        <v>434.93333333333339</v>
      </c>
      <c r="BI7" s="6">
        <v>100</v>
      </c>
      <c r="BJ7" s="95">
        <f t="shared" si="13"/>
        <v>534.93333333333339</v>
      </c>
    </row>
    <row r="8" spans="1:62" ht="25.2" customHeight="1" x14ac:dyDescent="0.3">
      <c r="A8" s="125" t="s">
        <v>13</v>
      </c>
      <c r="B8" s="125">
        <v>4</v>
      </c>
      <c r="C8" s="86"/>
      <c r="D8" s="86"/>
      <c r="E8" s="6">
        <f>IFERROR(SUMIFS('PU CAST'!$AI$10:$AI$150,'PU CAST'!$AA$10:$AA$150,"DS",'PU CAST'!$AK$10:$AK$150,$B8),0)</f>
        <v>23.333333333333329</v>
      </c>
      <c r="F8" s="85">
        <f t="shared" si="0"/>
        <v>93.333333333333314</v>
      </c>
      <c r="G8" s="86"/>
      <c r="H8" s="86"/>
      <c r="I8" s="6">
        <f>IFERROR(SUMIFS('PU CAST'!$AI$10:$AI$150,'PU CAST'!$AA$10:$AA$150,"DG",'PU CAST'!$AK$10:$AK$150,$B8),0)</f>
        <v>24.053333333333327</v>
      </c>
      <c r="J8" s="85">
        <f t="shared" si="1"/>
        <v>48.106666666666655</v>
      </c>
      <c r="K8" s="86"/>
      <c r="L8" s="86"/>
      <c r="M8" s="6">
        <f>IFERROR(SUMIFS('PU CAST'!$AI$10:$AI$150,'PU CAST'!$AA$10:$AA$150,"DE",'PU CAST'!$AK$10:$AK$150,$B8),0)</f>
        <v>19.833333333333329</v>
      </c>
      <c r="N8" s="85">
        <f t="shared" si="2"/>
        <v>118.99999999999997</v>
      </c>
      <c r="O8" s="4"/>
      <c r="P8" s="4"/>
      <c r="Q8" s="5"/>
      <c r="R8" s="4"/>
      <c r="S8" s="84"/>
      <c r="T8" s="4"/>
      <c r="U8" s="4"/>
      <c r="V8" s="5"/>
      <c r="W8" s="4"/>
      <c r="X8" s="6"/>
      <c r="Y8" s="85">
        <f t="shared" si="3"/>
        <v>0</v>
      </c>
      <c r="Z8" s="86"/>
      <c r="AA8" s="86"/>
      <c r="AB8" s="6"/>
      <c r="AC8" s="85">
        <f t="shared" si="4"/>
        <v>0</v>
      </c>
      <c r="AD8" s="4"/>
      <c r="AE8" s="4"/>
      <c r="AF8" s="5"/>
      <c r="AG8" s="4"/>
      <c r="AH8" s="6"/>
      <c r="AI8" s="85">
        <f t="shared" si="5"/>
        <v>0</v>
      </c>
      <c r="AJ8" s="87"/>
      <c r="AK8" s="87"/>
      <c r="AL8" s="88"/>
      <c r="AM8" s="89"/>
      <c r="AN8" s="90"/>
      <c r="AO8" s="89"/>
      <c r="AP8" s="89"/>
      <c r="AQ8" s="89"/>
      <c r="AR8" s="89"/>
      <c r="AS8" s="90"/>
      <c r="AT8" s="89"/>
      <c r="AU8" s="89"/>
      <c r="AV8" s="89"/>
      <c r="AW8" s="89"/>
      <c r="AX8" s="90"/>
      <c r="AY8" s="91">
        <f t="shared" si="6"/>
        <v>260.43999999999994</v>
      </c>
      <c r="AZ8" s="91">
        <f t="shared" si="7"/>
        <v>0</v>
      </c>
      <c r="BA8" s="91">
        <f t="shared" si="8"/>
        <v>0</v>
      </c>
      <c r="BB8" s="92">
        <f t="shared" si="9"/>
        <v>260.43999999999994</v>
      </c>
      <c r="BC8" s="6">
        <f>PARÂMETROS!$H$3</f>
        <v>40</v>
      </c>
      <c r="BD8" s="93">
        <v>0.195138888888889</v>
      </c>
      <c r="BE8" s="6">
        <f t="shared" si="10"/>
        <v>187.33333333333343</v>
      </c>
      <c r="BF8" s="5">
        <v>1</v>
      </c>
      <c r="BG8" s="90">
        <f t="shared" si="11"/>
        <v>187.33333333333343</v>
      </c>
      <c r="BH8" s="94">
        <f t="shared" si="12"/>
        <v>447.77333333333337</v>
      </c>
      <c r="BI8" s="6">
        <v>100</v>
      </c>
      <c r="BJ8" s="95">
        <f t="shared" si="13"/>
        <v>547.77333333333331</v>
      </c>
    </row>
    <row r="9" spans="1:62" ht="25.5" customHeight="1" x14ac:dyDescent="0.3">
      <c r="A9" s="125" t="s">
        <v>13</v>
      </c>
      <c r="B9" s="125">
        <v>6</v>
      </c>
      <c r="C9" s="86">
        <f t="shared" ref="C9:C27" si="14">D9/4</f>
        <v>0.185</v>
      </c>
      <c r="D9" s="86">
        <f>0.185*4</f>
        <v>0.74</v>
      </c>
      <c r="E9" s="6">
        <f>IFERROR(SUMIFS('PU CAST'!$AI$10:$AI$150,'PU CAST'!$AA$10:$AA$150,"DS",'PU CAST'!$AK$10:$AK$150,$B9),0)</f>
        <v>28.921045211111103</v>
      </c>
      <c r="F9" s="85">
        <f t="shared" si="0"/>
        <v>115.68418084444441</v>
      </c>
      <c r="G9" s="86">
        <f t="shared" ref="G9:G27" si="15">H9/2</f>
        <v>0.29199999999999998</v>
      </c>
      <c r="H9" s="86">
        <f>2*0.292</f>
        <v>0.58399999999999996</v>
      </c>
      <c r="I9" s="6">
        <f>IFERROR(SUMIFS('PU CAST'!$AI$10:$AI$150,'PU CAST'!$AA$10:$AA$150,"DG",'PU CAST'!$AK$10:$AK$150,$B9),0)</f>
        <v>28.299859111111104</v>
      </c>
      <c r="J9" s="85">
        <f t="shared" si="1"/>
        <v>56.599718222222208</v>
      </c>
      <c r="K9" s="86">
        <f t="shared" ref="K9:K27" si="16">L9/6</f>
        <v>0.105</v>
      </c>
      <c r="L9" s="86">
        <f>6*0.105</f>
        <v>0.63</v>
      </c>
      <c r="M9" s="6">
        <f>IFERROR(SUMIFS('PU CAST'!$AI$10:$AI$150,'PU CAST'!$AA$10:$AA$150,"DE",'PU CAST'!$AK$10:$AK$150,$B9),0)</f>
        <v>23.696106111111103</v>
      </c>
      <c r="N9" s="85">
        <f t="shared" si="2"/>
        <v>142.17663666666661</v>
      </c>
      <c r="O9" s="4" t="s">
        <v>849</v>
      </c>
      <c r="P9" s="4" t="s">
        <v>959</v>
      </c>
      <c r="Q9" s="5">
        <v>1</v>
      </c>
      <c r="R9" s="4" t="s">
        <v>960</v>
      </c>
      <c r="S9" s="84">
        <f>INDEX(PARÂMETROS!$B$83:$B$101,MATCH($B9,PARÂMETROS!$A$83:$A$101,0))</f>
        <v>21.6</v>
      </c>
      <c r="T9" s="4" t="s">
        <v>961</v>
      </c>
      <c r="U9" s="4" t="s">
        <v>962</v>
      </c>
      <c r="V9" s="5">
        <v>1</v>
      </c>
      <c r="W9" s="4" t="s">
        <v>963</v>
      </c>
      <c r="X9" s="68">
        <f>INDEX(PARÂMETROS!$C$83:$C$101,MATCH($B9,PARÂMETROS!$A$83:$A$101,0))</f>
        <v>22</v>
      </c>
      <c r="Y9" s="85">
        <f t="shared" si="3"/>
        <v>44</v>
      </c>
      <c r="Z9" s="86">
        <f t="shared" ref="Z9:Z27" si="17">AA9/2</f>
        <v>0.105</v>
      </c>
      <c r="AA9" s="86">
        <f>2*0.105</f>
        <v>0.21</v>
      </c>
      <c r="AB9" s="6">
        <f>Z9*PARÂMETROS!$E$6</f>
        <v>4.1926499999999995</v>
      </c>
      <c r="AC9" s="85">
        <f t="shared" si="4"/>
        <v>8.3852999999999991</v>
      </c>
      <c r="AD9" s="4" t="s">
        <v>961</v>
      </c>
      <c r="AE9" s="4" t="s">
        <v>962</v>
      </c>
      <c r="AF9" s="5">
        <v>1</v>
      </c>
      <c r="AG9" s="4" t="s">
        <v>963</v>
      </c>
      <c r="AH9" s="68">
        <f>INDEX(PARÂMETROS!$D$83:$D$101,MATCH($B9,PARÂMETROS!$A$83:$A$101,0))</f>
        <v>22</v>
      </c>
      <c r="AI9" s="85">
        <f t="shared" si="5"/>
        <v>44</v>
      </c>
      <c r="AJ9" s="96" t="s">
        <v>964</v>
      </c>
      <c r="AK9" s="96" t="s">
        <v>965</v>
      </c>
      <c r="AL9" s="88">
        <v>12</v>
      </c>
      <c r="AM9" s="97">
        <f>INDEX(PARÂMETROS!$E$83:$E$101,MATCH($B9,PARÂMETROS!$A$83:$A$101,0))</f>
        <v>7</v>
      </c>
      <c r="AN9" s="90">
        <f t="shared" ref="AN9:AN27" si="18">AM9*AL9</f>
        <v>84</v>
      </c>
      <c r="AO9" s="98" t="s">
        <v>966</v>
      </c>
      <c r="AP9" s="98" t="s">
        <v>967</v>
      </c>
      <c r="AQ9" s="88">
        <v>12</v>
      </c>
      <c r="AR9" s="97">
        <f>INDEX(PARÂMETROS!$F$83:$F$101,MATCH($B9,PARÂMETROS!$A$83:$A$101,0))</f>
        <v>0.6</v>
      </c>
      <c r="AS9" s="90">
        <f t="shared" ref="AS9:AS27" si="19">AR9*AQ9</f>
        <v>7.1999999999999993</v>
      </c>
      <c r="AT9" s="98" t="s">
        <v>968</v>
      </c>
      <c r="AU9" s="98" t="s">
        <v>967</v>
      </c>
      <c r="AV9" s="88">
        <v>12</v>
      </c>
      <c r="AW9" s="97">
        <f>INDEX(PARÂMETROS!$G$83:$G$101,MATCH($B9,PARÂMETROS!$A$83:$A$101,0))</f>
        <v>0.8</v>
      </c>
      <c r="AX9" s="90">
        <f t="shared" ref="AX9:AX27" si="20">AW9*AV9</f>
        <v>9.6000000000000014</v>
      </c>
      <c r="AY9" s="91">
        <f t="shared" si="6"/>
        <v>314.46053573333324</v>
      </c>
      <c r="AZ9" s="91">
        <f t="shared" si="7"/>
        <v>117.9853</v>
      </c>
      <c r="BA9" s="91">
        <f t="shared" si="8"/>
        <v>100.80000000000001</v>
      </c>
      <c r="BB9" s="92">
        <f t="shared" si="9"/>
        <v>533.24583573333325</v>
      </c>
      <c r="BC9" s="6">
        <f>PARÂMETROS!$H$3</f>
        <v>40</v>
      </c>
      <c r="BD9" s="93">
        <v>0.195138888888889</v>
      </c>
      <c r="BE9" s="6">
        <f t="shared" si="10"/>
        <v>187.33333333333343</v>
      </c>
      <c r="BF9" s="5">
        <v>1</v>
      </c>
      <c r="BG9" s="90">
        <f t="shared" si="11"/>
        <v>187.33333333333343</v>
      </c>
      <c r="BH9" s="94">
        <f t="shared" si="12"/>
        <v>720.57916906666674</v>
      </c>
      <c r="BI9" s="6">
        <v>100</v>
      </c>
      <c r="BJ9" s="95">
        <f t="shared" si="13"/>
        <v>820.57916906666674</v>
      </c>
    </row>
    <row r="10" spans="1:62" ht="25.5" customHeight="1" x14ac:dyDescent="0.3">
      <c r="A10" s="125" t="s">
        <v>13</v>
      </c>
      <c r="B10" s="125">
        <v>8</v>
      </c>
      <c r="C10" s="86">
        <f t="shared" si="14"/>
        <v>0.41599999999999998</v>
      </c>
      <c r="D10" s="86">
        <f>0.416*4</f>
        <v>1.6639999999999999</v>
      </c>
      <c r="E10" s="6">
        <f>IFERROR(SUMIFS('PU CAST'!$AI$10:$AI$150,'PU CAST'!$AA$10:$AA$150,"DS",'PU CAST'!$AK$10:$AK$150,$B10),0)</f>
        <v>38.672908871111105</v>
      </c>
      <c r="F10" s="85">
        <f t="shared" si="0"/>
        <v>154.69163548444442</v>
      </c>
      <c r="G10" s="86">
        <f t="shared" si="15"/>
        <v>0.53</v>
      </c>
      <c r="H10" s="86">
        <f>2*0.53</f>
        <v>1.06</v>
      </c>
      <c r="I10" s="6">
        <f>IFERROR(SUMIFS('PU CAST'!$AI$10:$AI$150,'PU CAST'!$AA$10:$AA$150,"DG",'PU CAST'!$AK$10:$AK$150,$B10),0)</f>
        <v>34.15918111111111</v>
      </c>
      <c r="J10" s="85">
        <f t="shared" si="1"/>
        <v>68.31836222222222</v>
      </c>
      <c r="K10" s="86">
        <f t="shared" si="16"/>
        <v>0.20099999999999998</v>
      </c>
      <c r="L10" s="86">
        <f>6*0.201</f>
        <v>1.206</v>
      </c>
      <c r="M10" s="6">
        <f>IFERROR(SUMIFS('PU CAST'!$AI$10:$AI$150,'PU CAST'!$AA$10:$AA$150,"DE",'PU CAST'!$AK$10:$AK$150,$B10),0)</f>
        <v>26.059530111111105</v>
      </c>
      <c r="N10" s="85">
        <f t="shared" si="2"/>
        <v>156.35718066666664</v>
      </c>
      <c r="O10" s="4" t="s">
        <v>849</v>
      </c>
      <c r="P10" s="4" t="s">
        <v>969</v>
      </c>
      <c r="Q10" s="5">
        <v>1</v>
      </c>
      <c r="R10" s="4" t="s">
        <v>960</v>
      </c>
      <c r="S10" s="84">
        <f>INDEX(PARÂMETROS!$B$83:$B$101,MATCH($B10,PARÂMETROS!$A$83:$A$101,0))</f>
        <v>25.2</v>
      </c>
      <c r="T10" s="4" t="s">
        <v>970</v>
      </c>
      <c r="U10" s="4" t="s">
        <v>971</v>
      </c>
      <c r="V10" s="5">
        <v>1</v>
      </c>
      <c r="W10" s="4" t="s">
        <v>963</v>
      </c>
      <c r="X10" s="68">
        <f>INDEX(PARÂMETROS!$C$83:$C$101,MATCH($B10,PARÂMETROS!$A$83:$A$101,0))</f>
        <v>30</v>
      </c>
      <c r="Y10" s="85">
        <f t="shared" si="3"/>
        <v>60</v>
      </c>
      <c r="Z10" s="86">
        <f t="shared" si="17"/>
        <v>0.20100000000000001</v>
      </c>
      <c r="AA10" s="86">
        <f>2*0.201</f>
        <v>0.40200000000000002</v>
      </c>
      <c r="AB10" s="6">
        <f>Z10*PARÂMETROS!$E$6</f>
        <v>8.0259300000000007</v>
      </c>
      <c r="AC10" s="85">
        <f t="shared" si="4"/>
        <v>16.051860000000001</v>
      </c>
      <c r="AD10" s="4" t="s">
        <v>970</v>
      </c>
      <c r="AE10" s="4" t="s">
        <v>971</v>
      </c>
      <c r="AF10" s="5">
        <v>1</v>
      </c>
      <c r="AG10" s="4" t="s">
        <v>963</v>
      </c>
      <c r="AH10" s="68">
        <f>INDEX(PARÂMETROS!$D$83:$D$101,MATCH($B10,PARÂMETROS!$A$83:$A$101,0))</f>
        <v>30</v>
      </c>
      <c r="AI10" s="85">
        <f t="shared" si="5"/>
        <v>60</v>
      </c>
      <c r="AJ10" s="96" t="s">
        <v>964</v>
      </c>
      <c r="AK10" s="96" t="s">
        <v>972</v>
      </c>
      <c r="AL10" s="88">
        <v>16</v>
      </c>
      <c r="AM10" s="97">
        <f>INDEX(PARÂMETROS!$E$83:$E$101,MATCH($B10,PARÂMETROS!$A$83:$A$101,0))</f>
        <v>8.5</v>
      </c>
      <c r="AN10" s="90">
        <f t="shared" si="18"/>
        <v>136</v>
      </c>
      <c r="AO10" s="98" t="s">
        <v>966</v>
      </c>
      <c r="AP10" s="98" t="s">
        <v>967</v>
      </c>
      <c r="AQ10" s="88">
        <v>16</v>
      </c>
      <c r="AR10" s="97">
        <f>INDEX(PARÂMETROS!$F$83:$F$101,MATCH($B10,PARÂMETROS!$A$83:$A$101,0))</f>
        <v>0.6</v>
      </c>
      <c r="AS10" s="90">
        <f t="shared" si="19"/>
        <v>9.6</v>
      </c>
      <c r="AT10" s="98" t="s">
        <v>968</v>
      </c>
      <c r="AU10" s="98" t="s">
        <v>967</v>
      </c>
      <c r="AV10" s="88">
        <v>16</v>
      </c>
      <c r="AW10" s="97">
        <f>INDEX(PARÂMETROS!$G$83:$G$101,MATCH($B10,PARÂMETROS!$A$83:$A$101,0))</f>
        <v>0.8</v>
      </c>
      <c r="AX10" s="90">
        <f t="shared" si="20"/>
        <v>12.8</v>
      </c>
      <c r="AY10" s="91">
        <f t="shared" si="6"/>
        <v>379.36717837333327</v>
      </c>
      <c r="AZ10" s="91">
        <f t="shared" si="7"/>
        <v>161.25186000000002</v>
      </c>
      <c r="BA10" s="91">
        <f t="shared" si="8"/>
        <v>158.4</v>
      </c>
      <c r="BB10" s="92">
        <f t="shared" si="9"/>
        <v>699.01903837333327</v>
      </c>
      <c r="BC10" s="6">
        <f>PARÂMETROS!$H$3</f>
        <v>40</v>
      </c>
      <c r="BD10" s="93">
        <v>0.195138888888889</v>
      </c>
      <c r="BE10" s="6">
        <f t="shared" si="10"/>
        <v>187.33333333333343</v>
      </c>
      <c r="BF10" s="5">
        <v>1</v>
      </c>
      <c r="BG10" s="90">
        <f t="shared" si="11"/>
        <v>187.33333333333343</v>
      </c>
      <c r="BH10" s="94">
        <f t="shared" si="12"/>
        <v>886.35237170666664</v>
      </c>
      <c r="BI10" s="6">
        <v>100</v>
      </c>
      <c r="BJ10" s="95">
        <f t="shared" si="13"/>
        <v>986.35237170666664</v>
      </c>
    </row>
    <row r="11" spans="1:62" ht="25.5" customHeight="1" x14ac:dyDescent="0.3">
      <c r="A11" s="125" t="s">
        <v>13</v>
      </c>
      <c r="B11" s="125">
        <v>10</v>
      </c>
      <c r="C11" s="86">
        <f t="shared" si="14"/>
        <v>0.78400000000000003</v>
      </c>
      <c r="D11" s="86">
        <f>4*0.784</f>
        <v>3.1360000000000001</v>
      </c>
      <c r="E11" s="6">
        <f>IFERROR(SUMIFS('PU CAST'!$AI$10:$AI$150,'PU CAST'!$AA$10:$AA$150,"DS",'PU CAST'!$AK$10:$AK$150,$B11),0)</f>
        <v>54.208345351111106</v>
      </c>
      <c r="F11" s="85">
        <f t="shared" si="0"/>
        <v>216.83338140444442</v>
      </c>
      <c r="G11" s="86">
        <f t="shared" si="15"/>
        <v>0.92300000000000004</v>
      </c>
      <c r="H11" s="86">
        <f>2*0.923</f>
        <v>1.8460000000000001</v>
      </c>
      <c r="I11" s="6">
        <f>IFERROR(SUMIFS('PU CAST'!$AI$10:$AI$150,'PU CAST'!$AA$10:$AA$150,"DG",'PU CAST'!$AK$10:$AK$150,$B11),0)</f>
        <v>43.834448111111108</v>
      </c>
      <c r="J11" s="85">
        <f t="shared" si="1"/>
        <v>87.668896222222216</v>
      </c>
      <c r="K11" s="86">
        <f t="shared" si="16"/>
        <v>0.26100000000000001</v>
      </c>
      <c r="L11" s="86">
        <f>6*0.261</f>
        <v>1.5660000000000001</v>
      </c>
      <c r="M11" s="6">
        <f>IFERROR(SUMIFS('PU CAST'!$AI$10:$AI$150,'PU CAST'!$AA$10:$AA$150,"DE",'PU CAST'!$AK$10:$AK$150,$B11),0)</f>
        <v>27.536670111111103</v>
      </c>
      <c r="N11" s="85">
        <f t="shared" si="2"/>
        <v>165.22002066666661</v>
      </c>
      <c r="O11" s="4" t="s">
        <v>850</v>
      </c>
      <c r="P11" s="4" t="s">
        <v>973</v>
      </c>
      <c r="Q11" s="5">
        <v>1</v>
      </c>
      <c r="R11" s="4" t="s">
        <v>960</v>
      </c>
      <c r="S11" s="84">
        <f>INDEX(PARÂMETROS!$B$83:$B$101,MATCH($B11,PARÂMETROS!$A$83:$A$101,0))</f>
        <v>82.8</v>
      </c>
      <c r="T11" s="4" t="s">
        <v>974</v>
      </c>
      <c r="U11" s="4" t="s">
        <v>975</v>
      </c>
      <c r="V11" s="5">
        <v>1</v>
      </c>
      <c r="W11" s="4" t="s">
        <v>963</v>
      </c>
      <c r="X11" s="68">
        <f>INDEX(PARÂMETROS!$C$83:$C$101,MATCH($B11,PARÂMETROS!$A$83:$A$101,0))</f>
        <v>36</v>
      </c>
      <c r="Y11" s="85">
        <f t="shared" si="3"/>
        <v>72</v>
      </c>
      <c r="Z11" s="86">
        <f t="shared" si="17"/>
        <v>0.26100000000000001</v>
      </c>
      <c r="AA11" s="86">
        <f>2*0.261</f>
        <v>0.52200000000000002</v>
      </c>
      <c r="AB11" s="6">
        <f>Z11*PARÂMETROS!$E$6</f>
        <v>10.42173</v>
      </c>
      <c r="AC11" s="85">
        <f t="shared" si="4"/>
        <v>20.84346</v>
      </c>
      <c r="AD11" s="4" t="s">
        <v>974</v>
      </c>
      <c r="AE11" s="4" t="s">
        <v>975</v>
      </c>
      <c r="AF11" s="5">
        <v>1</v>
      </c>
      <c r="AG11" s="4" t="s">
        <v>963</v>
      </c>
      <c r="AH11" s="68">
        <f>INDEX(PARÂMETROS!$D$83:$D$101,MATCH($B11,PARÂMETROS!$A$83:$A$101,0))</f>
        <v>36</v>
      </c>
      <c r="AI11" s="85">
        <f t="shared" si="5"/>
        <v>72</v>
      </c>
      <c r="AJ11" s="96" t="s">
        <v>964</v>
      </c>
      <c r="AK11" s="96" t="s">
        <v>976</v>
      </c>
      <c r="AL11" s="88">
        <v>16</v>
      </c>
      <c r="AM11" s="97">
        <f>INDEX(PARÂMETROS!$E$83:$E$101,MATCH($B11,PARÂMETROS!$A$83:$A$101,0))</f>
        <v>9.5</v>
      </c>
      <c r="AN11" s="90">
        <f t="shared" si="18"/>
        <v>152</v>
      </c>
      <c r="AO11" s="98" t="s">
        <v>966</v>
      </c>
      <c r="AP11" s="98" t="s">
        <v>967</v>
      </c>
      <c r="AQ11" s="88">
        <v>16</v>
      </c>
      <c r="AR11" s="97">
        <f>INDEX(PARÂMETROS!$F$83:$F$101,MATCH($B11,PARÂMETROS!$A$83:$A$101,0))</f>
        <v>0.6</v>
      </c>
      <c r="AS11" s="90">
        <f t="shared" si="19"/>
        <v>9.6</v>
      </c>
      <c r="AT11" s="98" t="s">
        <v>968</v>
      </c>
      <c r="AU11" s="98" t="s">
        <v>967</v>
      </c>
      <c r="AV11" s="88">
        <v>16</v>
      </c>
      <c r="AW11" s="97">
        <f>INDEX(PARÂMETROS!$G$83:$G$101,MATCH($B11,PARÂMETROS!$A$83:$A$101,0))</f>
        <v>0.8</v>
      </c>
      <c r="AX11" s="90">
        <f t="shared" si="20"/>
        <v>12.8</v>
      </c>
      <c r="AY11" s="91">
        <f t="shared" si="6"/>
        <v>469.72229829333321</v>
      </c>
      <c r="AZ11" s="91">
        <f t="shared" si="7"/>
        <v>247.64346</v>
      </c>
      <c r="BA11" s="91">
        <f t="shared" si="8"/>
        <v>174.4</v>
      </c>
      <c r="BB11" s="92">
        <f t="shared" si="9"/>
        <v>891.76575829333319</v>
      </c>
      <c r="BC11" s="6">
        <f>PARÂMETROS!$H$3</f>
        <v>40</v>
      </c>
      <c r="BD11" s="93">
        <v>0.195138888888889</v>
      </c>
      <c r="BE11" s="6">
        <f t="shared" si="10"/>
        <v>187.33333333333343</v>
      </c>
      <c r="BF11" s="5">
        <v>1</v>
      </c>
      <c r="BG11" s="90">
        <f t="shared" si="11"/>
        <v>187.33333333333343</v>
      </c>
      <c r="BH11" s="94">
        <f t="shared" si="12"/>
        <v>1079.0990916266667</v>
      </c>
      <c r="BI11" s="6">
        <v>120</v>
      </c>
      <c r="BJ11" s="95">
        <f t="shared" si="13"/>
        <v>1199.0990916266667</v>
      </c>
    </row>
    <row r="12" spans="1:62" ht="25.5" customHeight="1" x14ac:dyDescent="0.3">
      <c r="A12" s="125" t="s">
        <v>13</v>
      </c>
      <c r="B12" s="125">
        <v>12</v>
      </c>
      <c r="C12" s="86">
        <f t="shared" si="14"/>
        <v>1.2450000000000001</v>
      </c>
      <c r="D12" s="86">
        <f>4*1.245</f>
        <v>4.9800000000000004</v>
      </c>
      <c r="E12" s="6">
        <f>IFERROR(SUMIFS('PU CAST'!$AI$10:$AI$150,'PU CAST'!$AA$10:$AA$150,"DS",'PU CAST'!$AK$10:$AK$150,$B12),0)</f>
        <v>84.22541236666666</v>
      </c>
      <c r="F12" s="85">
        <f t="shared" si="0"/>
        <v>336.90164946666664</v>
      </c>
      <c r="G12" s="86">
        <f t="shared" si="15"/>
        <v>1.4259999999999999</v>
      </c>
      <c r="H12" s="86">
        <f>2*1.426</f>
        <v>2.8519999999999999</v>
      </c>
      <c r="I12" s="6">
        <f>IFERROR(SUMIFS('PU CAST'!$AI$10:$AI$150,'PU CAST'!$AA$10:$AA$150,"DG",'PU CAST'!$AK$10:$AK$150,$B12),0)</f>
        <v>66.773360666666662</v>
      </c>
      <c r="J12" s="85">
        <f t="shared" si="1"/>
        <v>133.54672133333332</v>
      </c>
      <c r="K12" s="86">
        <f t="shared" si="16"/>
        <v>0.42199999999999999</v>
      </c>
      <c r="L12" s="86">
        <f>6*0.422</f>
        <v>2.532</v>
      </c>
      <c r="M12" s="6">
        <f>IFERROR(SUMIFS('PU CAST'!$AI$10:$AI$150,'PU CAST'!$AA$10:$AA$150,"DE",'PU CAST'!$AK$10:$AK$150,$B12),0)</f>
        <v>42.055884666666657</v>
      </c>
      <c r="N12" s="85">
        <f t="shared" si="2"/>
        <v>252.33530799999994</v>
      </c>
      <c r="O12" s="4" t="s">
        <v>851</v>
      </c>
      <c r="P12" s="4" t="s">
        <v>977</v>
      </c>
      <c r="Q12" s="5">
        <v>1</v>
      </c>
      <c r="R12" s="4" t="s">
        <v>960</v>
      </c>
      <c r="S12" s="84">
        <f>INDEX(PARÂMETROS!$B$83:$B$101,MATCH($B12,PARÂMETROS!$A$83:$A$101,0))</f>
        <v>127.8</v>
      </c>
      <c r="T12" s="4" t="s">
        <v>978</v>
      </c>
      <c r="U12" s="4" t="s">
        <v>979</v>
      </c>
      <c r="V12" s="5">
        <v>1</v>
      </c>
      <c r="W12" s="4" t="s">
        <v>963</v>
      </c>
      <c r="X12" s="68">
        <f>INDEX(PARÂMETROS!$C$83:$C$101,MATCH($B12,PARÂMETROS!$A$83:$A$101,0))</f>
        <v>48</v>
      </c>
      <c r="Y12" s="85">
        <f t="shared" si="3"/>
        <v>96</v>
      </c>
      <c r="Z12" s="86">
        <f t="shared" si="17"/>
        <v>0.42199999999999999</v>
      </c>
      <c r="AA12" s="86">
        <f>2*0.422</f>
        <v>0.84399999999999997</v>
      </c>
      <c r="AB12" s="6">
        <f>Z12*PARÂMETROS!$E$6</f>
        <v>16.850459999999998</v>
      </c>
      <c r="AC12" s="85">
        <f t="shared" si="4"/>
        <v>33.700919999999996</v>
      </c>
      <c r="AD12" s="4" t="s">
        <v>978</v>
      </c>
      <c r="AE12" s="4" t="s">
        <v>979</v>
      </c>
      <c r="AF12" s="5">
        <v>1</v>
      </c>
      <c r="AG12" s="4" t="s">
        <v>963</v>
      </c>
      <c r="AH12" s="68">
        <f>INDEX(PARÂMETROS!$D$83:$D$101,MATCH($B12,PARÂMETROS!$A$83:$A$101,0))</f>
        <v>48</v>
      </c>
      <c r="AI12" s="85">
        <f t="shared" si="5"/>
        <v>96</v>
      </c>
      <c r="AJ12" s="96" t="s">
        <v>964</v>
      </c>
      <c r="AK12" s="96" t="s">
        <v>980</v>
      </c>
      <c r="AL12" s="88">
        <v>16</v>
      </c>
      <c r="AM12" s="97">
        <f>INDEX(PARÂMETROS!$E$83:$E$101,MATCH($B12,PARÂMETROS!$A$83:$A$101,0))</f>
        <v>10.5</v>
      </c>
      <c r="AN12" s="90">
        <f t="shared" si="18"/>
        <v>168</v>
      </c>
      <c r="AO12" s="98" t="s">
        <v>966</v>
      </c>
      <c r="AP12" s="98" t="s">
        <v>967</v>
      </c>
      <c r="AQ12" s="88">
        <v>16</v>
      </c>
      <c r="AR12" s="97">
        <f>INDEX(PARÂMETROS!$F$83:$F$101,MATCH($B12,PARÂMETROS!$A$83:$A$101,0))</f>
        <v>0.6</v>
      </c>
      <c r="AS12" s="90">
        <f t="shared" si="19"/>
        <v>9.6</v>
      </c>
      <c r="AT12" s="98" t="s">
        <v>968</v>
      </c>
      <c r="AU12" s="98" t="s">
        <v>967</v>
      </c>
      <c r="AV12" s="88">
        <v>16</v>
      </c>
      <c r="AW12" s="97">
        <f>INDEX(PARÂMETROS!$G$83:$G$101,MATCH($B12,PARÂMETROS!$A$83:$A$101,0))</f>
        <v>0.8</v>
      </c>
      <c r="AX12" s="90">
        <f t="shared" si="20"/>
        <v>12.8</v>
      </c>
      <c r="AY12" s="91">
        <f t="shared" si="6"/>
        <v>722.78367879999996</v>
      </c>
      <c r="AZ12" s="91">
        <f t="shared" si="7"/>
        <v>353.50092000000001</v>
      </c>
      <c r="BA12" s="91">
        <f t="shared" si="8"/>
        <v>190.4</v>
      </c>
      <c r="BB12" s="92">
        <f t="shared" si="9"/>
        <v>1266.6845988</v>
      </c>
      <c r="BC12" s="6">
        <f>PARÂMETROS!$H$3</f>
        <v>40</v>
      </c>
      <c r="BD12" s="93">
        <v>0.195138888888889</v>
      </c>
      <c r="BE12" s="6">
        <f t="shared" si="10"/>
        <v>187.33333333333343</v>
      </c>
      <c r="BF12" s="5">
        <v>1</v>
      </c>
      <c r="BG12" s="90">
        <f t="shared" si="11"/>
        <v>187.33333333333343</v>
      </c>
      <c r="BH12" s="94">
        <f t="shared" si="12"/>
        <v>1454.0179321333335</v>
      </c>
      <c r="BI12" s="6">
        <v>120</v>
      </c>
      <c r="BJ12" s="95">
        <f t="shared" si="13"/>
        <v>1574.0179321333335</v>
      </c>
    </row>
    <row r="13" spans="1:62" ht="25.5" customHeight="1" x14ac:dyDescent="0.3">
      <c r="A13" s="125" t="s">
        <v>13</v>
      </c>
      <c r="B13" s="125">
        <v>14</v>
      </c>
      <c r="C13" s="86">
        <f t="shared" si="14"/>
        <v>1.6319999999999999</v>
      </c>
      <c r="D13" s="86">
        <f>4*1.632</f>
        <v>6.5279999999999996</v>
      </c>
      <c r="E13" s="6">
        <f>IFERROR(SUMIFS('PU CAST'!$AI$10:$AI$150,'PU CAST'!$AA$10:$AA$150,"DS",'PU CAST'!$AK$10:$AK$150,$B13),0)</f>
        <v>100.56295018666665</v>
      </c>
      <c r="F13" s="85">
        <f t="shared" si="0"/>
        <v>402.25180074666662</v>
      </c>
      <c r="G13" s="86">
        <f t="shared" si="15"/>
        <v>1.7789999999999999</v>
      </c>
      <c r="H13" s="86">
        <f>2*1.779</f>
        <v>3.5579999999999998</v>
      </c>
      <c r="I13" s="6">
        <f>IFERROR(SUMIFS('PU CAST'!$AI$10:$AI$150,'PU CAST'!$AA$10:$AA$150,"DG",'PU CAST'!$AK$10:$AK$150,$B13),0)</f>
        <v>75.463867666666658</v>
      </c>
      <c r="J13" s="85">
        <f t="shared" si="1"/>
        <v>150.92773533333332</v>
      </c>
      <c r="K13" s="86">
        <f t="shared" si="16"/>
        <v>0.65100000000000002</v>
      </c>
      <c r="L13" s="86">
        <f>6*0.651</f>
        <v>3.9060000000000001</v>
      </c>
      <c r="M13" s="6">
        <f>IFERROR(SUMIFS('PU CAST'!$AI$10:$AI$150,'PU CAST'!$AA$10:$AA$150,"DE",'PU CAST'!$AK$10:$AK$150,$B13),0)</f>
        <v>47.693635666666658</v>
      </c>
      <c r="N13" s="85">
        <f t="shared" si="2"/>
        <v>286.16181399999994</v>
      </c>
      <c r="O13" s="4" t="s">
        <v>851</v>
      </c>
      <c r="P13" s="4" t="s">
        <v>981</v>
      </c>
      <c r="Q13" s="5">
        <v>1</v>
      </c>
      <c r="R13" s="4" t="s">
        <v>960</v>
      </c>
      <c r="S13" s="84">
        <f>INDEX(PARÂMETROS!$B$83:$B$101,MATCH($B13,PARÂMETROS!$A$83:$A$101,0))</f>
        <v>142.19999999999999</v>
      </c>
      <c r="T13" s="4" t="s">
        <v>982</v>
      </c>
      <c r="U13" s="4" t="s">
        <v>983</v>
      </c>
      <c r="V13" s="5">
        <v>1</v>
      </c>
      <c r="W13" s="4" t="s">
        <v>963</v>
      </c>
      <c r="X13" s="68">
        <f>INDEX(PARÂMETROS!$C$83:$C$101,MATCH($B13,PARÂMETROS!$A$83:$A$101,0))</f>
        <v>56</v>
      </c>
      <c r="Y13" s="85">
        <f t="shared" si="3"/>
        <v>112</v>
      </c>
      <c r="Z13" s="86">
        <f t="shared" si="17"/>
        <v>0.65100000000000002</v>
      </c>
      <c r="AA13" s="86">
        <f>2*0.651</f>
        <v>1.302</v>
      </c>
      <c r="AB13" s="6">
        <f>Z13*PARÂMETROS!$E$6</f>
        <v>25.994430000000001</v>
      </c>
      <c r="AC13" s="85">
        <f t="shared" si="4"/>
        <v>51.988860000000003</v>
      </c>
      <c r="AD13" s="4" t="s">
        <v>982</v>
      </c>
      <c r="AE13" s="4" t="s">
        <v>983</v>
      </c>
      <c r="AF13" s="5">
        <v>1</v>
      </c>
      <c r="AG13" s="4" t="s">
        <v>963</v>
      </c>
      <c r="AH13" s="68">
        <f>INDEX(PARÂMETROS!$D$83:$D$101,MATCH($B13,PARÂMETROS!$A$83:$A$101,0))</f>
        <v>56</v>
      </c>
      <c r="AI13" s="85">
        <f t="shared" si="5"/>
        <v>112</v>
      </c>
      <c r="AJ13" s="96" t="s">
        <v>964</v>
      </c>
      <c r="AK13" s="96" t="s">
        <v>980</v>
      </c>
      <c r="AL13" s="88">
        <v>16</v>
      </c>
      <c r="AM13" s="97">
        <f>INDEX(PARÂMETROS!$E$83:$E$101,MATCH($B13,PARÂMETROS!$A$83:$A$101,0))</f>
        <v>10.5</v>
      </c>
      <c r="AN13" s="90">
        <f t="shared" si="18"/>
        <v>168</v>
      </c>
      <c r="AO13" s="98" t="s">
        <v>966</v>
      </c>
      <c r="AP13" s="98" t="s">
        <v>967</v>
      </c>
      <c r="AQ13" s="88">
        <v>16</v>
      </c>
      <c r="AR13" s="97">
        <f>INDEX(PARÂMETROS!$F$83:$F$101,MATCH($B13,PARÂMETROS!$A$83:$A$101,0))</f>
        <v>0.6</v>
      </c>
      <c r="AS13" s="90">
        <f t="shared" si="19"/>
        <v>9.6</v>
      </c>
      <c r="AT13" s="98" t="s">
        <v>968</v>
      </c>
      <c r="AU13" s="98" t="s">
        <v>967</v>
      </c>
      <c r="AV13" s="88">
        <v>16</v>
      </c>
      <c r="AW13" s="97">
        <f>INDEX(PARÂMETROS!$G$83:$G$101,MATCH($B13,PARÂMETROS!$A$83:$A$101,0))</f>
        <v>0.8</v>
      </c>
      <c r="AX13" s="90">
        <f t="shared" si="20"/>
        <v>12.8</v>
      </c>
      <c r="AY13" s="91">
        <f t="shared" si="6"/>
        <v>839.34135007999987</v>
      </c>
      <c r="AZ13" s="91">
        <f t="shared" si="7"/>
        <v>418.18885999999998</v>
      </c>
      <c r="BA13" s="91">
        <f t="shared" si="8"/>
        <v>190.4</v>
      </c>
      <c r="BB13" s="92">
        <f t="shared" si="9"/>
        <v>1447.9302100800001</v>
      </c>
      <c r="BC13" s="6">
        <f>PARÂMETROS!$H$3</f>
        <v>40</v>
      </c>
      <c r="BD13" s="93">
        <v>0.195138888888889</v>
      </c>
      <c r="BE13" s="6">
        <f t="shared" si="10"/>
        <v>187.33333333333343</v>
      </c>
      <c r="BF13" s="5">
        <v>1</v>
      </c>
      <c r="BG13" s="90">
        <f t="shared" si="11"/>
        <v>187.33333333333343</v>
      </c>
      <c r="BH13" s="94">
        <f t="shared" si="12"/>
        <v>1635.2635434133335</v>
      </c>
      <c r="BI13" s="6">
        <v>120</v>
      </c>
      <c r="BJ13" s="95">
        <f t="shared" si="13"/>
        <v>1755.2635434133335</v>
      </c>
    </row>
    <row r="14" spans="1:62" ht="25.5" customHeight="1" x14ac:dyDescent="0.3">
      <c r="A14" s="125" t="s">
        <v>13</v>
      </c>
      <c r="B14" s="125">
        <v>16</v>
      </c>
      <c r="C14" s="86">
        <f t="shared" si="14"/>
        <v>2.5459999999999998</v>
      </c>
      <c r="D14" s="86">
        <f>4*2.546</f>
        <v>10.183999999999999</v>
      </c>
      <c r="E14" s="6">
        <f>IFERROR(SUMIFS('PU CAST'!$AI$10:$AI$150,'PU CAST'!$AA$10:$AA$150,"DS",'PU CAST'!$AK$10:$AK$150,$B14),0)</f>
        <v>139.14824622666666</v>
      </c>
      <c r="F14" s="85">
        <f t="shared" si="0"/>
        <v>556.59298490666663</v>
      </c>
      <c r="G14" s="86">
        <f t="shared" si="15"/>
        <v>2.9969999999999999</v>
      </c>
      <c r="H14" s="86">
        <f>2*2.997</f>
        <v>5.9939999999999998</v>
      </c>
      <c r="I14" s="6">
        <f>IFERROR(SUMIFS('PU CAST'!$AI$10:$AI$150,'PU CAST'!$AA$10:$AA$150,"DG",'PU CAST'!$AK$10:$AK$150,$B14),0)</f>
        <v>105.44980966666667</v>
      </c>
      <c r="J14" s="85">
        <f t="shared" si="1"/>
        <v>210.89961933333333</v>
      </c>
      <c r="K14" s="86">
        <f t="shared" si="16"/>
        <v>1.028</v>
      </c>
      <c r="L14" s="86">
        <f>6*1.028</f>
        <v>6.1680000000000001</v>
      </c>
      <c r="M14" s="6">
        <f>IFERROR(SUMIFS('PU CAST'!$AI$10:$AI$150,'PU CAST'!$AA$10:$AA$150,"DE",'PU CAST'!$AK$10:$AK$150,$B14),0)</f>
        <v>56.974998666666657</v>
      </c>
      <c r="N14" s="85">
        <f t="shared" si="2"/>
        <v>341.84999199999993</v>
      </c>
      <c r="O14" s="4" t="s">
        <v>851</v>
      </c>
      <c r="P14" s="4" t="s">
        <v>984</v>
      </c>
      <c r="Q14" s="5">
        <v>1</v>
      </c>
      <c r="R14" s="4" t="s">
        <v>960</v>
      </c>
      <c r="S14" s="84">
        <f>INDEX(PARÂMETROS!$B$83:$B$101,MATCH($B14,PARÂMETROS!$A$83:$A$101,0))</f>
        <v>158.4</v>
      </c>
      <c r="T14" s="4" t="s">
        <v>985</v>
      </c>
      <c r="U14" s="4" t="s">
        <v>986</v>
      </c>
      <c r="V14" s="5">
        <v>1</v>
      </c>
      <c r="W14" s="4" t="s">
        <v>963</v>
      </c>
      <c r="X14" s="68">
        <f>INDEX(PARÂMETROS!$C$83:$C$101,MATCH($B14,PARÂMETROS!$A$83:$A$101,0))</f>
        <v>60</v>
      </c>
      <c r="Y14" s="85">
        <f t="shared" si="3"/>
        <v>120</v>
      </c>
      <c r="Z14" s="86">
        <f t="shared" si="17"/>
        <v>1.028</v>
      </c>
      <c r="AA14" s="86">
        <f>2*1.028</f>
        <v>2.056</v>
      </c>
      <c r="AB14" s="6">
        <f>Z14*PARÂMETROS!$E$6</f>
        <v>41.04804</v>
      </c>
      <c r="AC14" s="85">
        <f t="shared" si="4"/>
        <v>82.096080000000001</v>
      </c>
      <c r="AD14" s="4" t="s">
        <v>985</v>
      </c>
      <c r="AE14" s="4" t="s">
        <v>986</v>
      </c>
      <c r="AF14" s="5">
        <v>1</v>
      </c>
      <c r="AG14" s="4" t="s">
        <v>963</v>
      </c>
      <c r="AH14" s="68">
        <f>INDEX(PARÂMETROS!$D$83:$D$101,MATCH($B14,PARÂMETROS!$A$83:$A$101,0))</f>
        <v>60</v>
      </c>
      <c r="AI14" s="85">
        <f t="shared" si="5"/>
        <v>120</v>
      </c>
      <c r="AJ14" s="96" t="s">
        <v>964</v>
      </c>
      <c r="AK14" s="96" t="s">
        <v>987</v>
      </c>
      <c r="AL14" s="88">
        <v>16</v>
      </c>
      <c r="AM14" s="97">
        <f>INDEX(PARÂMETROS!$E$83:$E$101,MATCH($B14,PARÂMETROS!$A$83:$A$101,0))</f>
        <v>12</v>
      </c>
      <c r="AN14" s="90">
        <f t="shared" si="18"/>
        <v>192</v>
      </c>
      <c r="AO14" s="98" t="s">
        <v>966</v>
      </c>
      <c r="AP14" s="98" t="s">
        <v>967</v>
      </c>
      <c r="AQ14" s="88">
        <v>16</v>
      </c>
      <c r="AR14" s="97">
        <f>INDEX(PARÂMETROS!$F$83:$F$101,MATCH($B14,PARÂMETROS!$A$83:$A$101,0))</f>
        <v>0.6</v>
      </c>
      <c r="AS14" s="90">
        <f t="shared" si="19"/>
        <v>9.6</v>
      </c>
      <c r="AT14" s="98" t="s">
        <v>968</v>
      </c>
      <c r="AU14" s="98" t="s">
        <v>967</v>
      </c>
      <c r="AV14" s="88">
        <v>16</v>
      </c>
      <c r="AW14" s="97">
        <f>INDEX(PARÂMETROS!$G$83:$G$101,MATCH($B14,PARÂMETROS!$A$83:$A$101,0))</f>
        <v>0.8</v>
      </c>
      <c r="AX14" s="90">
        <f t="shared" si="20"/>
        <v>12.8</v>
      </c>
      <c r="AY14" s="91">
        <f t="shared" si="6"/>
        <v>1109.3425962399999</v>
      </c>
      <c r="AZ14" s="91">
        <f t="shared" si="7"/>
        <v>480.49608000000001</v>
      </c>
      <c r="BA14" s="91">
        <f t="shared" si="8"/>
        <v>214.4</v>
      </c>
      <c r="BB14" s="92">
        <f t="shared" si="9"/>
        <v>1804.2386762400001</v>
      </c>
      <c r="BC14" s="6">
        <f>PARÂMETROS!$H$3</f>
        <v>40</v>
      </c>
      <c r="BD14" s="93">
        <v>0.390277777777778</v>
      </c>
      <c r="BE14" s="6">
        <f t="shared" si="10"/>
        <v>374.66666666666686</v>
      </c>
      <c r="BF14" s="5">
        <v>1</v>
      </c>
      <c r="BG14" s="90">
        <f t="shared" si="11"/>
        <v>374.66666666666686</v>
      </c>
      <c r="BH14" s="94">
        <f t="shared" si="12"/>
        <v>2178.9053429066671</v>
      </c>
      <c r="BI14" s="6">
        <v>120</v>
      </c>
      <c r="BJ14" s="95">
        <f t="shared" si="13"/>
        <v>2298.9053429066671</v>
      </c>
    </row>
    <row r="15" spans="1:62" ht="25.2" customHeight="1" x14ac:dyDescent="0.3">
      <c r="A15" s="125" t="s">
        <v>13</v>
      </c>
      <c r="B15" s="125">
        <v>18</v>
      </c>
      <c r="C15" s="86">
        <f t="shared" si="14"/>
        <v>3.4569999999999999</v>
      </c>
      <c r="D15" s="86">
        <f>4*3.457</f>
        <v>13.827999999999999</v>
      </c>
      <c r="E15" s="6">
        <f>IFERROR(SUMIFS('PU CAST'!$AI$10:$AI$150,'PU CAST'!$AA$10:$AA$150,"DS",'PU CAST'!$AK$10:$AK$150,$B15),0)</f>
        <v>177.60689468666664</v>
      </c>
      <c r="F15" s="85">
        <f t="shared" si="0"/>
        <v>710.42757874666654</v>
      </c>
      <c r="G15" s="86">
        <f t="shared" si="15"/>
        <v>3.5840000000000001</v>
      </c>
      <c r="H15" s="86">
        <f>2*3.584</f>
        <v>7.1680000000000001</v>
      </c>
      <c r="I15" s="6">
        <f>IFERROR(SUMIFS('PU CAST'!$AI$10:$AI$150,'PU CAST'!$AA$10:$AA$150,"DG",'PU CAST'!$AK$10:$AK$150,$B15),0)</f>
        <v>119.90116266666666</v>
      </c>
      <c r="J15" s="85">
        <f t="shared" si="1"/>
        <v>239.80232533333333</v>
      </c>
      <c r="K15" s="86">
        <f t="shared" si="16"/>
        <v>1.2889999999999999</v>
      </c>
      <c r="L15" s="86">
        <f>6*1.289</f>
        <v>7.734</v>
      </c>
      <c r="M15" s="6">
        <f>IFERROR(SUMIFS('PU CAST'!$AI$10:$AI$150,'PU CAST'!$AA$10:$AA$150,"DE",'PU CAST'!$AK$10:$AK$150,$B15),0)</f>
        <v>63.400557666666657</v>
      </c>
      <c r="N15" s="85">
        <f t="shared" si="2"/>
        <v>380.40334599999994</v>
      </c>
      <c r="O15" s="4" t="s">
        <v>852</v>
      </c>
      <c r="P15" s="4" t="s">
        <v>988</v>
      </c>
      <c r="Q15" s="5">
        <v>1</v>
      </c>
      <c r="R15" s="4" t="s">
        <v>960</v>
      </c>
      <c r="S15" s="84">
        <f>INDEX(PARÂMETROS!$B$83:$B$101,MATCH($B15,PARÂMETROS!$A$83:$A$101,0))</f>
        <v>319.2</v>
      </c>
      <c r="T15" s="4" t="s">
        <v>989</v>
      </c>
      <c r="U15" s="4" t="s">
        <v>990</v>
      </c>
      <c r="V15" s="5">
        <v>1</v>
      </c>
      <c r="W15" s="4" t="s">
        <v>963</v>
      </c>
      <c r="X15" s="68">
        <f>INDEX(PARÂMETROS!$C$83:$C$101,MATCH($B15,PARÂMETROS!$A$83:$A$101,0))</f>
        <v>82</v>
      </c>
      <c r="Y15" s="85">
        <f t="shared" si="3"/>
        <v>164</v>
      </c>
      <c r="Z15" s="86">
        <f t="shared" si="17"/>
        <v>1.2889999999999999</v>
      </c>
      <c r="AA15" s="86">
        <f>2*1.289</f>
        <v>2.5779999999999998</v>
      </c>
      <c r="AB15" s="6">
        <f>Z15*PARÂMETROS!$E$6</f>
        <v>51.469769999999997</v>
      </c>
      <c r="AC15" s="85">
        <f t="shared" si="4"/>
        <v>102.93953999999999</v>
      </c>
      <c r="AD15" s="4" t="s">
        <v>989</v>
      </c>
      <c r="AE15" s="4" t="s">
        <v>990</v>
      </c>
      <c r="AF15" s="5">
        <v>1</v>
      </c>
      <c r="AG15" s="4" t="s">
        <v>963</v>
      </c>
      <c r="AH15" s="68">
        <f>INDEX(PARÂMETROS!$D$83:$D$101,MATCH($B15,PARÂMETROS!$A$83:$A$101,0))</f>
        <v>82</v>
      </c>
      <c r="AI15" s="85">
        <f t="shared" si="5"/>
        <v>164</v>
      </c>
      <c r="AJ15" s="96" t="s">
        <v>964</v>
      </c>
      <c r="AK15" s="96" t="s">
        <v>991</v>
      </c>
      <c r="AL15" s="88">
        <v>16</v>
      </c>
      <c r="AM15" s="97">
        <f>INDEX(PARÂMETROS!$E$83:$E$101,MATCH($B15,PARÂMETROS!$A$83:$A$101,0))</f>
        <v>13</v>
      </c>
      <c r="AN15" s="90">
        <f t="shared" si="18"/>
        <v>208</v>
      </c>
      <c r="AO15" s="98" t="s">
        <v>966</v>
      </c>
      <c r="AP15" s="98" t="s">
        <v>967</v>
      </c>
      <c r="AQ15" s="88">
        <v>16</v>
      </c>
      <c r="AR15" s="97">
        <f>INDEX(PARÂMETROS!$F$83:$F$101,MATCH($B15,PARÂMETROS!$A$83:$A$101,0))</f>
        <v>0.6</v>
      </c>
      <c r="AS15" s="90">
        <f t="shared" si="19"/>
        <v>9.6</v>
      </c>
      <c r="AT15" s="98" t="s">
        <v>968</v>
      </c>
      <c r="AU15" s="98" t="s">
        <v>967</v>
      </c>
      <c r="AV15" s="88">
        <v>16</v>
      </c>
      <c r="AW15" s="97">
        <f>INDEX(PARÂMETROS!$G$83:$G$101,MATCH($B15,PARÂMETROS!$A$83:$A$101,0))</f>
        <v>0.8</v>
      </c>
      <c r="AX15" s="90">
        <f t="shared" si="20"/>
        <v>12.8</v>
      </c>
      <c r="AY15" s="91">
        <f t="shared" si="6"/>
        <v>1330.6332500799999</v>
      </c>
      <c r="AZ15" s="91">
        <f t="shared" si="7"/>
        <v>750.13954000000001</v>
      </c>
      <c r="BA15" s="91">
        <f t="shared" si="8"/>
        <v>230.4</v>
      </c>
      <c r="BB15" s="92">
        <f t="shared" si="9"/>
        <v>2311.1727900800001</v>
      </c>
      <c r="BC15" s="6">
        <f>PARÂMETROS!$H$3</f>
        <v>40</v>
      </c>
      <c r="BD15" s="93">
        <v>0.390277777777778</v>
      </c>
      <c r="BE15" s="6">
        <f t="shared" si="10"/>
        <v>374.66666666666686</v>
      </c>
      <c r="BF15" s="5">
        <v>1</v>
      </c>
      <c r="BG15" s="90">
        <f t="shared" si="11"/>
        <v>374.66666666666686</v>
      </c>
      <c r="BH15" s="94">
        <f t="shared" si="12"/>
        <v>2685.8394567466671</v>
      </c>
      <c r="BI15" s="6">
        <v>120</v>
      </c>
      <c r="BJ15" s="95">
        <f t="shared" si="13"/>
        <v>2805.8394567466671</v>
      </c>
    </row>
    <row r="16" spans="1:62" ht="25.5" customHeight="1" x14ac:dyDescent="0.3">
      <c r="A16" s="125" t="s">
        <v>13</v>
      </c>
      <c r="B16" s="125">
        <v>20</v>
      </c>
      <c r="C16" s="86">
        <f t="shared" si="14"/>
        <v>4.0270000000000001</v>
      </c>
      <c r="D16" s="86">
        <f>4*4.027</f>
        <v>16.108000000000001</v>
      </c>
      <c r="E16" s="6">
        <f>IFERROR(SUMIFS('PU CAST'!$AI$10:$AI$150,'PU CAST'!$AA$10:$AA$150,"DS",'PU CAST'!$AK$10:$AK$150,$B16),0)</f>
        <v>201.66993488666665</v>
      </c>
      <c r="F16" s="85">
        <f t="shared" si="0"/>
        <v>806.67973954666661</v>
      </c>
      <c r="G16" s="86">
        <f t="shared" si="15"/>
        <v>4.0839999999999996</v>
      </c>
      <c r="H16" s="86">
        <f>2*4.084</f>
        <v>8.1679999999999993</v>
      </c>
      <c r="I16" s="6">
        <f>IFERROR(SUMIFS('PU CAST'!$AI$10:$AI$150,'PU CAST'!$AA$10:$AA$150,"DG",'PU CAST'!$AK$10:$AK$150,$B16),0)</f>
        <v>132.21066266666665</v>
      </c>
      <c r="J16" s="85">
        <f t="shared" si="1"/>
        <v>264.4213253333333</v>
      </c>
      <c r="K16" s="86">
        <f t="shared" si="16"/>
        <v>1.5650000000000002</v>
      </c>
      <c r="L16" s="86">
        <f>6*1.565</f>
        <v>9.39</v>
      </c>
      <c r="M16" s="6">
        <f>IFERROR(SUMIFS('PU CAST'!$AI$10:$AI$150,'PU CAST'!$AA$10:$AA$150,"DE",'PU CAST'!$AK$10:$AK$150,$B16),0)</f>
        <v>70.195401666666669</v>
      </c>
      <c r="N16" s="85">
        <f t="shared" si="2"/>
        <v>421.17241000000001</v>
      </c>
      <c r="O16" s="4" t="s">
        <v>853</v>
      </c>
      <c r="P16" s="4" t="s">
        <v>992</v>
      </c>
      <c r="Q16" s="5">
        <v>1</v>
      </c>
      <c r="R16" s="4" t="s">
        <v>960</v>
      </c>
      <c r="S16" s="84">
        <f>INDEX(PARÂMETROS!$B$83:$B$101,MATCH($B16,PARÂMETROS!$A$83:$A$101,0))</f>
        <v>524.4</v>
      </c>
      <c r="T16" s="4" t="s">
        <v>993</v>
      </c>
      <c r="U16" s="4" t="s">
        <v>994</v>
      </c>
      <c r="V16" s="5">
        <v>1</v>
      </c>
      <c r="W16" s="4" t="s">
        <v>963</v>
      </c>
      <c r="X16" s="68">
        <f>INDEX(PARÂMETROS!$C$83:$C$101,MATCH($B16,PARÂMETROS!$A$83:$A$101,0))</f>
        <v>113</v>
      </c>
      <c r="Y16" s="85">
        <f t="shared" si="3"/>
        <v>226</v>
      </c>
      <c r="Z16" s="86">
        <f t="shared" si="17"/>
        <v>1.5649999999999999</v>
      </c>
      <c r="AA16" s="86">
        <f>2*1.565</f>
        <v>3.13</v>
      </c>
      <c r="AB16" s="6">
        <f>Z16*PARÂMETROS!$E$6</f>
        <v>62.490449999999996</v>
      </c>
      <c r="AC16" s="85">
        <f t="shared" si="4"/>
        <v>124.98089999999999</v>
      </c>
      <c r="AD16" s="4" t="s">
        <v>993</v>
      </c>
      <c r="AE16" s="4" t="s">
        <v>994</v>
      </c>
      <c r="AF16" s="5">
        <v>1</v>
      </c>
      <c r="AG16" s="4" t="s">
        <v>963</v>
      </c>
      <c r="AH16" s="68">
        <f>INDEX(PARÂMETROS!$D$83:$D$101,MATCH($B16,PARÂMETROS!$A$83:$A$101,0))</f>
        <v>113</v>
      </c>
      <c r="AI16" s="85">
        <f t="shared" si="5"/>
        <v>226</v>
      </c>
      <c r="AJ16" s="96" t="s">
        <v>964</v>
      </c>
      <c r="AK16" s="96" t="s">
        <v>991</v>
      </c>
      <c r="AL16" s="88">
        <v>24</v>
      </c>
      <c r="AM16" s="97">
        <f>INDEX(PARÂMETROS!$E$83:$E$101,MATCH($B16,PARÂMETROS!$A$83:$A$101,0))</f>
        <v>13</v>
      </c>
      <c r="AN16" s="90">
        <f t="shared" si="18"/>
        <v>312</v>
      </c>
      <c r="AO16" s="98" t="s">
        <v>966</v>
      </c>
      <c r="AP16" s="98" t="s">
        <v>967</v>
      </c>
      <c r="AQ16" s="88">
        <v>24</v>
      </c>
      <c r="AR16" s="97">
        <f>INDEX(PARÂMETROS!$F$83:$F$101,MATCH($B16,PARÂMETROS!$A$83:$A$101,0))</f>
        <v>0.6</v>
      </c>
      <c r="AS16" s="90">
        <f t="shared" si="19"/>
        <v>14.399999999999999</v>
      </c>
      <c r="AT16" s="98" t="s">
        <v>968</v>
      </c>
      <c r="AU16" s="98" t="s">
        <v>967</v>
      </c>
      <c r="AV16" s="88">
        <v>24</v>
      </c>
      <c r="AW16" s="97">
        <f>INDEX(PARÂMETROS!$G$83:$G$101,MATCH($B16,PARÂMETROS!$A$83:$A$101,0))</f>
        <v>0.8</v>
      </c>
      <c r="AX16" s="90">
        <f t="shared" si="20"/>
        <v>19.200000000000003</v>
      </c>
      <c r="AY16" s="91">
        <f t="shared" si="6"/>
        <v>1492.2734748799999</v>
      </c>
      <c r="AZ16" s="91">
        <f t="shared" si="7"/>
        <v>1101.3809000000001</v>
      </c>
      <c r="BA16" s="91">
        <f t="shared" si="8"/>
        <v>345.59999999999997</v>
      </c>
      <c r="BB16" s="92">
        <f t="shared" si="9"/>
        <v>2939.2543748799999</v>
      </c>
      <c r="BC16" s="6">
        <f>PARÂMETROS!$H$3</f>
        <v>40</v>
      </c>
      <c r="BD16" s="93">
        <v>0.390277777777778</v>
      </c>
      <c r="BE16" s="6">
        <f t="shared" si="10"/>
        <v>374.66666666666686</v>
      </c>
      <c r="BF16" s="5">
        <v>1</v>
      </c>
      <c r="BG16" s="90">
        <f t="shared" si="11"/>
        <v>374.66666666666686</v>
      </c>
      <c r="BH16" s="94">
        <f t="shared" si="12"/>
        <v>3313.9210415466669</v>
      </c>
      <c r="BI16" s="6">
        <v>120</v>
      </c>
      <c r="BJ16" s="95">
        <f t="shared" si="13"/>
        <v>3433.9210415466669</v>
      </c>
    </row>
    <row r="17" spans="1:62" ht="25.5" customHeight="1" x14ac:dyDescent="0.3">
      <c r="A17" s="125" t="s">
        <v>13</v>
      </c>
      <c r="B17" s="125">
        <v>22</v>
      </c>
      <c r="C17" s="86">
        <f t="shared" si="14"/>
        <v>5.0510000000000002</v>
      </c>
      <c r="D17" s="86">
        <f>4*5.051</f>
        <v>20.204000000000001</v>
      </c>
      <c r="E17" s="6">
        <f>IFERROR(SUMIFS('PU CAST'!$AI$10:$AI$150,'PU CAST'!$AA$10:$AA$150,"DS",'PU CAST'!$AK$10:$AK$150,$B17),0)</f>
        <v>244.89897552666665</v>
      </c>
      <c r="F17" s="85">
        <f t="shared" si="0"/>
        <v>979.59590210666659</v>
      </c>
      <c r="G17" s="86">
        <f t="shared" si="15"/>
        <v>5.5149999999999997</v>
      </c>
      <c r="H17" s="86">
        <f>2*5.515</f>
        <v>11.03</v>
      </c>
      <c r="I17" s="6">
        <f>IFERROR(SUMIFS('PU CAST'!$AI$10:$AI$150,'PU CAST'!$AA$10:$AA$150,"DG",'PU CAST'!$AK$10:$AK$150,$B17),0)</f>
        <v>167.44045166666666</v>
      </c>
      <c r="J17" s="85">
        <f t="shared" si="1"/>
        <v>334.88090333333332</v>
      </c>
      <c r="K17" s="86">
        <f t="shared" si="16"/>
        <v>2.6</v>
      </c>
      <c r="L17" s="86">
        <f>6*2.6</f>
        <v>15.600000000000001</v>
      </c>
      <c r="M17" s="6">
        <f>IFERROR(SUMIFS('PU CAST'!$AI$10:$AI$150,'PU CAST'!$AA$10:$AA$150,"DE",'PU CAST'!$AK$10:$AK$150,$B17),0)</f>
        <v>95.676066666666657</v>
      </c>
      <c r="N17" s="85">
        <f t="shared" si="2"/>
        <v>574.05639999999994</v>
      </c>
      <c r="O17" s="4" t="s">
        <v>853</v>
      </c>
      <c r="P17" s="4" t="s">
        <v>995</v>
      </c>
      <c r="Q17" s="5">
        <v>1</v>
      </c>
      <c r="R17" s="4" t="s">
        <v>960</v>
      </c>
      <c r="S17" s="84">
        <f>INDEX(PARÂMETROS!$B$83:$B$101,MATCH($B17,PARÂMETROS!$A$83:$A$101,0))</f>
        <v>570</v>
      </c>
      <c r="T17" s="4" t="s">
        <v>996</v>
      </c>
      <c r="U17" s="4" t="s">
        <v>997</v>
      </c>
      <c r="V17" s="5">
        <v>1</v>
      </c>
      <c r="W17" s="4" t="s">
        <v>963</v>
      </c>
      <c r="X17" s="68">
        <f>INDEX(PARÂMETROS!$C$83:$C$101,MATCH($B17,PARÂMETROS!$A$83:$A$101,0))</f>
        <v>152</v>
      </c>
      <c r="Y17" s="85">
        <f t="shared" si="3"/>
        <v>304</v>
      </c>
      <c r="Z17" s="86">
        <f t="shared" si="17"/>
        <v>2.6</v>
      </c>
      <c r="AA17" s="86">
        <f>2*2.6</f>
        <v>5.2</v>
      </c>
      <c r="AB17" s="6">
        <f>Z17*PARÂMETROS!$E$6</f>
        <v>103.818</v>
      </c>
      <c r="AC17" s="85">
        <f t="shared" si="4"/>
        <v>207.636</v>
      </c>
      <c r="AD17" s="4" t="s">
        <v>996</v>
      </c>
      <c r="AE17" s="4" t="s">
        <v>997</v>
      </c>
      <c r="AF17" s="5">
        <v>1</v>
      </c>
      <c r="AG17" s="4" t="s">
        <v>963</v>
      </c>
      <c r="AH17" s="68">
        <f>INDEX(PARÂMETROS!$D$83:$D$101,MATCH($B17,PARÂMETROS!$A$83:$A$101,0))</f>
        <v>152</v>
      </c>
      <c r="AI17" s="85">
        <f t="shared" si="5"/>
        <v>304</v>
      </c>
      <c r="AJ17" s="96" t="s">
        <v>964</v>
      </c>
      <c r="AK17" s="96" t="s">
        <v>991</v>
      </c>
      <c r="AL17" s="88">
        <v>28</v>
      </c>
      <c r="AM17" s="97">
        <f>INDEX(PARÂMETROS!$E$83:$E$101,MATCH($B17,PARÂMETROS!$A$83:$A$101,0))</f>
        <v>13</v>
      </c>
      <c r="AN17" s="90">
        <f t="shared" si="18"/>
        <v>364</v>
      </c>
      <c r="AO17" s="98" t="s">
        <v>966</v>
      </c>
      <c r="AP17" s="98" t="s">
        <v>967</v>
      </c>
      <c r="AQ17" s="88">
        <v>28</v>
      </c>
      <c r="AR17" s="97">
        <f>INDEX(PARÂMETROS!$F$83:$F$101,MATCH($B17,PARÂMETROS!$A$83:$A$101,0))</f>
        <v>0.6</v>
      </c>
      <c r="AS17" s="90">
        <f t="shared" si="19"/>
        <v>16.8</v>
      </c>
      <c r="AT17" s="98" t="s">
        <v>968</v>
      </c>
      <c r="AU17" s="98" t="s">
        <v>967</v>
      </c>
      <c r="AV17" s="88">
        <v>28</v>
      </c>
      <c r="AW17" s="97">
        <f>INDEX(PARÂMETROS!$G$83:$G$101,MATCH($B17,PARÂMETROS!$A$83:$A$101,0))</f>
        <v>0.8</v>
      </c>
      <c r="AX17" s="90">
        <f t="shared" si="20"/>
        <v>22.400000000000002</v>
      </c>
      <c r="AY17" s="91">
        <f t="shared" si="6"/>
        <v>1888.5332054399998</v>
      </c>
      <c r="AZ17" s="91">
        <f t="shared" si="7"/>
        <v>1385.636</v>
      </c>
      <c r="BA17" s="91">
        <f t="shared" si="8"/>
        <v>403.2</v>
      </c>
      <c r="BB17" s="92">
        <f t="shared" si="9"/>
        <v>3677.3692054399999</v>
      </c>
      <c r="BC17" s="6">
        <f>PARÂMETROS!$H$3</f>
        <v>40</v>
      </c>
      <c r="BD17" s="93">
        <v>0.390277777777778</v>
      </c>
      <c r="BE17" s="6">
        <f t="shared" si="10"/>
        <v>374.66666666666686</v>
      </c>
      <c r="BF17" s="5">
        <v>1</v>
      </c>
      <c r="BG17" s="90">
        <f t="shared" si="11"/>
        <v>374.66666666666686</v>
      </c>
      <c r="BH17" s="94">
        <f t="shared" si="12"/>
        <v>4052.0358721066668</v>
      </c>
      <c r="BI17" s="6">
        <v>120</v>
      </c>
      <c r="BJ17" s="95">
        <f t="shared" si="13"/>
        <v>4172.0358721066668</v>
      </c>
    </row>
    <row r="18" spans="1:62" ht="25.5" customHeight="1" x14ac:dyDescent="0.3">
      <c r="A18" s="125" t="s">
        <v>13</v>
      </c>
      <c r="B18" s="125">
        <v>24</v>
      </c>
      <c r="C18" s="86">
        <f t="shared" si="14"/>
        <v>7.1189999999999998</v>
      </c>
      <c r="D18" s="86">
        <f>4*7.119</f>
        <v>28.475999999999999</v>
      </c>
      <c r="E18" s="6">
        <f>IFERROR(SUMIFS('PU CAST'!$AI$10:$AI$150,'PU CAST'!$AA$10:$AA$150,"DS",'PU CAST'!$AK$10:$AK$150,$B18),0)</f>
        <v>332.20137400666658</v>
      </c>
      <c r="F18" s="85">
        <f t="shared" si="0"/>
        <v>1328.8054960266663</v>
      </c>
      <c r="G18" s="86">
        <f t="shared" si="15"/>
        <v>6.9050000000000002</v>
      </c>
      <c r="H18" s="86">
        <f>2*6.905</f>
        <v>13.81</v>
      </c>
      <c r="I18" s="6">
        <f>IFERROR(SUMIFS('PU CAST'!$AI$10:$AI$150,'PU CAST'!$AA$10:$AA$150,"DG",'PU CAST'!$AK$10:$AK$150,$B18),0)</f>
        <v>288.66386166666666</v>
      </c>
      <c r="J18" s="85">
        <f t="shared" si="1"/>
        <v>577.32772333333332</v>
      </c>
      <c r="K18" s="86">
        <f t="shared" si="16"/>
        <v>2.8170000000000002</v>
      </c>
      <c r="L18" s="86">
        <f>6*2.817</f>
        <v>16.902000000000001</v>
      </c>
      <c r="M18" s="6">
        <f>IFERROR(SUMIFS('PU CAST'!$AI$10:$AI$150,'PU CAST'!$AA$10:$AA$150,"DE",'PU CAST'!$AK$10:$AK$150,$B18),0)</f>
        <v>101.01838966666666</v>
      </c>
      <c r="N18" s="85">
        <f t="shared" si="2"/>
        <v>606.11033799999996</v>
      </c>
      <c r="O18" s="4" t="s">
        <v>853</v>
      </c>
      <c r="P18" s="4" t="s">
        <v>998</v>
      </c>
      <c r="Q18" s="5">
        <v>1</v>
      </c>
      <c r="R18" s="4" t="s">
        <v>960</v>
      </c>
      <c r="S18" s="84">
        <f>INDEX(PARÂMETROS!$B$83:$B$101,MATCH($B18,PARÂMETROS!$A$83:$A$101,0))</f>
        <v>609.9</v>
      </c>
      <c r="T18" s="4" t="s">
        <v>999</v>
      </c>
      <c r="U18" s="4" t="s">
        <v>997</v>
      </c>
      <c r="V18" s="5">
        <v>1</v>
      </c>
      <c r="W18" s="4" t="s">
        <v>963</v>
      </c>
      <c r="X18" s="68">
        <f>INDEX(PARÂMETROS!$C$83:$C$101,MATCH($B18,PARÂMETROS!$A$83:$A$101,0))</f>
        <v>155</v>
      </c>
      <c r="Y18" s="85">
        <f t="shared" si="3"/>
        <v>310</v>
      </c>
      <c r="Z18" s="86">
        <f t="shared" si="17"/>
        <v>2.8170000000000002</v>
      </c>
      <c r="AA18" s="86">
        <f>2*2.817</f>
        <v>5.6340000000000003</v>
      </c>
      <c r="AB18" s="6">
        <f>Z18*PARÂMETROS!$E$6</f>
        <v>112.48281</v>
      </c>
      <c r="AC18" s="85">
        <f t="shared" si="4"/>
        <v>224.96562</v>
      </c>
      <c r="AD18" s="4" t="s">
        <v>999</v>
      </c>
      <c r="AE18" s="4" t="s">
        <v>997</v>
      </c>
      <c r="AF18" s="5">
        <v>1</v>
      </c>
      <c r="AG18" s="4" t="s">
        <v>963</v>
      </c>
      <c r="AH18" s="68">
        <f>INDEX(PARÂMETROS!$D$83:$D$101,MATCH($B18,PARÂMETROS!$A$83:$A$101,0))</f>
        <v>155</v>
      </c>
      <c r="AI18" s="85">
        <f t="shared" si="5"/>
        <v>310</v>
      </c>
      <c r="AJ18" s="96" t="s">
        <v>964</v>
      </c>
      <c r="AK18" s="96" t="s">
        <v>1000</v>
      </c>
      <c r="AL18" s="88">
        <v>32</v>
      </c>
      <c r="AM18" s="97">
        <f>INDEX(PARÂMETROS!$E$83:$E$101,MATCH($B18,PARÂMETROS!$A$83:$A$101,0))</f>
        <v>14.5</v>
      </c>
      <c r="AN18" s="90">
        <f t="shared" si="18"/>
        <v>464</v>
      </c>
      <c r="AO18" s="98" t="s">
        <v>966</v>
      </c>
      <c r="AP18" s="98" t="s">
        <v>967</v>
      </c>
      <c r="AQ18" s="88">
        <v>32</v>
      </c>
      <c r="AR18" s="97">
        <f>INDEX(PARÂMETROS!$F$83:$F$101,MATCH($B18,PARÂMETROS!$A$83:$A$101,0))</f>
        <v>0.6</v>
      </c>
      <c r="AS18" s="90">
        <f t="shared" si="19"/>
        <v>19.2</v>
      </c>
      <c r="AT18" s="98" t="s">
        <v>968</v>
      </c>
      <c r="AU18" s="98" t="s">
        <v>967</v>
      </c>
      <c r="AV18" s="88">
        <v>32</v>
      </c>
      <c r="AW18" s="97">
        <f>INDEX(PARÂMETROS!$G$83:$G$101,MATCH($B18,PARÂMETROS!$A$83:$A$101,0))</f>
        <v>0.8</v>
      </c>
      <c r="AX18" s="90">
        <f t="shared" si="20"/>
        <v>25.6</v>
      </c>
      <c r="AY18" s="91">
        <f t="shared" si="6"/>
        <v>2512.2435573599996</v>
      </c>
      <c r="AZ18" s="91">
        <f t="shared" si="7"/>
        <v>1454.86562</v>
      </c>
      <c r="BA18" s="91">
        <f t="shared" si="8"/>
        <v>508.8</v>
      </c>
      <c r="BB18" s="92">
        <f t="shared" si="9"/>
        <v>4475.9091773599994</v>
      </c>
      <c r="BC18" s="6">
        <f>PARÂMETROS!$H$3</f>
        <v>40</v>
      </c>
      <c r="BD18" s="93">
        <v>0.390277777777778</v>
      </c>
      <c r="BE18" s="6">
        <f t="shared" si="10"/>
        <v>374.66666666666686</v>
      </c>
      <c r="BF18" s="5">
        <v>1</v>
      </c>
      <c r="BG18" s="90">
        <f t="shared" si="11"/>
        <v>374.66666666666686</v>
      </c>
      <c r="BH18" s="94">
        <f t="shared" si="12"/>
        <v>4850.5758440266663</v>
      </c>
      <c r="BI18" s="6">
        <v>120</v>
      </c>
      <c r="BJ18" s="95">
        <f t="shared" si="13"/>
        <v>4970.5758440266663</v>
      </c>
    </row>
    <row r="19" spans="1:62" ht="25.5" customHeight="1" x14ac:dyDescent="0.3">
      <c r="A19" s="125" t="s">
        <v>13</v>
      </c>
      <c r="B19" s="125">
        <v>26</v>
      </c>
      <c r="C19" s="86">
        <f t="shared" si="14"/>
        <v>8.6440000000000001</v>
      </c>
      <c r="D19" s="86">
        <f>4*8.644</f>
        <v>34.576000000000001</v>
      </c>
      <c r="E19" s="6">
        <f>IFERROR(SUMIFS('PU CAST'!$AI$10:$AI$150,'PU CAST'!$AA$10:$AA$150,"DS",'PU CAST'!$AK$10:$AK$150,$B19),0)</f>
        <v>396.58056050666664</v>
      </c>
      <c r="F19" s="85">
        <f t="shared" si="0"/>
        <v>1586.3222420266666</v>
      </c>
      <c r="G19" s="86">
        <f t="shared" si="15"/>
        <v>9.1579999999999995</v>
      </c>
      <c r="H19" s="86">
        <f>2*9.158</f>
        <v>18.315999999999999</v>
      </c>
      <c r="I19" s="6">
        <f>IFERROR(SUMIFS('PU CAST'!$AI$10:$AI$150,'PU CAST'!$AA$10:$AA$150,"DG",'PU CAST'!$AK$10:$AK$150,$B19),0)</f>
        <v>372.5182686666667</v>
      </c>
      <c r="J19" s="85">
        <f t="shared" si="1"/>
        <v>745.0365373333334</v>
      </c>
      <c r="K19" s="86">
        <f t="shared" si="16"/>
        <v>2.8170000000000002</v>
      </c>
      <c r="L19" s="86">
        <f>6*2.817</f>
        <v>16.902000000000001</v>
      </c>
      <c r="M19" s="6">
        <f>IFERROR(SUMIFS('PU CAST'!$AI$10:$AI$150,'PU CAST'!$AA$10:$AA$150,"DE",'PU CAST'!$AK$10:$AK$150,$B19),0)</f>
        <v>101.01838966666666</v>
      </c>
      <c r="N19" s="85">
        <f t="shared" si="2"/>
        <v>606.11033799999996</v>
      </c>
      <c r="O19" s="4" t="s">
        <v>853</v>
      </c>
      <c r="P19" s="4" t="s">
        <v>1001</v>
      </c>
      <c r="Q19" s="5">
        <v>1</v>
      </c>
      <c r="R19" s="4" t="s">
        <v>960</v>
      </c>
      <c r="S19" s="84">
        <f>INDEX(PARÂMETROS!$B$83:$B$101,MATCH($B19,PARÂMETROS!$A$83:$A$101,0))</f>
        <v>653.6</v>
      </c>
      <c r="T19" s="4" t="s">
        <v>1002</v>
      </c>
      <c r="U19" s="4" t="s">
        <v>1003</v>
      </c>
      <c r="V19" s="5">
        <v>1</v>
      </c>
      <c r="W19" s="4" t="s">
        <v>963</v>
      </c>
      <c r="X19" s="68">
        <f>INDEX(PARÂMETROS!$C$83:$C$101,MATCH($B19,PARÂMETROS!$A$83:$A$101,0))</f>
        <v>167</v>
      </c>
      <c r="Y19" s="85">
        <f t="shared" si="3"/>
        <v>334</v>
      </c>
      <c r="Z19" s="86">
        <f t="shared" si="17"/>
        <v>2.8170000000000002</v>
      </c>
      <c r="AA19" s="86">
        <f>2*2.817</f>
        <v>5.6340000000000003</v>
      </c>
      <c r="AB19" s="6">
        <f>Z19*PARÂMETROS!$E$6</f>
        <v>112.48281</v>
      </c>
      <c r="AC19" s="85">
        <f t="shared" si="4"/>
        <v>224.96562</v>
      </c>
      <c r="AD19" s="4" t="s">
        <v>1002</v>
      </c>
      <c r="AE19" s="4" t="s">
        <v>1003</v>
      </c>
      <c r="AF19" s="5">
        <v>1</v>
      </c>
      <c r="AG19" s="4" t="s">
        <v>963</v>
      </c>
      <c r="AH19" s="68">
        <f>INDEX(PARÂMETROS!$D$83:$D$101,MATCH($B19,PARÂMETROS!$A$83:$A$101,0))</f>
        <v>167</v>
      </c>
      <c r="AI19" s="85">
        <f t="shared" si="5"/>
        <v>334</v>
      </c>
      <c r="AJ19" s="96" t="s">
        <v>964</v>
      </c>
      <c r="AK19" s="96" t="s">
        <v>1000</v>
      </c>
      <c r="AL19" s="88">
        <v>32</v>
      </c>
      <c r="AM19" s="97">
        <f>INDEX(PARÂMETROS!$E$83:$E$101,MATCH($B19,PARÂMETROS!$A$83:$A$101,0))</f>
        <v>14.5</v>
      </c>
      <c r="AN19" s="90">
        <f t="shared" si="18"/>
        <v>464</v>
      </c>
      <c r="AO19" s="98" t="s">
        <v>966</v>
      </c>
      <c r="AP19" s="98" t="s">
        <v>967</v>
      </c>
      <c r="AQ19" s="88">
        <v>32</v>
      </c>
      <c r="AR19" s="97">
        <f>INDEX(PARÂMETROS!$F$83:$F$101,MATCH($B19,PARÂMETROS!$A$83:$A$101,0))</f>
        <v>0.6</v>
      </c>
      <c r="AS19" s="90">
        <f t="shared" si="19"/>
        <v>19.2</v>
      </c>
      <c r="AT19" s="98" t="s">
        <v>968</v>
      </c>
      <c r="AU19" s="98" t="s">
        <v>967</v>
      </c>
      <c r="AV19" s="88">
        <v>32</v>
      </c>
      <c r="AW19" s="97">
        <f>INDEX(PARÂMETROS!$G$83:$G$101,MATCH($B19,PARÂMETROS!$A$83:$A$101,0))</f>
        <v>0.8</v>
      </c>
      <c r="AX19" s="90">
        <f t="shared" si="20"/>
        <v>25.6</v>
      </c>
      <c r="AY19" s="91">
        <f t="shared" si="6"/>
        <v>2937.4691173599999</v>
      </c>
      <c r="AZ19" s="91">
        <f t="shared" si="7"/>
        <v>1546.5656200000001</v>
      </c>
      <c r="BA19" s="91">
        <f t="shared" si="8"/>
        <v>508.8</v>
      </c>
      <c r="BB19" s="92">
        <f t="shared" si="9"/>
        <v>4992.83473736</v>
      </c>
      <c r="BC19" s="6">
        <f>PARÂMETROS!$H$3</f>
        <v>40</v>
      </c>
      <c r="BD19" s="93">
        <v>0.390277777777778</v>
      </c>
      <c r="BE19" s="6">
        <f t="shared" si="10"/>
        <v>374.66666666666686</v>
      </c>
      <c r="BF19" s="5">
        <v>1</v>
      </c>
      <c r="BG19" s="90">
        <f t="shared" si="11"/>
        <v>374.66666666666686</v>
      </c>
      <c r="BH19" s="94">
        <f t="shared" si="12"/>
        <v>5367.5014040266669</v>
      </c>
      <c r="BI19" s="6">
        <v>120</v>
      </c>
      <c r="BJ19" s="95">
        <f t="shared" si="13"/>
        <v>5487.5014040266669</v>
      </c>
    </row>
    <row r="20" spans="1:62" ht="25.5" customHeight="1" x14ac:dyDescent="0.3">
      <c r="A20" s="125" t="s">
        <v>13</v>
      </c>
      <c r="B20" s="125">
        <v>28</v>
      </c>
      <c r="C20" s="86">
        <f t="shared" si="14"/>
        <v>9.9049999999999994</v>
      </c>
      <c r="D20" s="86">
        <f>4*9.905</f>
        <v>39.619999999999997</v>
      </c>
      <c r="E20" s="6">
        <f>IFERROR(SUMIFS('PU CAST'!$AI$10:$AI$150,'PU CAST'!$AA$10:$AA$150,"DS",'PU CAST'!$AK$10:$AK$150,$B20),0)</f>
        <v>449.81475996666666</v>
      </c>
      <c r="F20" s="85">
        <f t="shared" si="0"/>
        <v>1799.2590398666666</v>
      </c>
      <c r="G20" s="86">
        <f t="shared" si="15"/>
        <v>12.269</v>
      </c>
      <c r="H20" s="86">
        <f>2*12.269</f>
        <v>24.538</v>
      </c>
      <c r="I20" s="6">
        <f>IFERROR(SUMIFS('PU CAST'!$AI$10:$AI$150,'PU CAST'!$AA$10:$AA$150,"DG",'PU CAST'!$AK$10:$AK$150,$B20),0)</f>
        <v>488.30657766666673</v>
      </c>
      <c r="J20" s="85">
        <f t="shared" si="1"/>
        <v>976.61315533333345</v>
      </c>
      <c r="K20" s="86">
        <f t="shared" si="16"/>
        <v>3.28</v>
      </c>
      <c r="L20" s="86">
        <f>6*3.28</f>
        <v>19.68</v>
      </c>
      <c r="M20" s="6">
        <f>IFERROR(SUMIFS('PU CAST'!$AI$10:$AI$150,'PU CAST'!$AA$10:$AA$150,"DE",'PU CAST'!$AK$10:$AK$150,$B20),0)</f>
        <v>112.41698666666665</v>
      </c>
      <c r="N20" s="85">
        <f t="shared" si="2"/>
        <v>674.50191999999993</v>
      </c>
      <c r="O20" s="4" t="s">
        <v>854</v>
      </c>
      <c r="P20" s="4" t="s">
        <v>1004</v>
      </c>
      <c r="Q20" s="5">
        <v>1</v>
      </c>
      <c r="R20" s="4" t="s">
        <v>960</v>
      </c>
      <c r="S20" s="84">
        <f>INDEX(PARÂMETROS!$B$83:$B$101,MATCH($B20,PARÂMETROS!$A$83:$A$101,0))</f>
        <v>1820</v>
      </c>
      <c r="T20" s="4" t="s">
        <v>1005</v>
      </c>
      <c r="U20" s="4" t="s">
        <v>1006</v>
      </c>
      <c r="V20" s="5">
        <v>1</v>
      </c>
      <c r="W20" s="4" t="s">
        <v>963</v>
      </c>
      <c r="X20" s="68">
        <f>INDEX(PARÂMETROS!$C$83:$C$101,MATCH($B20,PARÂMETROS!$A$83:$A$101,0))</f>
        <v>174</v>
      </c>
      <c r="Y20" s="85">
        <f t="shared" si="3"/>
        <v>348</v>
      </c>
      <c r="Z20" s="86">
        <f t="shared" si="17"/>
        <v>3.28</v>
      </c>
      <c r="AA20" s="86">
        <f>2*3.28</f>
        <v>6.56</v>
      </c>
      <c r="AB20" s="6">
        <f>Z20*PARÂMETROS!$E$6</f>
        <v>130.97039999999998</v>
      </c>
      <c r="AC20" s="85">
        <f t="shared" si="4"/>
        <v>261.94079999999997</v>
      </c>
      <c r="AD20" s="4" t="s">
        <v>1005</v>
      </c>
      <c r="AE20" s="4" t="s">
        <v>1006</v>
      </c>
      <c r="AF20" s="5">
        <v>1</v>
      </c>
      <c r="AG20" s="4" t="s">
        <v>963</v>
      </c>
      <c r="AH20" s="68">
        <f>INDEX(PARÂMETROS!$D$83:$D$101,MATCH($B20,PARÂMETROS!$A$83:$A$101,0))</f>
        <v>174</v>
      </c>
      <c r="AI20" s="85">
        <f t="shared" si="5"/>
        <v>348</v>
      </c>
      <c r="AJ20" s="96" t="s">
        <v>964</v>
      </c>
      <c r="AK20" s="96" t="s">
        <v>1007</v>
      </c>
      <c r="AL20" s="88">
        <v>32</v>
      </c>
      <c r="AM20" s="97">
        <f>INDEX(PARÂMETROS!$E$83:$E$101,MATCH($B20,PARÂMETROS!$A$83:$A$101,0))</f>
        <v>16.5</v>
      </c>
      <c r="AN20" s="90">
        <f t="shared" si="18"/>
        <v>528</v>
      </c>
      <c r="AO20" s="98" t="s">
        <v>966</v>
      </c>
      <c r="AP20" s="98" t="s">
        <v>967</v>
      </c>
      <c r="AQ20" s="88">
        <v>32</v>
      </c>
      <c r="AR20" s="97">
        <f>INDEX(PARÂMETROS!$F$83:$F$101,MATCH($B20,PARÂMETROS!$A$83:$A$101,0))</f>
        <v>0.6</v>
      </c>
      <c r="AS20" s="90">
        <f t="shared" si="19"/>
        <v>19.2</v>
      </c>
      <c r="AT20" s="98" t="s">
        <v>968</v>
      </c>
      <c r="AU20" s="98" t="s">
        <v>967</v>
      </c>
      <c r="AV20" s="88">
        <v>32</v>
      </c>
      <c r="AW20" s="97">
        <f>INDEX(PARÂMETROS!$G$83:$G$101,MATCH($B20,PARÂMETROS!$A$83:$A$101,0))</f>
        <v>0.8</v>
      </c>
      <c r="AX20" s="90">
        <f t="shared" si="20"/>
        <v>25.6</v>
      </c>
      <c r="AY20" s="91">
        <f t="shared" si="6"/>
        <v>3450.3741152000002</v>
      </c>
      <c r="AZ20" s="91">
        <f t="shared" si="7"/>
        <v>2777.9407999999999</v>
      </c>
      <c r="BA20" s="91">
        <f t="shared" si="8"/>
        <v>572.80000000000007</v>
      </c>
      <c r="BB20" s="92">
        <f t="shared" si="9"/>
        <v>6801.1149152000007</v>
      </c>
      <c r="BC20" s="6">
        <f>PARÂMETROS!$H$3</f>
        <v>40</v>
      </c>
      <c r="BD20" s="93">
        <v>0.390277777777778</v>
      </c>
      <c r="BE20" s="6">
        <f t="shared" si="10"/>
        <v>374.66666666666686</v>
      </c>
      <c r="BF20" s="5">
        <v>1</v>
      </c>
      <c r="BG20" s="90">
        <f t="shared" si="11"/>
        <v>374.66666666666686</v>
      </c>
      <c r="BH20" s="94">
        <f t="shared" si="12"/>
        <v>7175.7815818666677</v>
      </c>
      <c r="BI20" s="6">
        <v>120</v>
      </c>
      <c r="BJ20" s="95">
        <f t="shared" si="13"/>
        <v>7295.7815818666677</v>
      </c>
    </row>
    <row r="21" spans="1:62" ht="25.5" customHeight="1" x14ac:dyDescent="0.3">
      <c r="A21" s="125" t="s">
        <v>13</v>
      </c>
      <c r="B21" s="125">
        <v>30</v>
      </c>
      <c r="C21" s="86">
        <f t="shared" si="14"/>
        <v>11.708</v>
      </c>
      <c r="D21" s="86">
        <f>4*11.708</f>
        <v>46.832000000000001</v>
      </c>
      <c r="E21" s="6">
        <f>IFERROR(SUMIFS('PU CAST'!$AI$10:$AI$150,'PU CAST'!$AA$10:$AA$150,"DS",'PU CAST'!$AK$10:$AK$150,$B21),0)</f>
        <v>557.59662221333338</v>
      </c>
      <c r="F21" s="85">
        <f t="shared" si="0"/>
        <v>2230.3864888533335</v>
      </c>
      <c r="G21" s="86">
        <f t="shared" si="15"/>
        <v>14.584</v>
      </c>
      <c r="H21" s="86">
        <f>2*14.584</f>
        <v>29.167999999999999</v>
      </c>
      <c r="I21" s="6">
        <f>IFERROR(SUMIFS('PU CAST'!$AI$10:$AI$150,'PU CAST'!$AA$10:$AA$150,"DG",'PU CAST'!$AK$10:$AK$150,$B21),0)</f>
        <v>606.13522933333343</v>
      </c>
      <c r="J21" s="85">
        <f t="shared" si="1"/>
        <v>1212.2704586666669</v>
      </c>
      <c r="K21" s="86">
        <f t="shared" si="16"/>
        <v>3.28</v>
      </c>
      <c r="L21" s="86">
        <f>6*3.28</f>
        <v>19.68</v>
      </c>
      <c r="M21" s="6">
        <f>IFERROR(SUMIFS('PU CAST'!$AI$10:$AI$150,'PU CAST'!$AA$10:$AA$150,"DE",'PU CAST'!$AK$10:$AK$150,$B21),0)</f>
        <v>144.0836533333333</v>
      </c>
      <c r="N21" s="85">
        <f t="shared" si="2"/>
        <v>864.50191999999981</v>
      </c>
      <c r="O21" s="4" t="s">
        <v>854</v>
      </c>
      <c r="P21" s="4" t="s">
        <v>1008</v>
      </c>
      <c r="Q21" s="5">
        <v>1</v>
      </c>
      <c r="R21" s="4" t="s">
        <v>960</v>
      </c>
      <c r="S21" s="84">
        <f>INDEX(PARÂMETROS!$B$83:$B$101,MATCH($B21,PARÂMETROS!$A$83:$A$101,0))</f>
        <v>1925</v>
      </c>
      <c r="T21" s="4" t="s">
        <v>1009</v>
      </c>
      <c r="U21" s="4" t="s">
        <v>1006</v>
      </c>
      <c r="V21" s="5">
        <v>1</v>
      </c>
      <c r="W21" s="4" t="s">
        <v>963</v>
      </c>
      <c r="X21" s="68">
        <f>INDEX(PARÂMETROS!$C$83:$C$101,MATCH($B21,PARÂMETROS!$A$83:$A$101,0))</f>
        <v>174</v>
      </c>
      <c r="Y21" s="85">
        <f t="shared" si="3"/>
        <v>348</v>
      </c>
      <c r="Z21" s="86">
        <f t="shared" si="17"/>
        <v>3.28</v>
      </c>
      <c r="AA21" s="86">
        <f>2*3.28</f>
        <v>6.56</v>
      </c>
      <c r="AB21" s="6">
        <f>Z21*PARÂMETROS!$E$6</f>
        <v>130.97039999999998</v>
      </c>
      <c r="AC21" s="85">
        <f t="shared" si="4"/>
        <v>261.94079999999997</v>
      </c>
      <c r="AD21" s="4" t="s">
        <v>1009</v>
      </c>
      <c r="AE21" s="4" t="s">
        <v>1006</v>
      </c>
      <c r="AF21" s="5">
        <v>1</v>
      </c>
      <c r="AG21" s="4" t="s">
        <v>963</v>
      </c>
      <c r="AH21" s="68">
        <f>INDEX(PARÂMETROS!$D$83:$D$101,MATCH($B21,PARÂMETROS!$A$83:$A$101,0))</f>
        <v>174</v>
      </c>
      <c r="AI21" s="85">
        <f t="shared" si="5"/>
        <v>348</v>
      </c>
      <c r="AJ21" s="96" t="s">
        <v>964</v>
      </c>
      <c r="AK21" s="96" t="s">
        <v>1007</v>
      </c>
      <c r="AL21" s="88">
        <v>32</v>
      </c>
      <c r="AM21" s="97">
        <f>INDEX(PARÂMETROS!$E$83:$E$101,MATCH($B21,PARÂMETROS!$A$83:$A$101,0))</f>
        <v>16.5</v>
      </c>
      <c r="AN21" s="90">
        <f t="shared" si="18"/>
        <v>528</v>
      </c>
      <c r="AO21" s="98" t="s">
        <v>966</v>
      </c>
      <c r="AP21" s="98" t="s">
        <v>967</v>
      </c>
      <c r="AQ21" s="88">
        <v>32</v>
      </c>
      <c r="AR21" s="97">
        <f>INDEX(PARÂMETROS!$F$83:$F$101,MATCH($B21,PARÂMETROS!$A$83:$A$101,0))</f>
        <v>0.6</v>
      </c>
      <c r="AS21" s="90">
        <f t="shared" si="19"/>
        <v>19.2</v>
      </c>
      <c r="AT21" s="98" t="s">
        <v>968</v>
      </c>
      <c r="AU21" s="98" t="s">
        <v>967</v>
      </c>
      <c r="AV21" s="88">
        <v>32</v>
      </c>
      <c r="AW21" s="97">
        <f>INDEX(PARÂMETROS!$G$83:$G$101,MATCH($B21,PARÂMETROS!$A$83:$A$101,0))</f>
        <v>0.8</v>
      </c>
      <c r="AX21" s="90">
        <f t="shared" si="20"/>
        <v>25.6</v>
      </c>
      <c r="AY21" s="91">
        <f t="shared" si="6"/>
        <v>4307.1588675200001</v>
      </c>
      <c r="AZ21" s="91">
        <f t="shared" si="7"/>
        <v>2882.9407999999999</v>
      </c>
      <c r="BA21" s="91">
        <f t="shared" si="8"/>
        <v>572.80000000000007</v>
      </c>
      <c r="BB21" s="92">
        <f t="shared" si="9"/>
        <v>7762.8996675200005</v>
      </c>
      <c r="BC21" s="6">
        <f>PARÂMETROS!$H$3</f>
        <v>40</v>
      </c>
      <c r="BD21" s="93">
        <v>0.390277777777778</v>
      </c>
      <c r="BE21" s="6">
        <f t="shared" si="10"/>
        <v>374.66666666666686</v>
      </c>
      <c r="BF21" s="5">
        <v>1</v>
      </c>
      <c r="BG21" s="90">
        <f t="shared" si="11"/>
        <v>374.66666666666686</v>
      </c>
      <c r="BH21" s="94">
        <f t="shared" si="12"/>
        <v>8137.5663341866675</v>
      </c>
      <c r="BI21" s="6">
        <v>120</v>
      </c>
      <c r="BJ21" s="95">
        <f t="shared" si="13"/>
        <v>8257.5663341866675</v>
      </c>
    </row>
    <row r="22" spans="1:62" ht="25.5" customHeight="1" x14ac:dyDescent="0.3">
      <c r="A22" s="125" t="s">
        <v>13</v>
      </c>
      <c r="B22" s="125">
        <v>32</v>
      </c>
      <c r="C22" s="86">
        <f t="shared" si="14"/>
        <v>11.795</v>
      </c>
      <c r="D22" s="86">
        <f>4*11.795</f>
        <v>47.18</v>
      </c>
      <c r="E22" s="6">
        <f>IFERROR(SUMIFS('PU CAST'!$AI$10:$AI$150,'PU CAST'!$AA$10:$AA$150,"DS",'PU CAST'!$AK$10:$AK$150,$B22),0)</f>
        <v>624.60273536666625</v>
      </c>
      <c r="F22" s="85">
        <f t="shared" si="0"/>
        <v>2498.410941466665</v>
      </c>
      <c r="G22" s="86">
        <f t="shared" si="15"/>
        <v>13.853999999999999</v>
      </c>
      <c r="H22" s="86">
        <f>2*13.854</f>
        <v>27.707999999999998</v>
      </c>
      <c r="I22" s="6">
        <f>IFERROR(SUMIFS('PU CAST'!$AI$10:$AI$150,'PU CAST'!$AA$10:$AA$150,"DG",'PU CAST'!$AK$10:$AK$150,$B22),0)</f>
        <v>642.29869266666628</v>
      </c>
      <c r="J22" s="85">
        <f t="shared" si="1"/>
        <v>1284.5973853333326</v>
      </c>
      <c r="K22" s="86">
        <f t="shared" si="16"/>
        <v>4.7450000000000001</v>
      </c>
      <c r="L22" s="86">
        <f>6*4.745</f>
        <v>28.47</v>
      </c>
      <c r="M22" s="6">
        <f>IFERROR(SUMIFS('PU CAST'!$AI$10:$AI$150,'PU CAST'!$AA$10:$AA$150,"DE",'PU CAST'!$AK$10:$AK$150,$B22),0)</f>
        <v>239.93748833333333</v>
      </c>
      <c r="N22" s="85">
        <f t="shared" si="2"/>
        <v>1439.6249299999999</v>
      </c>
      <c r="O22" s="4" t="s">
        <v>854</v>
      </c>
      <c r="P22" s="4" t="s">
        <v>1010</v>
      </c>
      <c r="Q22" s="5">
        <v>1</v>
      </c>
      <c r="R22" s="4" t="s">
        <v>960</v>
      </c>
      <c r="S22" s="84">
        <f>INDEX(PARÂMETROS!$B$83:$B$101,MATCH($B22,PARÂMETROS!$A$83:$A$101,0))</f>
        <v>2030</v>
      </c>
      <c r="T22" s="4" t="s">
        <v>1011</v>
      </c>
      <c r="U22" s="4" t="s">
        <v>1012</v>
      </c>
      <c r="V22" s="5">
        <v>1</v>
      </c>
      <c r="W22" s="4" t="s">
        <v>963</v>
      </c>
      <c r="X22" s="68">
        <f>INDEX(PARÂMETROS!$C$83:$C$101,MATCH($B22,PARÂMETROS!$A$83:$A$101,0))</f>
        <v>268</v>
      </c>
      <c r="Y22" s="85">
        <f t="shared" si="3"/>
        <v>536</v>
      </c>
      <c r="Z22" s="86">
        <f t="shared" si="17"/>
        <v>4.7450000000000001</v>
      </c>
      <c r="AA22" s="86">
        <f>2*4.745</f>
        <v>9.49</v>
      </c>
      <c r="AB22" s="6">
        <f>Z22*PARÂMETROS!$E$6</f>
        <v>189.46785</v>
      </c>
      <c r="AC22" s="85">
        <f t="shared" si="4"/>
        <v>378.9357</v>
      </c>
      <c r="AD22" s="4" t="s">
        <v>1011</v>
      </c>
      <c r="AE22" s="4" t="s">
        <v>1012</v>
      </c>
      <c r="AF22" s="5">
        <v>1</v>
      </c>
      <c r="AG22" s="4" t="s">
        <v>963</v>
      </c>
      <c r="AH22" s="68">
        <f>INDEX(PARÂMETROS!$D$83:$D$101,MATCH($B22,PARÂMETROS!$A$83:$A$101,0))</f>
        <v>268</v>
      </c>
      <c r="AI22" s="85">
        <f t="shared" si="5"/>
        <v>536</v>
      </c>
      <c r="AJ22" s="96" t="s">
        <v>964</v>
      </c>
      <c r="AK22" s="96" t="s">
        <v>1013</v>
      </c>
      <c r="AL22" s="88">
        <v>32</v>
      </c>
      <c r="AM22" s="97">
        <f>INDEX(PARÂMETROS!$E$83:$E$101,MATCH($B22,PARÂMETROS!$A$83:$A$101,0))</f>
        <v>17.5</v>
      </c>
      <c r="AN22" s="90">
        <f t="shared" si="18"/>
        <v>560</v>
      </c>
      <c r="AO22" s="98" t="s">
        <v>966</v>
      </c>
      <c r="AP22" s="98" t="s">
        <v>967</v>
      </c>
      <c r="AQ22" s="88">
        <v>32</v>
      </c>
      <c r="AR22" s="97">
        <f>INDEX(PARÂMETROS!$F$83:$F$101,MATCH($B22,PARÂMETROS!$A$83:$A$101,0))</f>
        <v>0.6</v>
      </c>
      <c r="AS22" s="90">
        <f t="shared" si="19"/>
        <v>19.2</v>
      </c>
      <c r="AT22" s="98" t="s">
        <v>968</v>
      </c>
      <c r="AU22" s="98" t="s">
        <v>967</v>
      </c>
      <c r="AV22" s="88">
        <v>32</v>
      </c>
      <c r="AW22" s="97">
        <f>INDEX(PARÂMETROS!$G$83:$G$101,MATCH($B22,PARÂMETROS!$A$83:$A$101,0))</f>
        <v>0.8</v>
      </c>
      <c r="AX22" s="90">
        <f t="shared" si="20"/>
        <v>25.6</v>
      </c>
      <c r="AY22" s="91">
        <f t="shared" si="6"/>
        <v>5222.633256799998</v>
      </c>
      <c r="AZ22" s="91">
        <f t="shared" si="7"/>
        <v>3480.9357</v>
      </c>
      <c r="BA22" s="91">
        <f t="shared" si="8"/>
        <v>604.80000000000007</v>
      </c>
      <c r="BB22" s="92">
        <f t="shared" si="9"/>
        <v>9308.3689567999972</v>
      </c>
      <c r="BC22" s="6">
        <f>PARÂMETROS!$H$3</f>
        <v>40</v>
      </c>
      <c r="BD22" s="93">
        <v>0.390277777777778</v>
      </c>
      <c r="BE22" s="6">
        <f t="shared" si="10"/>
        <v>374.66666666666686</v>
      </c>
      <c r="BF22" s="5">
        <v>1</v>
      </c>
      <c r="BG22" s="90">
        <f t="shared" si="11"/>
        <v>374.66666666666686</v>
      </c>
      <c r="BH22" s="94">
        <f t="shared" si="12"/>
        <v>9683.0356234666633</v>
      </c>
      <c r="BI22" s="6">
        <v>120</v>
      </c>
      <c r="BJ22" s="95">
        <f t="shared" si="13"/>
        <v>9803.0356234666633</v>
      </c>
    </row>
    <row r="23" spans="1:62" ht="25.5" customHeight="1" x14ac:dyDescent="0.3">
      <c r="A23" s="125" t="s">
        <v>13</v>
      </c>
      <c r="B23" s="125">
        <v>34</v>
      </c>
      <c r="C23" s="86">
        <f t="shared" si="14"/>
        <v>13.847</v>
      </c>
      <c r="D23" s="86">
        <f>4*13.847</f>
        <v>55.387999999999998</v>
      </c>
      <c r="E23" s="6">
        <f>IFERROR(SUMIFS('PU CAST'!$AI$10:$AI$150,'PU CAST'!$AA$10:$AA$150,"DS",'PU CAST'!$AK$10:$AK$150,$B23),0)</f>
        <v>711.22968008666612</v>
      </c>
      <c r="F23" s="85">
        <f t="shared" si="0"/>
        <v>2844.9187203466645</v>
      </c>
      <c r="G23" s="86">
        <f t="shared" si="15"/>
        <v>16.446999999999999</v>
      </c>
      <c r="H23" s="86">
        <f>2*16.447</f>
        <v>32.893999999999998</v>
      </c>
      <c r="I23" s="6">
        <f>IFERROR(SUMIFS('PU CAST'!$AI$10:$AI$150,'PU CAST'!$AA$10:$AA$150,"DG",'PU CAST'!$AK$10:$AK$150,$B23),0)</f>
        <v>738.80755966666629</v>
      </c>
      <c r="J23" s="85">
        <f t="shared" si="1"/>
        <v>1477.6151193333326</v>
      </c>
      <c r="K23" s="86">
        <f t="shared" si="16"/>
        <v>4.7450000000000001</v>
      </c>
      <c r="L23" s="86">
        <f>6*4.745</f>
        <v>28.47</v>
      </c>
      <c r="M23" s="6">
        <f>IFERROR(SUMIFS('PU CAST'!$AI$10:$AI$150,'PU CAST'!$AA$10:$AA$150,"DE",'PU CAST'!$AK$10:$AK$150,$B23),0)</f>
        <v>239.93748833333333</v>
      </c>
      <c r="N23" s="85">
        <f t="shared" si="2"/>
        <v>1439.6249299999999</v>
      </c>
      <c r="O23" s="4" t="s">
        <v>854</v>
      </c>
      <c r="P23" s="4" t="s">
        <v>1014</v>
      </c>
      <c r="Q23" s="5">
        <v>1</v>
      </c>
      <c r="R23" s="4" t="s">
        <v>960</v>
      </c>
      <c r="S23" s="84">
        <f>INDEX(PARÂMETROS!$B$83:$B$101,MATCH($B23,PARÂMETROS!$A$83:$A$101,0))</f>
        <v>2135</v>
      </c>
      <c r="T23" s="4" t="s">
        <v>1015</v>
      </c>
      <c r="U23" s="4" t="s">
        <v>1012</v>
      </c>
      <c r="V23" s="5">
        <v>1</v>
      </c>
      <c r="W23" s="4" t="s">
        <v>963</v>
      </c>
      <c r="X23" s="68">
        <f>INDEX(PARÂMETROS!$C$83:$C$101,MATCH($B23,PARÂMETROS!$A$83:$A$101,0))</f>
        <v>268</v>
      </c>
      <c r="Y23" s="85">
        <f t="shared" si="3"/>
        <v>536</v>
      </c>
      <c r="Z23" s="86">
        <f t="shared" si="17"/>
        <v>4.7450000000000001</v>
      </c>
      <c r="AA23" s="86">
        <f>2*4.745</f>
        <v>9.49</v>
      </c>
      <c r="AB23" s="6">
        <f>Z23*PARÂMETROS!$E$6</f>
        <v>189.46785</v>
      </c>
      <c r="AC23" s="85">
        <f t="shared" si="4"/>
        <v>378.9357</v>
      </c>
      <c r="AD23" s="4" t="s">
        <v>1015</v>
      </c>
      <c r="AE23" s="4" t="s">
        <v>1012</v>
      </c>
      <c r="AF23" s="5">
        <v>1</v>
      </c>
      <c r="AG23" s="4" t="s">
        <v>963</v>
      </c>
      <c r="AH23" s="68">
        <f>INDEX(PARÂMETROS!$D$83:$D$101,MATCH($B23,PARÂMETROS!$A$83:$A$101,0))</f>
        <v>268</v>
      </c>
      <c r="AI23" s="85">
        <f t="shared" si="5"/>
        <v>536</v>
      </c>
      <c r="AJ23" s="96" t="s">
        <v>964</v>
      </c>
      <c r="AK23" s="96" t="s">
        <v>1013</v>
      </c>
      <c r="AL23" s="88">
        <v>32</v>
      </c>
      <c r="AM23" s="97">
        <f>INDEX(PARÂMETROS!$E$83:$E$101,MATCH($B23,PARÂMETROS!$A$83:$A$101,0))</f>
        <v>17.5</v>
      </c>
      <c r="AN23" s="90">
        <f t="shared" si="18"/>
        <v>560</v>
      </c>
      <c r="AO23" s="98" t="s">
        <v>966</v>
      </c>
      <c r="AP23" s="98" t="s">
        <v>967</v>
      </c>
      <c r="AQ23" s="88">
        <v>32</v>
      </c>
      <c r="AR23" s="97">
        <f>INDEX(PARÂMETROS!$F$83:$F$101,MATCH($B23,PARÂMETROS!$A$83:$A$101,0))</f>
        <v>0.6</v>
      </c>
      <c r="AS23" s="90">
        <f t="shared" si="19"/>
        <v>19.2</v>
      </c>
      <c r="AT23" s="98" t="s">
        <v>968</v>
      </c>
      <c r="AU23" s="98" t="s">
        <v>967</v>
      </c>
      <c r="AV23" s="88">
        <v>32</v>
      </c>
      <c r="AW23" s="97">
        <f>INDEX(PARÂMETROS!$G$83:$G$101,MATCH($B23,PARÂMETROS!$A$83:$A$101,0))</f>
        <v>0.8</v>
      </c>
      <c r="AX23" s="90">
        <f t="shared" si="20"/>
        <v>25.6</v>
      </c>
      <c r="AY23" s="91">
        <f t="shared" si="6"/>
        <v>5762.158769679997</v>
      </c>
      <c r="AZ23" s="91">
        <f t="shared" si="7"/>
        <v>3585.9357</v>
      </c>
      <c r="BA23" s="91">
        <f t="shared" si="8"/>
        <v>604.80000000000007</v>
      </c>
      <c r="BB23" s="92">
        <f t="shared" si="9"/>
        <v>9952.8944696799954</v>
      </c>
      <c r="BC23" s="6">
        <f>PARÂMETROS!$H$3</f>
        <v>40</v>
      </c>
      <c r="BD23" s="93">
        <v>0.390277777777778</v>
      </c>
      <c r="BE23" s="6">
        <f t="shared" si="10"/>
        <v>374.66666666666686</v>
      </c>
      <c r="BF23" s="5">
        <v>1</v>
      </c>
      <c r="BG23" s="90">
        <f t="shared" si="11"/>
        <v>374.66666666666686</v>
      </c>
      <c r="BH23" s="94">
        <f t="shared" si="12"/>
        <v>10327.561136346661</v>
      </c>
      <c r="BI23" s="6">
        <v>120</v>
      </c>
      <c r="BJ23" s="95">
        <f t="shared" si="13"/>
        <v>10447.561136346661</v>
      </c>
    </row>
    <row r="24" spans="1:62" ht="25.5" customHeight="1" x14ac:dyDescent="0.3">
      <c r="A24" s="125" t="s">
        <v>13</v>
      </c>
      <c r="B24" s="125">
        <v>36</v>
      </c>
      <c r="C24" s="86">
        <f t="shared" si="14"/>
        <v>19.338999999999999</v>
      </c>
      <c r="D24" s="86">
        <f>4*19.339</f>
        <v>77.355999999999995</v>
      </c>
      <c r="E24" s="6">
        <f>IFERROR(SUMIFS('PU CAST'!$AI$10:$AI$150,'PU CAST'!$AA$10:$AA$150,"DS",'PU CAST'!$AK$10:$AK$150,$B24),0)</f>
        <v>943.07918320666613</v>
      </c>
      <c r="F24" s="85">
        <f t="shared" si="0"/>
        <v>3772.3167328266645</v>
      </c>
      <c r="G24" s="86">
        <f t="shared" si="15"/>
        <v>18.321999999999999</v>
      </c>
      <c r="H24" s="86">
        <f>2*18.322</f>
        <v>36.643999999999998</v>
      </c>
      <c r="I24" s="6">
        <f>IFERROR(SUMIFS('PU CAST'!$AI$10:$AI$150,'PU CAST'!$AA$10:$AA$150,"DG",'PU CAST'!$AK$10:$AK$150,$B24),0)</f>
        <v>808.59318466666628</v>
      </c>
      <c r="J24" s="85">
        <f t="shared" si="1"/>
        <v>1617.1863693333326</v>
      </c>
      <c r="K24" s="86">
        <f t="shared" si="16"/>
        <v>10.167999999999999</v>
      </c>
      <c r="L24" s="86">
        <f>6*10.168</f>
        <v>61.007999999999996</v>
      </c>
      <c r="M24" s="6">
        <f>IFERROR(SUMIFS('PU CAST'!$AI$10:$AI$150,'PU CAST'!$AA$10:$AA$150,"DE",'PU CAST'!$AK$10:$AK$150,$B24),0)</f>
        <v>441.77612533333331</v>
      </c>
      <c r="N24" s="85">
        <f t="shared" si="2"/>
        <v>2650.6567519999999</v>
      </c>
      <c r="O24" s="4" t="s">
        <v>855</v>
      </c>
      <c r="P24" s="4" t="s">
        <v>1016</v>
      </c>
      <c r="Q24" s="5">
        <v>1</v>
      </c>
      <c r="R24" s="4" t="s">
        <v>1017</v>
      </c>
      <c r="S24" s="84">
        <f>INDEX(PARÂMETROS!$B$83:$B$101,MATCH($B24,PARÂMETROS!$A$83:$A$101,0))</f>
        <v>1256.52</v>
      </c>
      <c r="T24" s="4" t="s">
        <v>1018</v>
      </c>
      <c r="U24" s="4" t="s">
        <v>1019</v>
      </c>
      <c r="V24" s="5">
        <v>1</v>
      </c>
      <c r="W24" s="4" t="s">
        <v>963</v>
      </c>
      <c r="X24" s="68">
        <f>INDEX(PARÂMETROS!$C$83:$C$101,MATCH($B24,PARÂMETROS!$A$83:$A$101,0))</f>
        <v>460</v>
      </c>
      <c r="Y24" s="85">
        <f t="shared" si="3"/>
        <v>920</v>
      </c>
      <c r="Z24" s="86">
        <f t="shared" si="17"/>
        <v>10.167999999999999</v>
      </c>
      <c r="AA24" s="86">
        <f>2*10.168</f>
        <v>20.335999999999999</v>
      </c>
      <c r="AB24" s="6">
        <f>Z24*PARÂMETROS!$E$6</f>
        <v>406.00823999999994</v>
      </c>
      <c r="AC24" s="85">
        <f t="shared" si="4"/>
        <v>812.01647999999989</v>
      </c>
      <c r="AD24" s="4" t="s">
        <v>1018</v>
      </c>
      <c r="AE24" s="4" t="s">
        <v>1019</v>
      </c>
      <c r="AF24" s="5">
        <v>1</v>
      </c>
      <c r="AG24" s="4" t="s">
        <v>963</v>
      </c>
      <c r="AH24" s="68">
        <f>INDEX(PARÂMETROS!$D$83:$D$101,MATCH($B24,PARÂMETROS!$A$83:$A$101,0))</f>
        <v>460</v>
      </c>
      <c r="AI24" s="85">
        <f t="shared" si="5"/>
        <v>920</v>
      </c>
      <c r="AJ24" s="96" t="s">
        <v>964</v>
      </c>
      <c r="AK24" s="96" t="s">
        <v>1020</v>
      </c>
      <c r="AL24" s="88">
        <v>48</v>
      </c>
      <c r="AM24" s="97">
        <f>INDEX(PARÂMETROS!$E$83:$E$101,MATCH($B24,PARÂMETROS!$A$83:$A$101,0))</f>
        <v>20.5</v>
      </c>
      <c r="AN24" s="90">
        <f t="shared" si="18"/>
        <v>984</v>
      </c>
      <c r="AO24" s="98" t="s">
        <v>966</v>
      </c>
      <c r="AP24" s="98" t="s">
        <v>967</v>
      </c>
      <c r="AQ24" s="88">
        <v>48</v>
      </c>
      <c r="AR24" s="97">
        <f>INDEX(PARÂMETROS!$F$83:$F$101,MATCH($B24,PARÂMETROS!$A$83:$A$101,0))</f>
        <v>0.6</v>
      </c>
      <c r="AS24" s="90">
        <f t="shared" si="19"/>
        <v>28.799999999999997</v>
      </c>
      <c r="AT24" s="98" t="s">
        <v>968</v>
      </c>
      <c r="AU24" s="98" t="s">
        <v>967</v>
      </c>
      <c r="AV24" s="88">
        <v>48</v>
      </c>
      <c r="AW24" s="97">
        <f>INDEX(PARÂMETROS!$G$83:$G$101,MATCH($B24,PARÂMETROS!$A$83:$A$101,0))</f>
        <v>0.8</v>
      </c>
      <c r="AX24" s="90">
        <f t="shared" si="20"/>
        <v>38.400000000000006</v>
      </c>
      <c r="AY24" s="91">
        <f t="shared" si="6"/>
        <v>8040.1598541599969</v>
      </c>
      <c r="AZ24" s="91">
        <f t="shared" si="7"/>
        <v>3908.5364799999998</v>
      </c>
      <c r="BA24" s="91">
        <f t="shared" si="8"/>
        <v>1051.2</v>
      </c>
      <c r="BB24" s="92">
        <f t="shared" si="9"/>
        <v>12999.896334159997</v>
      </c>
      <c r="BC24" s="6">
        <f>PARÂMETROS!$H$3</f>
        <v>40</v>
      </c>
      <c r="BD24" s="93">
        <v>0.390277777777778</v>
      </c>
      <c r="BE24" s="6">
        <f t="shared" si="10"/>
        <v>374.66666666666686</v>
      </c>
      <c r="BF24" s="5">
        <v>1</v>
      </c>
      <c r="BG24" s="90">
        <f t="shared" si="11"/>
        <v>374.66666666666686</v>
      </c>
      <c r="BH24" s="94">
        <f t="shared" si="12"/>
        <v>13374.563000826663</v>
      </c>
      <c r="BI24" s="6">
        <v>120</v>
      </c>
      <c r="BJ24" s="95">
        <f t="shared" si="13"/>
        <v>13494.563000826663</v>
      </c>
    </row>
    <row r="25" spans="1:62" ht="25.5" customHeight="1" x14ac:dyDescent="0.3">
      <c r="A25" s="125" t="s">
        <v>13</v>
      </c>
      <c r="B25" s="125">
        <v>38</v>
      </c>
      <c r="C25" s="86">
        <f t="shared" si="14"/>
        <v>22.561</v>
      </c>
      <c r="D25" s="86">
        <f>4*22.561</f>
        <v>90.244</v>
      </c>
      <c r="E25" s="6">
        <f>IFERROR(SUMIFS('PU CAST'!$AI$10:$AI$150,'PU CAST'!$AA$10:$AA$150,"DS",'PU CAST'!$AK$10:$AK$150,$B25),0)</f>
        <v>1079.0986841266663</v>
      </c>
      <c r="F25" s="85">
        <f t="shared" si="0"/>
        <v>4316.3947365066651</v>
      </c>
      <c r="G25" s="86">
        <f t="shared" si="15"/>
        <v>23.099</v>
      </c>
      <c r="H25" s="86">
        <f>2*23.099</f>
        <v>46.198</v>
      </c>
      <c r="I25" s="6">
        <f>IFERROR(SUMIFS('PU CAST'!$AI$10:$AI$150,'PU CAST'!$AA$10:$AA$150,"DG",'PU CAST'!$AK$10:$AK$150,$B25),0)</f>
        <v>986.38834766666628</v>
      </c>
      <c r="J25" s="85">
        <f t="shared" si="1"/>
        <v>1972.7766953333326</v>
      </c>
      <c r="K25" s="86">
        <f t="shared" si="16"/>
        <v>10.167999999999999</v>
      </c>
      <c r="L25" s="86">
        <f>6*10.168</f>
        <v>61.007999999999996</v>
      </c>
      <c r="M25" s="6">
        <f>IFERROR(SUMIFS('PU CAST'!$AI$10:$AI$150,'PU CAST'!$AA$10:$AA$150,"DE",'PU CAST'!$AK$10:$AK$150,$B25),0)</f>
        <v>441.77612533333331</v>
      </c>
      <c r="N25" s="85">
        <f t="shared" si="2"/>
        <v>2650.6567519999999</v>
      </c>
      <c r="O25" s="4" t="s">
        <v>855</v>
      </c>
      <c r="P25" s="4" t="s">
        <v>1021</v>
      </c>
      <c r="Q25" s="5">
        <v>1</v>
      </c>
      <c r="R25" s="4" t="s">
        <v>1017</v>
      </c>
      <c r="S25" s="84">
        <f>INDEX(PARÂMETROS!$B$83:$B$101,MATCH($B25,PARÂMETROS!$A$83:$A$101,0))</f>
        <v>1315.72</v>
      </c>
      <c r="T25" s="4" t="s">
        <v>1022</v>
      </c>
      <c r="U25" s="4" t="s">
        <v>1019</v>
      </c>
      <c r="V25" s="5">
        <v>1</v>
      </c>
      <c r="W25" s="4" t="s">
        <v>963</v>
      </c>
      <c r="X25" s="68">
        <f>INDEX(PARÂMETROS!$C$83:$C$101,MATCH($B25,PARÂMETROS!$A$83:$A$101,0))</f>
        <v>460</v>
      </c>
      <c r="Y25" s="85">
        <f t="shared" si="3"/>
        <v>920</v>
      </c>
      <c r="Z25" s="86">
        <f t="shared" si="17"/>
        <v>10.167999999999999</v>
      </c>
      <c r="AA25" s="86">
        <f>2*10.168</f>
        <v>20.335999999999999</v>
      </c>
      <c r="AB25" s="6">
        <f>Z25*PARÂMETROS!$E$6</f>
        <v>406.00823999999994</v>
      </c>
      <c r="AC25" s="85">
        <f t="shared" si="4"/>
        <v>812.01647999999989</v>
      </c>
      <c r="AD25" s="4" t="s">
        <v>1022</v>
      </c>
      <c r="AE25" s="4" t="s">
        <v>1019</v>
      </c>
      <c r="AF25" s="5">
        <v>1</v>
      </c>
      <c r="AG25" s="4" t="s">
        <v>963</v>
      </c>
      <c r="AH25" s="68">
        <f>INDEX(PARÂMETROS!$D$83:$D$101,MATCH($B25,PARÂMETROS!$A$83:$A$101,0))</f>
        <v>460</v>
      </c>
      <c r="AI25" s="85">
        <f t="shared" si="5"/>
        <v>920</v>
      </c>
      <c r="AJ25" s="96" t="s">
        <v>964</v>
      </c>
      <c r="AK25" s="96" t="s">
        <v>1020</v>
      </c>
      <c r="AL25" s="88">
        <v>48</v>
      </c>
      <c r="AM25" s="97">
        <f>INDEX(PARÂMETROS!$E$83:$E$101,MATCH($B25,PARÂMETROS!$A$83:$A$101,0))</f>
        <v>20.5</v>
      </c>
      <c r="AN25" s="90">
        <f t="shared" si="18"/>
        <v>984</v>
      </c>
      <c r="AO25" s="98" t="s">
        <v>966</v>
      </c>
      <c r="AP25" s="98" t="s">
        <v>967</v>
      </c>
      <c r="AQ25" s="88">
        <v>48</v>
      </c>
      <c r="AR25" s="97">
        <f>INDEX(PARÂMETROS!$F$83:$F$101,MATCH($B25,PARÂMETROS!$A$83:$A$101,0))</f>
        <v>0.6</v>
      </c>
      <c r="AS25" s="90">
        <f t="shared" si="19"/>
        <v>28.799999999999997</v>
      </c>
      <c r="AT25" s="98" t="s">
        <v>968</v>
      </c>
      <c r="AU25" s="98" t="s">
        <v>967</v>
      </c>
      <c r="AV25" s="88">
        <v>48</v>
      </c>
      <c r="AW25" s="97">
        <f>INDEX(PARÂMETROS!$G$83:$G$101,MATCH($B25,PARÂMETROS!$A$83:$A$101,0))</f>
        <v>0.8</v>
      </c>
      <c r="AX25" s="90">
        <f t="shared" si="20"/>
        <v>38.400000000000006</v>
      </c>
      <c r="AY25" s="91">
        <f t="shared" si="6"/>
        <v>8939.8281838399962</v>
      </c>
      <c r="AZ25" s="91">
        <f t="shared" si="7"/>
        <v>3967.73648</v>
      </c>
      <c r="BA25" s="91">
        <f t="shared" si="8"/>
        <v>1051.2</v>
      </c>
      <c r="BB25" s="92">
        <f t="shared" si="9"/>
        <v>13958.764663839997</v>
      </c>
      <c r="BC25" s="6">
        <f>PARÂMETROS!$H$3</f>
        <v>40</v>
      </c>
      <c r="BD25" s="93">
        <v>0.390277777777778</v>
      </c>
      <c r="BE25" s="6">
        <f t="shared" si="10"/>
        <v>374.66666666666686</v>
      </c>
      <c r="BF25" s="5">
        <v>1</v>
      </c>
      <c r="BG25" s="90">
        <f t="shared" si="11"/>
        <v>374.66666666666686</v>
      </c>
      <c r="BH25" s="94">
        <f t="shared" si="12"/>
        <v>14333.431330506663</v>
      </c>
      <c r="BI25" s="6">
        <v>120</v>
      </c>
      <c r="BJ25" s="95">
        <f t="shared" si="13"/>
        <v>14453.431330506663</v>
      </c>
    </row>
    <row r="26" spans="1:62" ht="25.5" customHeight="1" x14ac:dyDescent="0.3">
      <c r="A26" s="125" t="s">
        <v>13</v>
      </c>
      <c r="B26" s="125">
        <v>40</v>
      </c>
      <c r="C26" s="86">
        <f t="shared" si="14"/>
        <v>24.158000000000001</v>
      </c>
      <c r="D26" s="86">
        <f>4*24.158</f>
        <v>96.632000000000005</v>
      </c>
      <c r="E26" s="6">
        <f>IFERROR(SUMIFS('PU CAST'!$AI$10:$AI$150,'PU CAST'!$AA$10:$AA$150,"DS",'PU CAST'!$AK$10:$AK$150,$B26),0)</f>
        <v>1146.5174125466663</v>
      </c>
      <c r="F26" s="85">
        <f t="shared" si="0"/>
        <v>4586.0696501866651</v>
      </c>
      <c r="G26" s="86">
        <f t="shared" si="15"/>
        <v>27.698</v>
      </c>
      <c r="H26" s="86">
        <f>2*27.698</f>
        <v>55.396000000000001</v>
      </c>
      <c r="I26" s="6">
        <f>IFERROR(SUMIFS('PU CAST'!$AI$10:$AI$150,'PU CAST'!$AA$10:$AA$150,"DG",'PU CAST'!$AK$10:$AK$150,$B26),0)</f>
        <v>1157.5585286666662</v>
      </c>
      <c r="J26" s="85">
        <f t="shared" si="1"/>
        <v>2315.1170573333325</v>
      </c>
      <c r="K26" s="86">
        <f t="shared" si="16"/>
        <v>12.360999999999999</v>
      </c>
      <c r="L26" s="86">
        <f>6*12.361</f>
        <v>74.165999999999997</v>
      </c>
      <c r="M26" s="6">
        <f>IFERROR(SUMIFS('PU CAST'!$AI$10:$AI$150,'PU CAST'!$AA$10:$AA$150,"DE",'PU CAST'!$AK$10:$AK$150,$B26),0)</f>
        <v>523.3973923333333</v>
      </c>
      <c r="N26" s="85">
        <f t="shared" si="2"/>
        <v>3140.3843539999998</v>
      </c>
      <c r="O26" s="4" t="s">
        <v>855</v>
      </c>
      <c r="P26" s="4" t="s">
        <v>1023</v>
      </c>
      <c r="Q26" s="5">
        <v>1</v>
      </c>
      <c r="R26" s="4" t="s">
        <v>1017</v>
      </c>
      <c r="S26" s="84">
        <f>INDEX(PARÂMETROS!$B$83:$B$101,MATCH($B26,PARÂMETROS!$A$83:$A$101,0))</f>
        <v>1385.28</v>
      </c>
      <c r="T26" s="4" t="s">
        <v>1024</v>
      </c>
      <c r="U26" s="4" t="s">
        <v>1025</v>
      </c>
      <c r="V26" s="5">
        <v>1</v>
      </c>
      <c r="W26" s="4" t="s">
        <v>963</v>
      </c>
      <c r="X26" s="68">
        <f>INDEX(PARÂMETROS!$C$83:$C$101,MATCH($B26,PARÂMETROS!$A$83:$A$101,0))</f>
        <v>508</v>
      </c>
      <c r="Y26" s="85">
        <f t="shared" si="3"/>
        <v>1016</v>
      </c>
      <c r="Z26" s="86">
        <f t="shared" si="17"/>
        <v>12.361000000000001</v>
      </c>
      <c r="AA26" s="86">
        <f>2*12.361</f>
        <v>24.722000000000001</v>
      </c>
      <c r="AB26" s="6">
        <f>Z26*PARÂMETROS!$E$6</f>
        <v>493.57473000000005</v>
      </c>
      <c r="AC26" s="85">
        <f t="shared" si="4"/>
        <v>987.14946000000009</v>
      </c>
      <c r="AD26" s="4" t="s">
        <v>1024</v>
      </c>
      <c r="AE26" s="4" t="s">
        <v>1025</v>
      </c>
      <c r="AF26" s="5">
        <v>1</v>
      </c>
      <c r="AG26" s="4" t="s">
        <v>963</v>
      </c>
      <c r="AH26" s="68">
        <f>INDEX(PARÂMETROS!$D$83:$D$101,MATCH($B26,PARÂMETROS!$A$83:$A$101,0))</f>
        <v>508</v>
      </c>
      <c r="AI26" s="85">
        <f t="shared" si="5"/>
        <v>1016</v>
      </c>
      <c r="AJ26" s="96" t="s">
        <v>964</v>
      </c>
      <c r="AK26" s="96" t="s">
        <v>1026</v>
      </c>
      <c r="AL26" s="88">
        <v>48</v>
      </c>
      <c r="AM26" s="97">
        <f>INDEX(PARÂMETROS!$E$83:$E$101,MATCH($B26,PARÂMETROS!$A$83:$A$101,0))</f>
        <v>22.5</v>
      </c>
      <c r="AN26" s="90">
        <f t="shared" si="18"/>
        <v>1080</v>
      </c>
      <c r="AO26" s="98" t="s">
        <v>966</v>
      </c>
      <c r="AP26" s="98" t="s">
        <v>967</v>
      </c>
      <c r="AQ26" s="88">
        <v>48</v>
      </c>
      <c r="AR26" s="97">
        <f>INDEX(PARÂMETROS!$F$83:$F$101,MATCH($B26,PARÂMETROS!$A$83:$A$101,0))</f>
        <v>0.6</v>
      </c>
      <c r="AS26" s="90">
        <f t="shared" si="19"/>
        <v>28.799999999999997</v>
      </c>
      <c r="AT26" s="98" t="s">
        <v>968</v>
      </c>
      <c r="AU26" s="98" t="s">
        <v>967</v>
      </c>
      <c r="AV26" s="88">
        <v>48</v>
      </c>
      <c r="AW26" s="97">
        <f>INDEX(PARÂMETROS!$G$83:$G$101,MATCH($B26,PARÂMETROS!$A$83:$A$101,0))</f>
        <v>0.8</v>
      </c>
      <c r="AX26" s="90">
        <f t="shared" si="20"/>
        <v>38.400000000000006</v>
      </c>
      <c r="AY26" s="91">
        <f t="shared" si="6"/>
        <v>10041.571061519997</v>
      </c>
      <c r="AZ26" s="91">
        <f t="shared" si="7"/>
        <v>4404.4294599999994</v>
      </c>
      <c r="BA26" s="91">
        <f t="shared" si="8"/>
        <v>1147.2</v>
      </c>
      <c r="BB26" s="92">
        <f t="shared" si="9"/>
        <v>15593.200521519997</v>
      </c>
      <c r="BC26" s="6">
        <f>PARÂMETROS!$H$3</f>
        <v>40</v>
      </c>
      <c r="BD26" s="93">
        <v>0.390277777777778</v>
      </c>
      <c r="BE26" s="6">
        <f t="shared" si="10"/>
        <v>374.66666666666686</v>
      </c>
      <c r="BF26" s="5">
        <v>1</v>
      </c>
      <c r="BG26" s="90">
        <f t="shared" si="11"/>
        <v>374.66666666666686</v>
      </c>
      <c r="BH26" s="94">
        <f t="shared" si="12"/>
        <v>15967.867188186663</v>
      </c>
      <c r="BI26" s="6">
        <v>120</v>
      </c>
      <c r="BJ26" s="95">
        <f t="shared" si="13"/>
        <v>16087.867188186663</v>
      </c>
    </row>
    <row r="27" spans="1:62" ht="25.5" customHeight="1" x14ac:dyDescent="0.3">
      <c r="A27" s="125" t="s">
        <v>13</v>
      </c>
      <c r="B27" s="125">
        <v>42</v>
      </c>
      <c r="C27" s="86">
        <f t="shared" si="14"/>
        <v>27.228999999999999</v>
      </c>
      <c r="D27" s="86">
        <f>4*27.229</f>
        <v>108.916</v>
      </c>
      <c r="E27" s="6">
        <f>IFERROR(SUMIFS('PU CAST'!$AI$10:$AI$150,'PU CAST'!$AA$10:$AA$150,"DS",'PU CAST'!$AK$10:$AK$150,$B27),0)</f>
        <v>1276.1623186066663</v>
      </c>
      <c r="F27" s="85">
        <f t="shared" si="0"/>
        <v>5104.6492744266652</v>
      </c>
      <c r="G27" s="86">
        <f t="shared" si="15"/>
        <v>36.265999999999998</v>
      </c>
      <c r="H27" s="86">
        <f>2*36.266</f>
        <v>72.531999999999996</v>
      </c>
      <c r="I27" s="6">
        <f>IFERROR(SUMIFS('PU CAST'!$AI$10:$AI$150,'PU CAST'!$AA$10:$AA$150,"DG",'PU CAST'!$AK$10:$AK$150,$B27),0)</f>
        <v>1476.4509206666662</v>
      </c>
      <c r="J27" s="85">
        <f t="shared" si="1"/>
        <v>2952.9018413333324</v>
      </c>
      <c r="K27" s="86">
        <f t="shared" si="16"/>
        <v>13.734999999999999</v>
      </c>
      <c r="L27" s="86">
        <f>6*13.735</f>
        <v>82.41</v>
      </c>
      <c r="M27" s="6">
        <f>IFERROR(SUMIFS('PU CAST'!$AI$10:$AI$150,'PU CAST'!$AA$10:$AA$150,"DE",'PU CAST'!$AK$10:$AK$150,$B27),0)</f>
        <v>574.53629833333332</v>
      </c>
      <c r="N27" s="85">
        <f t="shared" si="2"/>
        <v>3447.2177899999997</v>
      </c>
      <c r="O27" s="4" t="s">
        <v>855</v>
      </c>
      <c r="P27" s="4" t="s">
        <v>1027</v>
      </c>
      <c r="Q27" s="5">
        <v>1</v>
      </c>
      <c r="R27" s="4" t="s">
        <v>1017</v>
      </c>
      <c r="S27" s="84">
        <f>INDEX(PARÂMETROS!$B$83:$B$101,MATCH($B27,PARÂMETROS!$A$83:$A$101,0))</f>
        <v>1438.56</v>
      </c>
      <c r="T27" s="4" t="s">
        <v>1028</v>
      </c>
      <c r="U27" s="4" t="s">
        <v>1025</v>
      </c>
      <c r="V27" s="5">
        <v>1</v>
      </c>
      <c r="W27" s="4" t="s">
        <v>963</v>
      </c>
      <c r="X27" s="68">
        <f>INDEX(PARÂMETROS!$C$83:$C$101,MATCH($B27,PARÂMETROS!$A$83:$A$101,0))</f>
        <v>508</v>
      </c>
      <c r="Y27" s="85">
        <f t="shared" si="3"/>
        <v>1016</v>
      </c>
      <c r="Z27" s="86">
        <f t="shared" si="17"/>
        <v>13.734999999999999</v>
      </c>
      <c r="AA27" s="86">
        <f>2*13.735</f>
        <v>27.47</v>
      </c>
      <c r="AB27" s="6">
        <f>Z27*PARÂMETROS!$E$6</f>
        <v>548.43854999999996</v>
      </c>
      <c r="AC27" s="85">
        <f t="shared" si="4"/>
        <v>1096.8770999999999</v>
      </c>
      <c r="AD27" s="4" t="s">
        <v>1028</v>
      </c>
      <c r="AE27" s="4" t="s">
        <v>1025</v>
      </c>
      <c r="AF27" s="5">
        <v>1</v>
      </c>
      <c r="AG27" s="4" t="s">
        <v>963</v>
      </c>
      <c r="AH27" s="68">
        <f>INDEX(PARÂMETROS!$D$83:$D$101,MATCH($B27,PARÂMETROS!$A$83:$A$101,0))</f>
        <v>508</v>
      </c>
      <c r="AI27" s="85">
        <f t="shared" si="5"/>
        <v>1016</v>
      </c>
      <c r="AJ27" s="96" t="s">
        <v>964</v>
      </c>
      <c r="AK27" s="96" t="s">
        <v>1029</v>
      </c>
      <c r="AL27" s="88">
        <v>48</v>
      </c>
      <c r="AM27" s="97">
        <f>INDEX(PARÂMETROS!$E$83:$E$101,MATCH($B27,PARÂMETROS!$A$83:$A$101,0))</f>
        <v>24.5</v>
      </c>
      <c r="AN27" s="90">
        <f t="shared" si="18"/>
        <v>1176</v>
      </c>
      <c r="AO27" s="98" t="s">
        <v>966</v>
      </c>
      <c r="AP27" s="98" t="s">
        <v>967</v>
      </c>
      <c r="AQ27" s="88">
        <v>48</v>
      </c>
      <c r="AR27" s="97">
        <f>INDEX(PARÂMETROS!$F$83:$F$101,MATCH($B27,PARÂMETROS!$A$83:$A$101,0))</f>
        <v>0.6</v>
      </c>
      <c r="AS27" s="90">
        <f t="shared" si="19"/>
        <v>28.799999999999997</v>
      </c>
      <c r="AT27" s="98" t="s">
        <v>968</v>
      </c>
      <c r="AU27" s="98" t="s">
        <v>967</v>
      </c>
      <c r="AV27" s="88">
        <v>48</v>
      </c>
      <c r="AW27" s="97">
        <f>INDEX(PARÂMETROS!$G$83:$G$101,MATCH($B27,PARÂMETROS!$A$83:$A$101,0))</f>
        <v>0.8</v>
      </c>
      <c r="AX27" s="90">
        <f t="shared" si="20"/>
        <v>38.400000000000006</v>
      </c>
      <c r="AY27" s="91">
        <f t="shared" si="6"/>
        <v>11504.768905759996</v>
      </c>
      <c r="AZ27" s="91">
        <f t="shared" si="7"/>
        <v>4567.4371000000001</v>
      </c>
      <c r="BA27" s="91">
        <f t="shared" si="8"/>
        <v>1243.2</v>
      </c>
      <c r="BB27" s="92">
        <f t="shared" si="9"/>
        <v>17315.406005759996</v>
      </c>
      <c r="BC27" s="6">
        <f>PARÂMETROS!$H$3</f>
        <v>40</v>
      </c>
      <c r="BD27" s="93">
        <v>0.390277777777778</v>
      </c>
      <c r="BE27" s="6">
        <f t="shared" si="10"/>
        <v>374.66666666666686</v>
      </c>
      <c r="BF27" s="5">
        <v>1</v>
      </c>
      <c r="BG27" s="90">
        <f t="shared" si="11"/>
        <v>374.66666666666686</v>
      </c>
      <c r="BH27" s="94">
        <f t="shared" si="12"/>
        <v>17690.072672426664</v>
      </c>
      <c r="BI27" s="6">
        <v>120</v>
      </c>
      <c r="BJ27" s="95">
        <f t="shared" si="13"/>
        <v>17810.072672426664</v>
      </c>
    </row>
    <row r="29" spans="1:62" ht="14.25" customHeight="1" x14ac:dyDescent="0.45">
      <c r="N29" s="438" t="s">
        <v>1030</v>
      </c>
      <c r="O29" s="438"/>
      <c r="P29" s="438"/>
      <c r="Q29" s="438"/>
      <c r="R29" s="438"/>
      <c r="S29" s="438"/>
    </row>
    <row r="30" spans="1:62" ht="19.5" customHeight="1" x14ac:dyDescent="0.45">
      <c r="A30" s="439" t="s">
        <v>1031</v>
      </c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N30" s="438"/>
      <c r="O30" s="438"/>
      <c r="P30" s="438"/>
      <c r="Q30" s="438"/>
      <c r="R30" s="438"/>
      <c r="S30" s="438"/>
    </row>
    <row r="31" spans="1:62" ht="42.75" customHeight="1" x14ac:dyDescent="0.45">
      <c r="A31" s="3" t="s">
        <v>914</v>
      </c>
      <c r="B31" s="3" t="s">
        <v>10</v>
      </c>
      <c r="C31" s="3" t="s">
        <v>1032</v>
      </c>
      <c r="D31" s="3" t="s">
        <v>1033</v>
      </c>
      <c r="E31" s="3" t="s">
        <v>1034</v>
      </c>
      <c r="F31" s="3" t="s">
        <v>1035</v>
      </c>
      <c r="G31" s="3" t="s">
        <v>1036</v>
      </c>
      <c r="H31" s="3" t="s">
        <v>1037</v>
      </c>
      <c r="I31" s="3" t="s">
        <v>1038</v>
      </c>
      <c r="J31" s="3" t="s">
        <v>1039</v>
      </c>
      <c r="K31" s="3" t="s">
        <v>1040</v>
      </c>
      <c r="L31" s="3" t="s">
        <v>1041</v>
      </c>
      <c r="M31" s="3" t="s">
        <v>1042</v>
      </c>
      <c r="N31" s="3" t="s">
        <v>1043</v>
      </c>
      <c r="O31" s="3" t="s">
        <v>1044</v>
      </c>
      <c r="P31" s="3" t="s">
        <v>1045</v>
      </c>
      <c r="Q31" s="3" t="s">
        <v>1046</v>
      </c>
      <c r="R31" s="3" t="s">
        <v>1047</v>
      </c>
      <c r="S31" s="119" t="s">
        <v>1048</v>
      </c>
    </row>
    <row r="32" spans="1:62" ht="23.25" customHeight="1" x14ac:dyDescent="0.45">
      <c r="A32" s="125" t="s">
        <v>13</v>
      </c>
      <c r="B32" s="125">
        <v>2</v>
      </c>
      <c r="C32" s="120" t="s">
        <v>1049</v>
      </c>
      <c r="D32" s="6">
        <f>IF(C32="SIM",IFERROR(INDEX(ELC_MG_PC!$J$4:$J$25,MATCH($B32,ELC_MG_PC!$C$4:$C$25,0)),0)+IFERROR(INDEX($B$77:$B$99,MATCH("DN"&amp;$B32,$A$77:$A$99,0)),0),0)</f>
        <v>0</v>
      </c>
      <c r="E32" s="120" t="s">
        <v>1049</v>
      </c>
      <c r="F32" s="6">
        <f>IF(E32="SIM",IFERROR(INDEX(ELC_MG_PC!$J$26:$J$47,MATCH($B32,ELC_MG_PC!$C$26:$C$47,0)),0)+IFERROR(INDEX($B$77:$B$99,MATCH("DN"&amp;$B32,$A$77:$A$99,0)),0),0)</f>
        <v>0</v>
      </c>
      <c r="G32" s="120" t="s">
        <v>1049</v>
      </c>
      <c r="H32" s="6">
        <f>IF(G32="SIM",IFERROR(INDEX(ELC_MG_PC!$J$48:$J$69,MATCH($B32,ELC_MG_PC!$C$48:$C$69,0)),0),0)</f>
        <v>0</v>
      </c>
      <c r="I32" s="120" t="s">
        <v>1049</v>
      </c>
      <c r="J32" s="6">
        <f>IF(I32="SIM",IFERROR(INDEX(ELC_MG_PC!$J$70:$J$91,MATCH($B32,ELC_MG_PC!$C$70:$C$91,0)),0),0)</f>
        <v>0</v>
      </c>
      <c r="K32" s="120" t="s">
        <v>1049</v>
      </c>
      <c r="L32" s="6">
        <f t="shared" ref="L32:L53" si="21">IF(K32="SIM",BI6,0)</f>
        <v>0</v>
      </c>
      <c r="M32" s="91">
        <f t="shared" ref="M32:M53" si="22">D32+F32+H32+J32+L32</f>
        <v>0</v>
      </c>
      <c r="N32" s="121">
        <f t="shared" ref="N32:N53" si="23">R32+M32</f>
        <v>429.21333333333337</v>
      </c>
      <c r="O32" s="5">
        <f t="shared" ref="O32:O53" si="24">(C32="SIM")+(E32="SIM")+(G32="SIM")+(I32="SIM")</f>
        <v>0</v>
      </c>
      <c r="P32" s="6">
        <f>IFERROR(INDEX('PU CAST'!$T$54:$T$75,MATCH($B32,'PU CAST'!$S$54:$S$75,0)),0)</f>
        <v>0</v>
      </c>
      <c r="Q32" s="6">
        <f t="shared" ref="Q32:Q53" si="25">O32*P32</f>
        <v>0</v>
      </c>
      <c r="R32" s="122">
        <f t="shared" ref="R32:R53" si="26">BH6</f>
        <v>429.21333333333337</v>
      </c>
      <c r="S32" s="92">
        <f t="shared" ref="S32:S53" si="27">Q32+N32</f>
        <v>429.21333333333337</v>
      </c>
    </row>
    <row r="33" spans="1:19" ht="23.25" customHeight="1" x14ac:dyDescent="0.45">
      <c r="A33" s="125" t="s">
        <v>13</v>
      </c>
      <c r="B33" s="125">
        <v>3</v>
      </c>
      <c r="C33" s="120" t="s">
        <v>1049</v>
      </c>
      <c r="D33" s="6">
        <f>IF(C33="SIM",IFERROR(INDEX(ELC_MG_PC!$J$4:$J$25,MATCH($B33,ELC_MG_PC!$C$4:$C$25,0)),0)+IFERROR(INDEX($B$77:$B$99,MATCH("DN"&amp;$B33,$A$77:$A$99,0)),0),0)</f>
        <v>0</v>
      </c>
      <c r="E33" s="120" t="s">
        <v>1049</v>
      </c>
      <c r="F33" s="6">
        <f>IF(E33="SIM",IFERROR(INDEX(ELC_MG_PC!$J$26:$J$47,MATCH($B33,ELC_MG_PC!$C$26:$C$47,0)),0)+IFERROR(INDEX($B$77:$B$99,MATCH("DN"&amp;$B33,$A$77:$A$99,0)),0),0)</f>
        <v>0</v>
      </c>
      <c r="G33" s="120" t="s">
        <v>1049</v>
      </c>
      <c r="H33" s="6">
        <f>IF(G33="SIM",IFERROR(INDEX(ELC_MG_PC!$J$48:$J$69,MATCH($B33,ELC_MG_PC!$C$48:$C$69,0)),0),0)</f>
        <v>0</v>
      </c>
      <c r="I33" s="120" t="s">
        <v>1049</v>
      </c>
      <c r="J33" s="6">
        <f>IF(I33="SIM",IFERROR(INDEX(ELC_MG_PC!$J$70:$J$91,MATCH($B33,ELC_MG_PC!$C$70:$C$91,0)),0),0)</f>
        <v>0</v>
      </c>
      <c r="K33" s="120" t="s">
        <v>1049</v>
      </c>
      <c r="L33" s="6">
        <f t="shared" si="21"/>
        <v>0</v>
      </c>
      <c r="M33" s="91">
        <f t="shared" si="22"/>
        <v>0</v>
      </c>
      <c r="N33" s="121">
        <f t="shared" si="23"/>
        <v>434.93333333333339</v>
      </c>
      <c r="O33" s="5">
        <f t="shared" si="24"/>
        <v>0</v>
      </c>
      <c r="P33" s="6">
        <f>IFERROR(INDEX('PU CAST'!$T$54:$T$75,MATCH($B33,'PU CAST'!$S$54:$S$75,0)),0)</f>
        <v>0</v>
      </c>
      <c r="Q33" s="6">
        <f t="shared" si="25"/>
        <v>0</v>
      </c>
      <c r="R33" s="122">
        <f t="shared" si="26"/>
        <v>434.93333333333339</v>
      </c>
      <c r="S33" s="92">
        <f t="shared" si="27"/>
        <v>434.93333333333339</v>
      </c>
    </row>
    <row r="34" spans="1:19" ht="23.25" customHeight="1" x14ac:dyDescent="0.45">
      <c r="A34" s="125" t="s">
        <v>13</v>
      </c>
      <c r="B34" s="125">
        <v>4</v>
      </c>
      <c r="C34" s="120" t="s">
        <v>1049</v>
      </c>
      <c r="D34" s="6">
        <f>IF(C34="SIM",IFERROR(INDEX(ELC_MG_PC!$J$4:$J$25,MATCH($B34,ELC_MG_PC!$C$4:$C$25,0)),0)+IFERROR(INDEX($B$77:$B$99,MATCH("DN"&amp;$B34,$A$77:$A$99,0)),0),0)</f>
        <v>0</v>
      </c>
      <c r="E34" s="120" t="s">
        <v>1049</v>
      </c>
      <c r="F34" s="6">
        <f>IF(E34="SIM",IFERROR(INDEX(ELC_MG_PC!$J$26:$J$47,MATCH($B34,ELC_MG_PC!$C$26:$C$47,0)),0)+IFERROR(INDEX($B$77:$B$99,MATCH("DN"&amp;$B34,$A$77:$A$99,0)),0),0)</f>
        <v>0</v>
      </c>
      <c r="G34" s="120" t="s">
        <v>1049</v>
      </c>
      <c r="H34" s="6">
        <f>IF(G34="SIM",IFERROR(INDEX(ELC_MG_PC!$J$48:$J$69,MATCH($B34,ELC_MG_PC!$C$48:$C$69,0)),0),0)</f>
        <v>0</v>
      </c>
      <c r="I34" s="120" t="s">
        <v>1049</v>
      </c>
      <c r="J34" s="6">
        <f>IF(I34="SIM",IFERROR(INDEX(ELC_MG_PC!$J$70:$J$91,MATCH($B34,ELC_MG_PC!$C$70:$C$91,0)),0),0)</f>
        <v>0</v>
      </c>
      <c r="K34" s="120" t="s">
        <v>1049</v>
      </c>
      <c r="L34" s="6">
        <f t="shared" si="21"/>
        <v>0</v>
      </c>
      <c r="M34" s="91">
        <f t="shared" si="22"/>
        <v>0</v>
      </c>
      <c r="N34" s="121">
        <f t="shared" si="23"/>
        <v>447.77333333333337</v>
      </c>
      <c r="O34" s="5">
        <f t="shared" si="24"/>
        <v>0</v>
      </c>
      <c r="P34" s="6">
        <f>IFERROR(INDEX('PU CAST'!$T$54:$T$75,MATCH($B34,'PU CAST'!$S$54:$S$75,0)),0)</f>
        <v>0</v>
      </c>
      <c r="Q34" s="6">
        <f t="shared" si="25"/>
        <v>0</v>
      </c>
      <c r="R34" s="122">
        <f t="shared" si="26"/>
        <v>447.77333333333337</v>
      </c>
      <c r="S34" s="92">
        <f t="shared" si="27"/>
        <v>447.77333333333337</v>
      </c>
    </row>
    <row r="35" spans="1:19" ht="23.25" customHeight="1" x14ac:dyDescent="0.45">
      <c r="A35" s="125" t="s">
        <v>13</v>
      </c>
      <c r="B35" s="125">
        <v>6</v>
      </c>
      <c r="C35" s="120" t="s">
        <v>1049</v>
      </c>
      <c r="D35" s="6">
        <f>IF(C35="SIM",IFERROR(INDEX(ELC_MG_PC!$J$4:$J$25,MATCH($B35,ELC_MG_PC!$C$4:$C$25,0)),0)+IFERROR(INDEX($B$77:$B$99,MATCH("DN"&amp;$B35,$A$77:$A$99,0)),0),0)</f>
        <v>0</v>
      </c>
      <c r="E35" s="120" t="s">
        <v>1049</v>
      </c>
      <c r="F35" s="6">
        <f>IF(E35="SIM",IFERROR(INDEX(ELC_MG_PC!$J$26:$J$47,MATCH($B35,ELC_MG_PC!$C$26:$C$47,0)),0)+IFERROR(INDEX($B$77:$B$99,MATCH("DN"&amp;$B35,$A$77:$A$99,0)),0),0)</f>
        <v>0</v>
      </c>
      <c r="G35" s="120" t="s">
        <v>1049</v>
      </c>
      <c r="H35" s="6">
        <f>IF(G35="SIM",IFERROR(INDEX(ELC_MG_PC!$J$48:$J$69,MATCH($B35,ELC_MG_PC!$C$48:$C$69,0)),0),0)</f>
        <v>0</v>
      </c>
      <c r="I35" s="120" t="s">
        <v>1049</v>
      </c>
      <c r="J35" s="6">
        <f>IF(I35="SIM",IFERROR(INDEX(ELC_MG_PC!$J$70:$J$91,MATCH($B35,ELC_MG_PC!$C$70:$C$91,0)),0),0)</f>
        <v>0</v>
      </c>
      <c r="K35" s="120" t="s">
        <v>1049</v>
      </c>
      <c r="L35" s="6">
        <f t="shared" si="21"/>
        <v>0</v>
      </c>
      <c r="M35" s="91">
        <f t="shared" si="22"/>
        <v>0</v>
      </c>
      <c r="N35" s="121">
        <f t="shared" si="23"/>
        <v>720.57916906666674</v>
      </c>
      <c r="O35" s="5">
        <f t="shared" si="24"/>
        <v>0</v>
      </c>
      <c r="P35" s="6">
        <f>IFERROR(INDEX('PU CAST'!$T$54:$T$75,MATCH($B35,'PU CAST'!$S$54:$S$75,0)),0)</f>
        <v>2.5849950000000002</v>
      </c>
      <c r="Q35" s="6">
        <f t="shared" si="25"/>
        <v>0</v>
      </c>
      <c r="R35" s="122">
        <f t="shared" si="26"/>
        <v>720.57916906666674</v>
      </c>
      <c r="S35" s="92">
        <f t="shared" si="27"/>
        <v>720.57916906666674</v>
      </c>
    </row>
    <row r="36" spans="1:19" ht="23.25" customHeight="1" x14ac:dyDescent="0.45">
      <c r="A36" s="125" t="s">
        <v>13</v>
      </c>
      <c r="B36" s="125">
        <v>8</v>
      </c>
      <c r="C36" s="120" t="s">
        <v>1049</v>
      </c>
      <c r="D36" s="6">
        <f>IF(C36="SIM",IFERROR(INDEX(ELC_MG_PC!$J$4:$J$25,MATCH($B36,ELC_MG_PC!$C$4:$C$25,0)),0)+IFERROR(INDEX($B$77:$B$99,MATCH("DN"&amp;$B36,$A$77:$A$99,0)),0),0)</f>
        <v>0</v>
      </c>
      <c r="E36" s="120" t="s">
        <v>1049</v>
      </c>
      <c r="F36" s="6">
        <f>IF(E36="SIM",IFERROR(INDEX(ELC_MG_PC!$J$26:$J$47,MATCH($B36,ELC_MG_PC!$C$26:$C$47,0)),0)+IFERROR(INDEX($B$77:$B$99,MATCH("DN"&amp;$B36,$A$77:$A$99,0)),0),0)</f>
        <v>0</v>
      </c>
      <c r="G36" s="120" t="s">
        <v>1049</v>
      </c>
      <c r="H36" s="6">
        <f>IF(G36="SIM",IFERROR(INDEX(ELC_MG_PC!$J$48:$J$69,MATCH($B36,ELC_MG_PC!$C$48:$C$69,0)),0),0)</f>
        <v>0</v>
      </c>
      <c r="I36" s="120" t="s">
        <v>1049</v>
      </c>
      <c r="J36" s="6">
        <f>IF(I36="SIM",IFERROR(INDEX(ELC_MG_PC!$J$70:$J$91,MATCH($B36,ELC_MG_PC!$C$70:$C$91,0)),0),0)</f>
        <v>0</v>
      </c>
      <c r="K36" s="120" t="s">
        <v>1049</v>
      </c>
      <c r="L36" s="6">
        <f t="shared" si="21"/>
        <v>0</v>
      </c>
      <c r="M36" s="91">
        <f t="shared" si="22"/>
        <v>0</v>
      </c>
      <c r="N36" s="121">
        <f t="shared" si="23"/>
        <v>886.35237170666664</v>
      </c>
      <c r="O36" s="5">
        <f t="shared" si="24"/>
        <v>0</v>
      </c>
      <c r="P36" s="6">
        <f>IFERROR(INDEX('PU CAST'!$T$54:$T$75,MATCH($B36,'PU CAST'!$S$54:$S$75,0)),0)</f>
        <v>4.9484190000000003</v>
      </c>
      <c r="Q36" s="6">
        <f t="shared" si="25"/>
        <v>0</v>
      </c>
      <c r="R36" s="122">
        <f t="shared" si="26"/>
        <v>886.35237170666664</v>
      </c>
      <c r="S36" s="92">
        <f t="shared" si="27"/>
        <v>886.35237170666664</v>
      </c>
    </row>
    <row r="37" spans="1:19" ht="23.25" customHeight="1" x14ac:dyDescent="0.45">
      <c r="A37" s="125" t="s">
        <v>13</v>
      </c>
      <c r="B37" s="125">
        <v>10</v>
      </c>
      <c r="C37" s="120" t="s">
        <v>1049</v>
      </c>
      <c r="D37" s="6">
        <f>IF(C37="SIM",IFERROR(INDEX(ELC_MG_PC!$J$4:$J$25,MATCH($B37,ELC_MG_PC!$C$4:$C$25,0)),0)+IFERROR(INDEX($B$77:$B$99,MATCH("DN"&amp;$B37,$A$77:$A$99,0)),0),0)</f>
        <v>0</v>
      </c>
      <c r="E37" s="120" t="s">
        <v>1049</v>
      </c>
      <c r="F37" s="6">
        <f>IF(E37="SIM",IFERROR(INDEX(ELC_MG_PC!$J$26:$J$47,MATCH($B37,ELC_MG_PC!$C$26:$C$47,0)),0)+IFERROR(INDEX($B$77:$B$99,MATCH("DN"&amp;$B37,$A$77:$A$99,0)),0),0)</f>
        <v>0</v>
      </c>
      <c r="G37" s="120" t="s">
        <v>1049</v>
      </c>
      <c r="H37" s="6">
        <f>IF(G37="SIM",IFERROR(INDEX(ELC_MG_PC!$J$48:$J$69,MATCH($B37,ELC_MG_PC!$C$48:$C$69,0)),0),0)</f>
        <v>0</v>
      </c>
      <c r="I37" s="120" t="s">
        <v>1049</v>
      </c>
      <c r="J37" s="6">
        <f>IF(I37="SIM",IFERROR(INDEX(ELC_MG_PC!$J$70:$J$91,MATCH($B37,ELC_MG_PC!$C$70:$C$91,0)),0),0)</f>
        <v>0</v>
      </c>
      <c r="K37" s="120" t="s">
        <v>1049</v>
      </c>
      <c r="L37" s="6">
        <f t="shared" si="21"/>
        <v>0</v>
      </c>
      <c r="M37" s="91">
        <f t="shared" si="22"/>
        <v>0</v>
      </c>
      <c r="N37" s="121">
        <f t="shared" si="23"/>
        <v>1079.0990916266667</v>
      </c>
      <c r="O37" s="5">
        <f t="shared" si="24"/>
        <v>0</v>
      </c>
      <c r="P37" s="6">
        <f>IFERROR(INDEX('PU CAST'!$T$54:$T$75,MATCH($B37,'PU CAST'!$S$54:$S$75,0)),0)</f>
        <v>6.4255590000000007</v>
      </c>
      <c r="Q37" s="6">
        <f t="shared" si="25"/>
        <v>0</v>
      </c>
      <c r="R37" s="122">
        <f t="shared" si="26"/>
        <v>1079.0990916266667</v>
      </c>
      <c r="S37" s="92">
        <f t="shared" si="27"/>
        <v>1079.0990916266667</v>
      </c>
    </row>
    <row r="38" spans="1:19" ht="23.25" customHeight="1" x14ac:dyDescent="0.45">
      <c r="A38" s="125" t="s">
        <v>13</v>
      </c>
      <c r="B38" s="125">
        <v>12</v>
      </c>
      <c r="C38" s="120" t="s">
        <v>1049</v>
      </c>
      <c r="D38" s="6">
        <f>IF(C38="SIM",IFERROR(INDEX(ELC_MG_PC!$J$4:$J$25,MATCH($B38,ELC_MG_PC!$C$4:$C$25,0)),0)+IFERROR(INDEX($B$77:$B$99,MATCH("DN"&amp;$B38,$A$77:$A$99,0)),0),0)</f>
        <v>0</v>
      </c>
      <c r="E38" s="120" t="s">
        <v>1049</v>
      </c>
      <c r="F38" s="6">
        <f>IF(E38="SIM",IFERROR(INDEX(ELC_MG_PC!$J$26:$J$47,MATCH($B38,ELC_MG_PC!$C$26:$C$47,0)),0)+IFERROR(INDEX($B$77:$B$99,MATCH("DN"&amp;$B38,$A$77:$A$99,0)),0),0)</f>
        <v>0</v>
      </c>
      <c r="G38" s="120" t="s">
        <v>1049</v>
      </c>
      <c r="H38" s="6">
        <f>IF(G38="SIM",IFERROR(INDEX(ELC_MG_PC!$J$48:$J$69,MATCH($B38,ELC_MG_PC!$C$48:$C$69,0)),0),0)</f>
        <v>0</v>
      </c>
      <c r="I38" s="120" t="s">
        <v>1049</v>
      </c>
      <c r="J38" s="6">
        <f>IF(I38="SIM",IFERROR(INDEX(ELC_MG_PC!$J$70:$J$91,MATCH($B38,ELC_MG_PC!$C$70:$C$91,0)),0),0)</f>
        <v>0</v>
      </c>
      <c r="K38" s="120" t="s">
        <v>1049</v>
      </c>
      <c r="L38" s="6">
        <f t="shared" si="21"/>
        <v>0</v>
      </c>
      <c r="M38" s="91">
        <f t="shared" si="22"/>
        <v>0</v>
      </c>
      <c r="N38" s="121">
        <f t="shared" si="23"/>
        <v>1454.0179321333335</v>
      </c>
      <c r="O38" s="5">
        <f t="shared" si="24"/>
        <v>0</v>
      </c>
      <c r="P38" s="6">
        <f>IFERROR(INDEX('PU CAST'!$T$54:$T$75,MATCH($B38,'PU CAST'!$S$54:$S$75,0)),0)</f>
        <v>10.389218000000001</v>
      </c>
      <c r="Q38" s="6">
        <f t="shared" si="25"/>
        <v>0</v>
      </c>
      <c r="R38" s="122">
        <f t="shared" si="26"/>
        <v>1454.0179321333335</v>
      </c>
      <c r="S38" s="92">
        <f t="shared" si="27"/>
        <v>1454.0179321333335</v>
      </c>
    </row>
    <row r="39" spans="1:19" ht="23.25" customHeight="1" x14ac:dyDescent="0.45">
      <c r="A39" s="125" t="s">
        <v>13</v>
      </c>
      <c r="B39" s="125">
        <v>14</v>
      </c>
      <c r="C39" s="120" t="s">
        <v>1049</v>
      </c>
      <c r="D39" s="6">
        <f>IF(C39="SIM",IFERROR(INDEX(ELC_MG_PC!$J$4:$J$25,MATCH($B39,ELC_MG_PC!$C$4:$C$25,0)),0)+IFERROR(INDEX($B$77:$B$99,MATCH("DN"&amp;$B39,$A$77:$A$99,0)),0),0)</f>
        <v>0</v>
      </c>
      <c r="E39" s="120" t="s">
        <v>1049</v>
      </c>
      <c r="F39" s="6">
        <f>IF(E39="SIM",IFERROR(INDEX(ELC_MG_PC!$J$26:$J$47,MATCH($B39,ELC_MG_PC!$C$26:$C$47,0)),0)+IFERROR(INDEX($B$77:$B$99,MATCH("DN"&amp;$B39,$A$77:$A$99,0)),0),0)</f>
        <v>0</v>
      </c>
      <c r="G39" s="120" t="s">
        <v>1049</v>
      </c>
      <c r="H39" s="6">
        <f>IF(G39="SIM",IFERROR(INDEX(ELC_MG_PC!$J$48:$J$69,MATCH($B39,ELC_MG_PC!$C$48:$C$69,0)),0),0)</f>
        <v>0</v>
      </c>
      <c r="I39" s="120" t="s">
        <v>1049</v>
      </c>
      <c r="J39" s="6">
        <f>IF(I39="SIM",IFERROR(INDEX(ELC_MG_PC!$J$70:$J$91,MATCH($B39,ELC_MG_PC!$C$70:$C$91,0)),0),0)</f>
        <v>0</v>
      </c>
      <c r="K39" s="120" t="s">
        <v>1049</v>
      </c>
      <c r="L39" s="6">
        <f t="shared" si="21"/>
        <v>0</v>
      </c>
      <c r="M39" s="91">
        <f t="shared" si="22"/>
        <v>0</v>
      </c>
      <c r="N39" s="121">
        <f t="shared" si="23"/>
        <v>1635.2635434133335</v>
      </c>
      <c r="O39" s="5">
        <f t="shared" si="24"/>
        <v>0</v>
      </c>
      <c r="P39" s="6">
        <f>IFERROR(INDEX('PU CAST'!$T$54:$T$75,MATCH($B39,'PU CAST'!$S$54:$S$75,0)),0)</f>
        <v>16.026969000000001</v>
      </c>
      <c r="Q39" s="6">
        <f t="shared" si="25"/>
        <v>0</v>
      </c>
      <c r="R39" s="122">
        <f t="shared" si="26"/>
        <v>1635.2635434133335</v>
      </c>
      <c r="S39" s="92">
        <f t="shared" si="27"/>
        <v>1635.2635434133335</v>
      </c>
    </row>
    <row r="40" spans="1:19" ht="23.25" customHeight="1" x14ac:dyDescent="0.45">
      <c r="A40" s="125" t="s">
        <v>13</v>
      </c>
      <c r="B40" s="125">
        <v>16</v>
      </c>
      <c r="C40" s="120" t="s">
        <v>1050</v>
      </c>
      <c r="D40" s="6">
        <f>IF(C40="SIM",IFERROR(INDEX(ELC_MG_PC!$J$4:$J$25,MATCH($B40,ELC_MG_PC!$C$4:$C$25,0)),0)+IFERROR(INDEX($B$77:$B$99,MATCH("DN"&amp;$B40,$A$77:$A$99,0)),0),0)</f>
        <v>477.91356799999971</v>
      </c>
      <c r="E40" s="120" t="s">
        <v>1049</v>
      </c>
      <c r="F40" s="6">
        <f>IF(E40="SIM",IFERROR(INDEX(ELC_MG_PC!$J$26:$J$47,MATCH($B40,ELC_MG_PC!$C$26:$C$47,0)),0)+IFERROR(INDEX($B$77:$B$99,MATCH("DN"&amp;$B40,$A$77:$A$99,0)),0),0)</f>
        <v>0</v>
      </c>
      <c r="G40" s="120" t="s">
        <v>1049</v>
      </c>
      <c r="H40" s="6">
        <f>IF(G40="SIM",IFERROR(INDEX(ELC_MG_PC!$J$48:$J$69,MATCH($B40,ELC_MG_PC!$C$48:$C$69,0)),0),0)</f>
        <v>0</v>
      </c>
      <c r="I40" s="120" t="s">
        <v>1049</v>
      </c>
      <c r="J40" s="6">
        <f>IF(I40="SIM",IFERROR(INDEX(ELC_MG_PC!$J$70:$J$91,MATCH($B40,ELC_MG_PC!$C$70:$C$91,0)),0),0)</f>
        <v>0</v>
      </c>
      <c r="K40" s="120" t="s">
        <v>1049</v>
      </c>
      <c r="L40" s="6">
        <f t="shared" si="21"/>
        <v>0</v>
      </c>
      <c r="M40" s="91">
        <f t="shared" si="22"/>
        <v>477.91356799999971</v>
      </c>
      <c r="N40" s="121">
        <f t="shared" si="23"/>
        <v>2656.818910906667</v>
      </c>
      <c r="O40" s="5">
        <f t="shared" si="24"/>
        <v>1</v>
      </c>
      <c r="P40" s="6">
        <f>IFERROR(INDEX('PU CAST'!$T$54:$T$75,MATCH($B40,'PU CAST'!$S$54:$S$75,0)),0)</f>
        <v>25.308332</v>
      </c>
      <c r="Q40" s="6">
        <f t="shared" si="25"/>
        <v>25.308332</v>
      </c>
      <c r="R40" s="122">
        <f t="shared" si="26"/>
        <v>2178.9053429066671</v>
      </c>
      <c r="S40" s="92">
        <f t="shared" si="27"/>
        <v>2682.1272429066671</v>
      </c>
    </row>
    <row r="41" spans="1:19" ht="23.25" customHeight="1" x14ac:dyDescent="0.45">
      <c r="A41" s="125" t="s">
        <v>13</v>
      </c>
      <c r="B41" s="125">
        <v>18</v>
      </c>
      <c r="C41" s="120" t="s">
        <v>1049</v>
      </c>
      <c r="D41" s="6">
        <f>IF(C41="SIM",IFERROR(INDEX(ELC_MG_PC!$J$4:$J$25,MATCH($B41,ELC_MG_PC!$C$4:$C$25,0)),0)+IFERROR(INDEX($B$77:$B$99,MATCH("DN"&amp;$B41,$A$77:$A$99,0)),0),0)</f>
        <v>0</v>
      </c>
      <c r="E41" s="120" t="s">
        <v>1049</v>
      </c>
      <c r="F41" s="6">
        <f>IF(E41="SIM",IFERROR(INDEX(ELC_MG_PC!$J$26:$J$47,MATCH($B41,ELC_MG_PC!$C$26:$C$47,0)),0)+IFERROR(INDEX($B$77:$B$99,MATCH("DN"&amp;$B41,$A$77:$A$99,0)),0),0)</f>
        <v>0</v>
      </c>
      <c r="G41" s="120" t="s">
        <v>1049</v>
      </c>
      <c r="H41" s="6">
        <f>IF(G41="SIM",IFERROR(INDEX(ELC_MG_PC!$J$48:$J$69,MATCH($B41,ELC_MG_PC!$C$48:$C$69,0)),0),0)</f>
        <v>0</v>
      </c>
      <c r="I41" s="120" t="s">
        <v>1049</v>
      </c>
      <c r="J41" s="6">
        <f>IF(I41="SIM",IFERROR(INDEX(ELC_MG_PC!$J$70:$J$91,MATCH($B41,ELC_MG_PC!$C$70:$C$91,0)),0),0)</f>
        <v>0</v>
      </c>
      <c r="K41" s="120" t="s">
        <v>1049</v>
      </c>
      <c r="L41" s="6">
        <f t="shared" si="21"/>
        <v>0</v>
      </c>
      <c r="M41" s="91">
        <f t="shared" si="22"/>
        <v>0</v>
      </c>
      <c r="N41" s="121">
        <f t="shared" si="23"/>
        <v>2685.8394567466671</v>
      </c>
      <c r="O41" s="5">
        <f t="shared" si="24"/>
        <v>0</v>
      </c>
      <c r="P41" s="6">
        <f>IFERROR(INDEX('PU CAST'!$T$54:$T$75,MATCH($B41,'PU CAST'!$S$54:$S$75,0)),0)</f>
        <v>31.733891</v>
      </c>
      <c r="Q41" s="6">
        <f t="shared" si="25"/>
        <v>0</v>
      </c>
      <c r="R41" s="122">
        <f t="shared" si="26"/>
        <v>2685.8394567466671</v>
      </c>
      <c r="S41" s="92">
        <f t="shared" si="27"/>
        <v>2685.8394567466671</v>
      </c>
    </row>
    <row r="42" spans="1:19" ht="23.25" customHeight="1" x14ac:dyDescent="0.45">
      <c r="A42" s="125" t="s">
        <v>13</v>
      </c>
      <c r="B42" s="125">
        <v>20</v>
      </c>
      <c r="C42" s="120" t="s">
        <v>1049</v>
      </c>
      <c r="D42" s="6">
        <f>IF(C42="SIM",IFERROR(INDEX(ELC_MG_PC!$J$4:$J$25,MATCH($B42,ELC_MG_PC!$C$4:$C$25,0)),0)+IFERROR(INDEX($B$77:$B$99,MATCH("DN"&amp;$B42,$A$77:$A$99,0)),0),0)</f>
        <v>0</v>
      </c>
      <c r="E42" s="120" t="s">
        <v>1049</v>
      </c>
      <c r="F42" s="6">
        <f>IF(E42="SIM",IFERROR(INDEX(ELC_MG_PC!$J$26:$J$47,MATCH($B42,ELC_MG_PC!$C$26:$C$47,0)),0)+IFERROR(INDEX($B$77:$B$99,MATCH("DN"&amp;$B42,$A$77:$A$99,0)),0),0)</f>
        <v>0</v>
      </c>
      <c r="G42" s="120" t="s">
        <v>1049</v>
      </c>
      <c r="H42" s="6">
        <f>IF(G42="SIM",IFERROR(INDEX(ELC_MG_PC!$J$48:$J$69,MATCH($B42,ELC_MG_PC!$C$48:$C$69,0)),0),0)</f>
        <v>0</v>
      </c>
      <c r="I42" s="120" t="s">
        <v>1049</v>
      </c>
      <c r="J42" s="6">
        <f>IF(I42="SIM",IFERROR(INDEX(ELC_MG_PC!$J$70:$J$91,MATCH($B42,ELC_MG_PC!$C$70:$C$91,0)),0),0)</f>
        <v>0</v>
      </c>
      <c r="K42" s="120" t="s">
        <v>1049</v>
      </c>
      <c r="L42" s="6">
        <f t="shared" si="21"/>
        <v>0</v>
      </c>
      <c r="M42" s="91">
        <f t="shared" si="22"/>
        <v>0</v>
      </c>
      <c r="N42" s="121">
        <f t="shared" si="23"/>
        <v>3313.9210415466669</v>
      </c>
      <c r="O42" s="5">
        <f t="shared" si="24"/>
        <v>0</v>
      </c>
      <c r="P42" s="6">
        <f>IFERROR(INDEX('PU CAST'!$T$54:$T$75,MATCH($B42,'PU CAST'!$S$54:$S$75,0)),0)</f>
        <v>38.528735000000005</v>
      </c>
      <c r="Q42" s="6">
        <f t="shared" si="25"/>
        <v>0</v>
      </c>
      <c r="R42" s="122">
        <f t="shared" si="26"/>
        <v>3313.9210415466669</v>
      </c>
      <c r="S42" s="92">
        <f t="shared" si="27"/>
        <v>3313.9210415466669</v>
      </c>
    </row>
    <row r="43" spans="1:19" ht="23.25" customHeight="1" x14ac:dyDescent="0.45">
      <c r="A43" s="125" t="s">
        <v>13</v>
      </c>
      <c r="B43" s="125">
        <v>22</v>
      </c>
      <c r="C43" s="120" t="s">
        <v>1049</v>
      </c>
      <c r="D43" s="6">
        <f>IF(C43="SIM",IFERROR(INDEX(ELC_MG_PC!$J$4:$J$25,MATCH($B43,ELC_MG_PC!$C$4:$C$25,0)),0)+IFERROR(INDEX($B$77:$B$99,MATCH("DN"&amp;$B43,$A$77:$A$99,0)),0),0)</f>
        <v>0</v>
      </c>
      <c r="E43" s="120" t="s">
        <v>1049</v>
      </c>
      <c r="F43" s="6">
        <f>IF(E43="SIM",IFERROR(INDEX(ELC_MG_PC!$J$26:$J$47,MATCH($B43,ELC_MG_PC!$C$26:$C$47,0)),0)+IFERROR(INDEX($B$77:$B$99,MATCH("DN"&amp;$B43,$A$77:$A$99,0)),0),0)</f>
        <v>0</v>
      </c>
      <c r="G43" s="120" t="s">
        <v>1049</v>
      </c>
      <c r="H43" s="6">
        <f>IF(G43="SIM",IFERROR(INDEX(ELC_MG_PC!$J$48:$J$69,MATCH($B43,ELC_MG_PC!$C$48:$C$69,0)),0),0)</f>
        <v>0</v>
      </c>
      <c r="I43" s="120" t="s">
        <v>1049</v>
      </c>
      <c r="J43" s="6">
        <f>IF(I43="SIM",IFERROR(INDEX(ELC_MG_PC!$J$70:$J$91,MATCH($B43,ELC_MG_PC!$C$70:$C$91,0)),0),0)</f>
        <v>0</v>
      </c>
      <c r="K43" s="120" t="s">
        <v>1049</v>
      </c>
      <c r="L43" s="6">
        <f t="shared" si="21"/>
        <v>0</v>
      </c>
      <c r="M43" s="91">
        <f t="shared" si="22"/>
        <v>0</v>
      </c>
      <c r="N43" s="121">
        <f t="shared" si="23"/>
        <v>4052.0358721066668</v>
      </c>
      <c r="O43" s="5">
        <f t="shared" si="24"/>
        <v>0</v>
      </c>
      <c r="P43" s="6">
        <f>IFERROR(INDEX('PU CAST'!$T$54:$T$75,MATCH($B43,'PU CAST'!$S$54:$S$75,0)),0)</f>
        <v>64.009399999999999</v>
      </c>
      <c r="Q43" s="6">
        <f t="shared" si="25"/>
        <v>0</v>
      </c>
      <c r="R43" s="122">
        <f t="shared" si="26"/>
        <v>4052.0358721066668</v>
      </c>
      <c r="S43" s="92">
        <f t="shared" si="27"/>
        <v>4052.0358721066668</v>
      </c>
    </row>
    <row r="44" spans="1:19" ht="23.25" customHeight="1" x14ac:dyDescent="0.45">
      <c r="A44" s="125" t="s">
        <v>13</v>
      </c>
      <c r="B44" s="125">
        <v>24</v>
      </c>
      <c r="C44" s="120" t="s">
        <v>1049</v>
      </c>
      <c r="D44" s="6">
        <f>IF(C44="SIM",IFERROR(INDEX(ELC_MG_PC!$J$4:$J$25,MATCH($B44,ELC_MG_PC!$C$4:$C$25,0)),0)+IFERROR(INDEX($B$77:$B$99,MATCH("DN"&amp;$B44,$A$77:$A$99,0)),0),0)</f>
        <v>0</v>
      </c>
      <c r="E44" s="120" t="s">
        <v>1049</v>
      </c>
      <c r="F44" s="6">
        <f>IF(E44="SIM",IFERROR(INDEX(ELC_MG_PC!$J$26:$J$47,MATCH($B44,ELC_MG_PC!$C$26:$C$47,0)),0)+IFERROR(INDEX($B$77:$B$99,MATCH("DN"&amp;$B44,$A$77:$A$99,0)),0),0)</f>
        <v>0</v>
      </c>
      <c r="G44" s="120" t="s">
        <v>1049</v>
      </c>
      <c r="H44" s="6">
        <f>IF(G44="SIM",IFERROR(INDEX(ELC_MG_PC!$J$48:$J$69,MATCH($B44,ELC_MG_PC!$C$48:$C$69,0)),0),0)</f>
        <v>0</v>
      </c>
      <c r="I44" s="120" t="s">
        <v>1049</v>
      </c>
      <c r="J44" s="6">
        <f>IF(I44="SIM",IFERROR(INDEX(ELC_MG_PC!$J$70:$J$91,MATCH($B44,ELC_MG_PC!$C$70:$C$91,0)),0),0)</f>
        <v>0</v>
      </c>
      <c r="K44" s="120" t="s">
        <v>1049</v>
      </c>
      <c r="L44" s="6">
        <f t="shared" si="21"/>
        <v>0</v>
      </c>
      <c r="M44" s="91">
        <f t="shared" si="22"/>
        <v>0</v>
      </c>
      <c r="N44" s="121">
        <f t="shared" si="23"/>
        <v>4850.5758440266663</v>
      </c>
      <c r="O44" s="5">
        <f t="shared" si="24"/>
        <v>0</v>
      </c>
      <c r="P44" s="6">
        <f>IFERROR(INDEX('PU CAST'!$T$54:$T$75,MATCH($B44,'PU CAST'!$S$54:$S$75,0)),0)</f>
        <v>69.351723000000007</v>
      </c>
      <c r="Q44" s="6">
        <f t="shared" si="25"/>
        <v>0</v>
      </c>
      <c r="R44" s="122">
        <f t="shared" si="26"/>
        <v>4850.5758440266663</v>
      </c>
      <c r="S44" s="92">
        <f t="shared" si="27"/>
        <v>4850.5758440266663</v>
      </c>
    </row>
    <row r="45" spans="1:19" ht="23.25" customHeight="1" x14ac:dyDescent="0.45">
      <c r="A45" s="125" t="s">
        <v>13</v>
      </c>
      <c r="B45" s="125">
        <v>26</v>
      </c>
      <c r="C45" s="120" t="s">
        <v>1049</v>
      </c>
      <c r="D45" s="6">
        <f>IF(C45="SIM",IFERROR(INDEX(ELC_MG_PC!$J$4:$J$25,MATCH($B45,ELC_MG_PC!$C$4:$C$25,0)),0)+IFERROR(INDEX($B$77:$B$99,MATCH("DN"&amp;$B45,$A$77:$A$99,0)),0),0)</f>
        <v>0</v>
      </c>
      <c r="E45" s="120" t="s">
        <v>1049</v>
      </c>
      <c r="F45" s="6">
        <f>IF(E45="SIM",IFERROR(INDEX(ELC_MG_PC!$J$26:$J$47,MATCH($B45,ELC_MG_PC!$C$26:$C$47,0)),0)+IFERROR(INDEX($B$77:$B$99,MATCH("DN"&amp;$B45,$A$77:$A$99,0)),0),0)</f>
        <v>0</v>
      </c>
      <c r="G45" s="120" t="s">
        <v>1049</v>
      </c>
      <c r="H45" s="6">
        <f>IF(G45="SIM",IFERROR(INDEX(ELC_MG_PC!$J$48:$J$69,MATCH($B45,ELC_MG_PC!$C$48:$C$69,0)),0),0)</f>
        <v>0</v>
      </c>
      <c r="I45" s="120" t="s">
        <v>1049</v>
      </c>
      <c r="J45" s="6">
        <f>IF(I45="SIM",IFERROR(INDEX(ELC_MG_PC!$J$70:$J$91,MATCH($B45,ELC_MG_PC!$C$70:$C$91,0)),0),0)</f>
        <v>0</v>
      </c>
      <c r="K45" s="120" t="s">
        <v>1049</v>
      </c>
      <c r="L45" s="6">
        <f t="shared" si="21"/>
        <v>0</v>
      </c>
      <c r="M45" s="91">
        <f t="shared" si="22"/>
        <v>0</v>
      </c>
      <c r="N45" s="121">
        <f t="shared" si="23"/>
        <v>5367.5014040266669</v>
      </c>
      <c r="O45" s="5">
        <f t="shared" si="24"/>
        <v>0</v>
      </c>
      <c r="P45" s="6">
        <f>IFERROR(INDEX('PU CAST'!$T$54:$T$75,MATCH($B45,'PU CAST'!$S$54:$S$75,0)),0)</f>
        <v>69.351723000000007</v>
      </c>
      <c r="Q45" s="6">
        <f t="shared" si="25"/>
        <v>0</v>
      </c>
      <c r="R45" s="122">
        <f t="shared" si="26"/>
        <v>5367.5014040266669</v>
      </c>
      <c r="S45" s="92">
        <f t="shared" si="27"/>
        <v>5367.5014040266669</v>
      </c>
    </row>
    <row r="46" spans="1:19" ht="23.25" customHeight="1" x14ac:dyDescent="0.45">
      <c r="A46" s="125" t="s">
        <v>13</v>
      </c>
      <c r="B46" s="125">
        <v>28</v>
      </c>
      <c r="C46" s="120" t="s">
        <v>1049</v>
      </c>
      <c r="D46" s="6">
        <f>IF(C46="SIM",IFERROR(INDEX(ELC_MG_PC!$J$4:$J$25,MATCH($B46,ELC_MG_PC!$C$4:$C$25,0)),0)+IFERROR(INDEX($B$77:$B$99,MATCH("DN"&amp;$B46,$A$77:$A$99,0)),0),0)</f>
        <v>0</v>
      </c>
      <c r="E46" s="120" t="s">
        <v>1049</v>
      </c>
      <c r="F46" s="6">
        <f>IF(E46="SIM",IFERROR(INDEX(ELC_MG_PC!$J$26:$J$47,MATCH($B46,ELC_MG_PC!$C$26:$C$47,0)),0)+IFERROR(INDEX($B$77:$B$99,MATCH("DN"&amp;$B46,$A$77:$A$99,0)),0),0)</f>
        <v>0</v>
      </c>
      <c r="G46" s="120" t="s">
        <v>1049</v>
      </c>
      <c r="H46" s="6">
        <f>IF(G46="SIM",IFERROR(INDEX(ELC_MG_PC!$J$48:$J$69,MATCH($B46,ELC_MG_PC!$C$48:$C$69,0)),0),0)</f>
        <v>0</v>
      </c>
      <c r="I46" s="120" t="s">
        <v>1049</v>
      </c>
      <c r="J46" s="6">
        <f>IF(I46="SIM",IFERROR(INDEX(ELC_MG_PC!$J$70:$J$91,MATCH($B46,ELC_MG_PC!$C$70:$C$91,0)),0),0)</f>
        <v>0</v>
      </c>
      <c r="K46" s="120" t="s">
        <v>1049</v>
      </c>
      <c r="L46" s="6">
        <f t="shared" si="21"/>
        <v>0</v>
      </c>
      <c r="M46" s="91">
        <f t="shared" si="22"/>
        <v>0</v>
      </c>
      <c r="N46" s="121">
        <f t="shared" si="23"/>
        <v>7175.7815818666677</v>
      </c>
      <c r="O46" s="5">
        <f t="shared" si="24"/>
        <v>0</v>
      </c>
      <c r="P46" s="6">
        <f>IFERROR(INDEX('PU CAST'!$T$54:$T$75,MATCH($B46,'PU CAST'!$S$54:$S$75,0)),0)</f>
        <v>80.750319999999988</v>
      </c>
      <c r="Q46" s="6">
        <f t="shared" si="25"/>
        <v>0</v>
      </c>
      <c r="R46" s="122">
        <f t="shared" si="26"/>
        <v>7175.7815818666677</v>
      </c>
      <c r="S46" s="92">
        <f t="shared" si="27"/>
        <v>7175.7815818666677</v>
      </c>
    </row>
    <row r="47" spans="1:19" ht="23.25" customHeight="1" x14ac:dyDescent="0.45">
      <c r="A47" s="125" t="s">
        <v>13</v>
      </c>
      <c r="B47" s="125">
        <v>30</v>
      </c>
      <c r="C47" s="120" t="s">
        <v>1049</v>
      </c>
      <c r="D47" s="6">
        <f>IF(C47="SIM",IFERROR(INDEX(ELC_MG_PC!$J$4:$J$25,MATCH($B47,ELC_MG_PC!$C$4:$C$25,0)),0)+IFERROR(INDEX($B$77:$B$99,MATCH("DN"&amp;$B47,$A$77:$A$99,0)),0),0)</f>
        <v>0</v>
      </c>
      <c r="E47" s="120" t="s">
        <v>1049</v>
      </c>
      <c r="F47" s="6">
        <f>IF(E47="SIM",IFERROR(INDEX(ELC_MG_PC!$J$26:$J$47,MATCH($B47,ELC_MG_PC!$C$26:$C$47,0)),0)+IFERROR(INDEX($B$77:$B$99,MATCH("DN"&amp;$B47,$A$77:$A$99,0)),0),0)</f>
        <v>0</v>
      </c>
      <c r="G47" s="120" t="s">
        <v>1049</v>
      </c>
      <c r="H47" s="6">
        <f>IF(G47="SIM",IFERROR(INDEX(ELC_MG_PC!$J$48:$J$69,MATCH($B47,ELC_MG_PC!$C$48:$C$69,0)),0),0)</f>
        <v>0</v>
      </c>
      <c r="I47" s="120" t="s">
        <v>1049</v>
      </c>
      <c r="J47" s="6">
        <f>IF(I47="SIM",IFERROR(INDEX(ELC_MG_PC!$J$70:$J$91,MATCH($B47,ELC_MG_PC!$C$70:$C$91,0)),0),0)</f>
        <v>0</v>
      </c>
      <c r="K47" s="120" t="s">
        <v>1049</v>
      </c>
      <c r="L47" s="6">
        <f t="shared" si="21"/>
        <v>0</v>
      </c>
      <c r="M47" s="91">
        <f t="shared" si="22"/>
        <v>0</v>
      </c>
      <c r="N47" s="121">
        <f t="shared" si="23"/>
        <v>8137.5663341866675</v>
      </c>
      <c r="O47" s="5">
        <f t="shared" si="24"/>
        <v>0</v>
      </c>
      <c r="P47" s="6">
        <f>IFERROR(INDEX('PU CAST'!$T$54:$T$75,MATCH($B47,'PU CAST'!$S$54:$S$75,0)),0)</f>
        <v>80.750319999999988</v>
      </c>
      <c r="Q47" s="6">
        <f t="shared" si="25"/>
        <v>0</v>
      </c>
      <c r="R47" s="122">
        <f t="shared" si="26"/>
        <v>8137.5663341866675</v>
      </c>
      <c r="S47" s="92">
        <f t="shared" si="27"/>
        <v>8137.5663341866675</v>
      </c>
    </row>
    <row r="48" spans="1:19" ht="23.25" customHeight="1" x14ac:dyDescent="0.45">
      <c r="A48" s="125" t="s">
        <v>13</v>
      </c>
      <c r="B48" s="125">
        <v>32</v>
      </c>
      <c r="C48" s="120" t="s">
        <v>1049</v>
      </c>
      <c r="D48" s="6">
        <f>IF(C48="SIM",IFERROR(INDEX(ELC_MG_PC!$J$4:$J$25,MATCH($B48,ELC_MG_PC!$C$4:$C$25,0)),0)+IFERROR(INDEX($B$77:$B$99,MATCH("DN"&amp;$B48,$A$77:$A$99,0)),0),0)</f>
        <v>0</v>
      </c>
      <c r="E48" s="120" t="s">
        <v>1049</v>
      </c>
      <c r="F48" s="6">
        <f>IF(E48="SIM",IFERROR(INDEX(ELC_MG_PC!$J$26:$J$47,MATCH($B48,ELC_MG_PC!$C$26:$C$47,0)),0)+IFERROR(INDEX($B$77:$B$99,MATCH("DN"&amp;$B48,$A$77:$A$99,0)),0),0)</f>
        <v>0</v>
      </c>
      <c r="G48" s="120" t="s">
        <v>1049</v>
      </c>
      <c r="H48" s="6">
        <f>IF(G48="SIM",IFERROR(INDEX(ELC_MG_PC!$J$48:$J$69,MATCH($B48,ELC_MG_PC!$C$48:$C$69,0)),0),0)</f>
        <v>0</v>
      </c>
      <c r="I48" s="120" t="s">
        <v>1049</v>
      </c>
      <c r="J48" s="6">
        <f>IF(I48="SIM",IFERROR(INDEX(ELC_MG_PC!$J$70:$J$91,MATCH($B48,ELC_MG_PC!$C$70:$C$91,0)),0),0)</f>
        <v>0</v>
      </c>
      <c r="K48" s="120" t="s">
        <v>1049</v>
      </c>
      <c r="L48" s="6">
        <f t="shared" si="21"/>
        <v>0</v>
      </c>
      <c r="M48" s="91">
        <f t="shared" si="22"/>
        <v>0</v>
      </c>
      <c r="N48" s="121">
        <f t="shared" si="23"/>
        <v>9683.0356234666633</v>
      </c>
      <c r="O48" s="5">
        <f t="shared" si="24"/>
        <v>0</v>
      </c>
      <c r="P48" s="6">
        <f>IFERROR(INDEX('PU CAST'!$T$54:$T$75,MATCH($B48,'PU CAST'!$S$54:$S$75,0)),0)</f>
        <v>176.60415500000002</v>
      </c>
      <c r="Q48" s="6">
        <f t="shared" si="25"/>
        <v>0</v>
      </c>
      <c r="R48" s="122">
        <f t="shared" si="26"/>
        <v>9683.0356234666633</v>
      </c>
      <c r="S48" s="92">
        <f t="shared" si="27"/>
        <v>9683.0356234666633</v>
      </c>
    </row>
    <row r="49" spans="1:19" ht="23.25" customHeight="1" x14ac:dyDescent="0.45">
      <c r="A49" s="125" t="s">
        <v>13</v>
      </c>
      <c r="B49" s="125">
        <v>34</v>
      </c>
      <c r="C49" s="120" t="s">
        <v>1049</v>
      </c>
      <c r="D49" s="6">
        <f>IF(C49="SIM",IFERROR(INDEX(ELC_MG_PC!$J$4:$J$25,MATCH($B49,ELC_MG_PC!$C$4:$C$25,0)),0)+IFERROR(INDEX($B$77:$B$99,MATCH("DN"&amp;$B49,$A$77:$A$99,0)),0),0)</f>
        <v>0</v>
      </c>
      <c r="E49" s="120" t="s">
        <v>1049</v>
      </c>
      <c r="F49" s="6">
        <f>IF(E49="SIM",IFERROR(INDEX(ELC_MG_PC!$J$26:$J$47,MATCH($B49,ELC_MG_PC!$C$26:$C$47,0)),0)+IFERROR(INDEX($B$77:$B$99,MATCH("DN"&amp;$B49,$A$77:$A$99,0)),0),0)</f>
        <v>0</v>
      </c>
      <c r="G49" s="120" t="s">
        <v>1049</v>
      </c>
      <c r="H49" s="6">
        <f>IF(G49="SIM",IFERROR(INDEX(ELC_MG_PC!$J$48:$J$69,MATCH($B49,ELC_MG_PC!$C$48:$C$69,0)),0),0)</f>
        <v>0</v>
      </c>
      <c r="I49" s="120" t="s">
        <v>1049</v>
      </c>
      <c r="J49" s="6">
        <f>IF(I49="SIM",IFERROR(INDEX(ELC_MG_PC!$J$70:$J$91,MATCH($B49,ELC_MG_PC!$C$70:$C$91,0)),0),0)</f>
        <v>0</v>
      </c>
      <c r="K49" s="120" t="s">
        <v>1049</v>
      </c>
      <c r="L49" s="6">
        <f t="shared" si="21"/>
        <v>0</v>
      </c>
      <c r="M49" s="91">
        <f t="shared" si="22"/>
        <v>0</v>
      </c>
      <c r="N49" s="121">
        <f t="shared" si="23"/>
        <v>10327.561136346661</v>
      </c>
      <c r="O49" s="5">
        <f t="shared" si="24"/>
        <v>0</v>
      </c>
      <c r="P49" s="6">
        <f>IFERROR(INDEX('PU CAST'!$T$54:$T$75,MATCH($B49,'PU CAST'!$S$54:$S$75,0)),0)</f>
        <v>176.60415500000002</v>
      </c>
      <c r="Q49" s="6">
        <f t="shared" si="25"/>
        <v>0</v>
      </c>
      <c r="R49" s="122">
        <f t="shared" si="26"/>
        <v>10327.561136346661</v>
      </c>
      <c r="S49" s="92">
        <f t="shared" si="27"/>
        <v>10327.561136346661</v>
      </c>
    </row>
    <row r="50" spans="1:19" ht="23.25" customHeight="1" x14ac:dyDescent="0.45">
      <c r="A50" s="125" t="s">
        <v>13</v>
      </c>
      <c r="B50" s="125">
        <v>36</v>
      </c>
      <c r="C50" s="120" t="s">
        <v>1049</v>
      </c>
      <c r="D50" s="6">
        <f>IF(C50="SIM",IFERROR(INDEX(ELC_MG_PC!$J$4:$J$25,MATCH($B50,ELC_MG_PC!$C$4:$C$25,0)),0)+IFERROR(INDEX($B$77:$B$99,MATCH("DN"&amp;$B50,$A$77:$A$99,0)),0),0)</f>
        <v>0</v>
      </c>
      <c r="E50" s="120" t="s">
        <v>1049</v>
      </c>
      <c r="F50" s="6">
        <f>IF(E50="SIM",IFERROR(INDEX(ELC_MG_PC!$J$26:$J$47,MATCH($B50,ELC_MG_PC!$C$26:$C$47,0)),0)+IFERROR(INDEX($B$77:$B$99,MATCH("DN"&amp;$B50,$A$77:$A$99,0)),0),0)</f>
        <v>0</v>
      </c>
      <c r="G50" s="120" t="s">
        <v>1049</v>
      </c>
      <c r="H50" s="6">
        <f>IF(G50="SIM",IFERROR(INDEX(ELC_MG_PC!$J$48:$J$69,MATCH($B50,ELC_MG_PC!$C$48:$C$69,0)),0),0)</f>
        <v>0</v>
      </c>
      <c r="I50" s="120" t="s">
        <v>1049</v>
      </c>
      <c r="J50" s="6">
        <f>IF(I50="SIM",IFERROR(INDEX(ELC_MG_PC!$J$70:$J$91,MATCH($B50,ELC_MG_PC!$C$70:$C$91,0)),0),0)</f>
        <v>0</v>
      </c>
      <c r="K50" s="120" t="s">
        <v>1049</v>
      </c>
      <c r="L50" s="6">
        <f t="shared" si="21"/>
        <v>0</v>
      </c>
      <c r="M50" s="91">
        <f t="shared" si="22"/>
        <v>0</v>
      </c>
      <c r="N50" s="121">
        <f t="shared" si="23"/>
        <v>13374.563000826663</v>
      </c>
      <c r="O50" s="5">
        <f t="shared" si="24"/>
        <v>0</v>
      </c>
      <c r="P50" s="6">
        <f>IFERROR(INDEX('PU CAST'!$T$54:$T$75,MATCH($B50,'PU CAST'!$S$54:$S$75,0)),0)</f>
        <v>378.442792</v>
      </c>
      <c r="Q50" s="6">
        <f t="shared" si="25"/>
        <v>0</v>
      </c>
      <c r="R50" s="122">
        <f t="shared" si="26"/>
        <v>13374.563000826663</v>
      </c>
      <c r="S50" s="92">
        <f t="shared" si="27"/>
        <v>13374.563000826663</v>
      </c>
    </row>
    <row r="51" spans="1:19" ht="23.25" customHeight="1" x14ac:dyDescent="0.45">
      <c r="A51" s="125" t="s">
        <v>13</v>
      </c>
      <c r="B51" s="125">
        <v>38</v>
      </c>
      <c r="C51" s="120" t="s">
        <v>1050</v>
      </c>
      <c r="D51" s="6">
        <f>IF(C51="SIM",IFERROR(INDEX(ELC_MG_PC!$J$4:$J$25,MATCH($B51,ELC_MG_PC!$C$4:$C$25,0)),0)+IFERROR(INDEX($B$77:$B$99,MATCH("DN"&amp;$B51,$A$77:$A$99,0)),0),0)</f>
        <v>6004.8580294654703</v>
      </c>
      <c r="E51" s="120" t="s">
        <v>1049</v>
      </c>
      <c r="F51" s="6">
        <f>IF(E51="SIM",IFERROR(INDEX(ELC_MG_PC!$J$26:$J$47,MATCH($B51,ELC_MG_PC!$C$26:$C$47,0)),0)+IFERROR(INDEX($B$77:$B$99,MATCH("DN"&amp;$B51,$A$77:$A$99,0)),0),0)</f>
        <v>0</v>
      </c>
      <c r="G51" s="120" t="s">
        <v>1050</v>
      </c>
      <c r="H51" s="6">
        <f>IF(G51="SIM",IFERROR(INDEX(ELC_MG_PC!$J$48:$J$69,MATCH($B51,ELC_MG_PC!$C$48:$C$69,0)),0),0)</f>
        <v>2740</v>
      </c>
      <c r="I51" s="120" t="s">
        <v>1050</v>
      </c>
      <c r="J51" s="6">
        <f>IF(I51="SIM",IFERROR(INDEX(ELC_MG_PC!$J$70:$J$91,MATCH($B51,ELC_MG_PC!$C$70:$C$91,0)),0),0)</f>
        <v>4005.36</v>
      </c>
      <c r="K51" s="120" t="s">
        <v>1050</v>
      </c>
      <c r="L51" s="6">
        <f t="shared" si="21"/>
        <v>120</v>
      </c>
      <c r="M51" s="91">
        <f t="shared" si="22"/>
        <v>12870.218029465472</v>
      </c>
      <c r="N51" s="121">
        <f t="shared" si="23"/>
        <v>27203.649359972136</v>
      </c>
      <c r="O51" s="5">
        <f t="shared" si="24"/>
        <v>3</v>
      </c>
      <c r="P51" s="6">
        <f>IFERROR(INDEX('PU CAST'!$T$54:$T$75,MATCH($B51,'PU CAST'!$S$54:$S$75,0)),0)</f>
        <v>378.442792</v>
      </c>
      <c r="Q51" s="6">
        <f t="shared" si="25"/>
        <v>1135.3283759999999</v>
      </c>
      <c r="R51" s="122">
        <f t="shared" si="26"/>
        <v>14333.431330506663</v>
      </c>
      <c r="S51" s="92">
        <f t="shared" si="27"/>
        <v>28338.977735972137</v>
      </c>
    </row>
    <row r="52" spans="1:19" ht="23.25" customHeight="1" x14ac:dyDescent="0.45">
      <c r="A52" s="125" t="s">
        <v>13</v>
      </c>
      <c r="B52" s="125">
        <v>40</v>
      </c>
      <c r="C52" s="120" t="s">
        <v>1049</v>
      </c>
      <c r="D52" s="6">
        <f>IF(C52="SIM",IFERROR(INDEX(ELC_MG_PC!$J$4:$J$25,MATCH($B52,ELC_MG_PC!$C$4:$C$25,0)),0)+IFERROR(INDEX($B$77:$B$99,MATCH("DN"&amp;$B52,$A$77:$A$99,0)),0),0)</f>
        <v>0</v>
      </c>
      <c r="E52" s="120" t="s">
        <v>1049</v>
      </c>
      <c r="F52" s="6">
        <f>IF(E52="SIM",IFERROR(INDEX(ELC_MG_PC!$J$26:$J$47,MATCH($B52,ELC_MG_PC!$C$26:$C$47,0)),0)+IFERROR(INDEX($B$77:$B$99,MATCH("DN"&amp;$B52,$A$77:$A$99,0)),0),0)</f>
        <v>0</v>
      </c>
      <c r="G52" s="120" t="s">
        <v>1049</v>
      </c>
      <c r="H52" s="6">
        <f>IF(G52="SIM",IFERROR(INDEX(ELC_MG_PC!$J$48:$J$69,MATCH($B52,ELC_MG_PC!$C$48:$C$69,0)),0),0)</f>
        <v>0</v>
      </c>
      <c r="I52" s="120" t="s">
        <v>1049</v>
      </c>
      <c r="J52" s="6">
        <f>IF(I52="SIM",IFERROR(INDEX(ELC_MG_PC!$J$70:$J$91,MATCH($B52,ELC_MG_PC!$C$70:$C$91,0)),0),0)</f>
        <v>0</v>
      </c>
      <c r="K52" s="120" t="s">
        <v>1049</v>
      </c>
      <c r="L52" s="6">
        <f t="shared" si="21"/>
        <v>0</v>
      </c>
      <c r="M52" s="91">
        <f t="shared" si="22"/>
        <v>0</v>
      </c>
      <c r="N52" s="121">
        <f t="shared" si="23"/>
        <v>15967.867188186663</v>
      </c>
      <c r="O52" s="5">
        <f t="shared" si="24"/>
        <v>0</v>
      </c>
      <c r="P52" s="6">
        <f>IFERROR(INDEX('PU CAST'!$T$54:$T$75,MATCH($B52,'PU CAST'!$S$54:$S$75,0)),0)</f>
        <v>460.06405900000004</v>
      </c>
      <c r="Q52" s="6">
        <f t="shared" si="25"/>
        <v>0</v>
      </c>
      <c r="R52" s="122">
        <f t="shared" si="26"/>
        <v>15967.867188186663</v>
      </c>
      <c r="S52" s="92">
        <f t="shared" si="27"/>
        <v>15967.867188186663</v>
      </c>
    </row>
    <row r="53" spans="1:19" ht="23.25" customHeight="1" x14ac:dyDescent="0.45">
      <c r="A53" s="125" t="s">
        <v>13</v>
      </c>
      <c r="B53" s="125">
        <v>42</v>
      </c>
      <c r="C53" s="120" t="s">
        <v>1049</v>
      </c>
      <c r="D53" s="6">
        <f>IF(C53="SIM",IFERROR(INDEX(ELC_MG_PC!$J$4:$J$25,MATCH($B53,ELC_MG_PC!$C$4:$C$25,0)),0)+IFERROR(INDEX($B$77:$B$99,MATCH("DN"&amp;$B53,$A$77:$A$99,0)),0),0)</f>
        <v>0</v>
      </c>
      <c r="E53" s="120" t="s">
        <v>1049</v>
      </c>
      <c r="F53" s="6">
        <f>IF(E53="SIM",IFERROR(INDEX(ELC_MG_PC!$J$26:$J$47,MATCH($B53,ELC_MG_PC!$C$26:$C$47,0)),0)+IFERROR(INDEX($B$77:$B$99,MATCH("DN"&amp;$B53,$A$77:$A$99,0)),0),0)</f>
        <v>0</v>
      </c>
      <c r="G53" s="120" t="s">
        <v>1049</v>
      </c>
      <c r="H53" s="6">
        <f>IF(G53="SIM",IFERROR(INDEX(ELC_MG_PC!$J$48:$J$69,MATCH($B53,ELC_MG_PC!$C$48:$C$69,0)),0),0)</f>
        <v>0</v>
      </c>
      <c r="I53" s="120" t="s">
        <v>1049</v>
      </c>
      <c r="J53" s="6">
        <f>IF(I53="SIM",IFERROR(INDEX(ELC_MG_PC!$J$70:$J$91,MATCH($B53,ELC_MG_PC!$C$70:$C$91,0)),0),0)</f>
        <v>0</v>
      </c>
      <c r="K53" s="120" t="s">
        <v>1049</v>
      </c>
      <c r="L53" s="6">
        <f t="shared" si="21"/>
        <v>0</v>
      </c>
      <c r="M53" s="91">
        <f t="shared" si="22"/>
        <v>0</v>
      </c>
      <c r="N53" s="121">
        <f t="shared" si="23"/>
        <v>17690.072672426664</v>
      </c>
      <c r="O53" s="5">
        <f t="shared" si="24"/>
        <v>0</v>
      </c>
      <c r="P53" s="6">
        <f>IFERROR(INDEX('PU CAST'!$T$54:$T$75,MATCH($B53,'PU CAST'!$S$54:$S$75,0)),0)</f>
        <v>511.20296500000001</v>
      </c>
      <c r="Q53" s="6">
        <f t="shared" si="25"/>
        <v>0</v>
      </c>
      <c r="R53" s="122">
        <f t="shared" si="26"/>
        <v>17690.072672426664</v>
      </c>
      <c r="S53" s="92">
        <f t="shared" si="27"/>
        <v>17690.072672426664</v>
      </c>
    </row>
    <row r="54" spans="1:19" ht="23.25" customHeight="1" x14ac:dyDescent="0.45">
      <c r="A54" s="403" t="s">
        <v>1051</v>
      </c>
      <c r="B54" s="403"/>
      <c r="C54" s="403"/>
      <c r="D54" s="403"/>
      <c r="E54" s="403"/>
      <c r="F54" s="403"/>
      <c r="G54" s="403"/>
      <c r="H54" s="403"/>
      <c r="I54" s="403"/>
      <c r="J54" s="403"/>
      <c r="K54" s="403"/>
      <c r="L54" s="403"/>
      <c r="M54" s="403"/>
      <c r="N54" s="403"/>
      <c r="O54" s="403"/>
    </row>
    <row r="75" spans="1:2" ht="23.25" customHeight="1" x14ac:dyDescent="0.45">
      <c r="A75" s="440" t="s">
        <v>1052</v>
      </c>
      <c r="B75" s="440"/>
    </row>
    <row r="76" spans="1:2" ht="23.25" customHeight="1" x14ac:dyDescent="0.45">
      <c r="A76" s="123" t="s">
        <v>1053</v>
      </c>
      <c r="B76" s="124">
        <v>0</v>
      </c>
    </row>
    <row r="77" spans="1:2" ht="23.25" customHeight="1" x14ac:dyDescent="0.45">
      <c r="A77" s="123" t="s">
        <v>1054</v>
      </c>
      <c r="B77" s="124">
        <v>0</v>
      </c>
    </row>
    <row r="78" spans="1:2" ht="23.25" customHeight="1" x14ac:dyDescent="0.45">
      <c r="A78" s="123" t="s">
        <v>1055</v>
      </c>
      <c r="B78" s="124">
        <v>0</v>
      </c>
    </row>
    <row r="79" spans="1:2" ht="23.25" customHeight="1" x14ac:dyDescent="0.45">
      <c r="A79" s="123" t="s">
        <v>1056</v>
      </c>
      <c r="B79" s="124">
        <v>0</v>
      </c>
    </row>
    <row r="80" spans="1:2" ht="23.25" customHeight="1" x14ac:dyDescent="0.45">
      <c r="A80" s="123" t="s">
        <v>1057</v>
      </c>
      <c r="B80" s="124">
        <v>0</v>
      </c>
    </row>
    <row r="81" spans="1:2" ht="23.25" customHeight="1" x14ac:dyDescent="0.45">
      <c r="A81" s="123" t="s">
        <v>1058</v>
      </c>
      <c r="B81" s="124">
        <v>22.331679999999999</v>
      </c>
    </row>
    <row r="82" spans="1:2" ht="23.25" customHeight="1" x14ac:dyDescent="0.45">
      <c r="A82" s="123" t="s">
        <v>1059</v>
      </c>
      <c r="B82" s="124">
        <v>22.331679999999999</v>
      </c>
    </row>
    <row r="83" spans="1:2" ht="23.25" customHeight="1" x14ac:dyDescent="0.45">
      <c r="A83" s="123" t="s">
        <v>1060</v>
      </c>
      <c r="B83" s="124">
        <v>62.827632000000001</v>
      </c>
    </row>
    <row r="84" spans="1:2" ht="23.25" customHeight="1" x14ac:dyDescent="0.45">
      <c r="A84" s="123" t="s">
        <v>1061</v>
      </c>
      <c r="B84" s="124">
        <v>111.693568</v>
      </c>
    </row>
    <row r="85" spans="1:2" ht="23.25" customHeight="1" x14ac:dyDescent="0.45">
      <c r="A85" s="123" t="s">
        <v>1062</v>
      </c>
      <c r="B85" s="124">
        <v>111.693568</v>
      </c>
    </row>
    <row r="86" spans="1:2" ht="23.25" customHeight="1" x14ac:dyDescent="0.45">
      <c r="A86" s="123" t="s">
        <v>1063</v>
      </c>
      <c r="B86" s="124">
        <v>111.693568</v>
      </c>
    </row>
    <row r="87" spans="1:2" ht="23.25" customHeight="1" x14ac:dyDescent="0.45">
      <c r="A87" s="123" t="s">
        <v>1064</v>
      </c>
      <c r="B87" s="124">
        <v>192.40962300000001</v>
      </c>
    </row>
    <row r="88" spans="1:2" ht="23.25" customHeight="1" x14ac:dyDescent="0.45">
      <c r="A88" s="123" t="s">
        <v>1065</v>
      </c>
      <c r="B88" s="124">
        <v>294.94082800000001</v>
      </c>
    </row>
    <row r="89" spans="1:2" ht="23.25" customHeight="1" x14ac:dyDescent="0.45">
      <c r="A89" s="123" t="s">
        <v>1066</v>
      </c>
      <c r="B89" s="124">
        <v>294.94082800000001</v>
      </c>
    </row>
    <row r="90" spans="1:2" ht="23.25" customHeight="1" x14ac:dyDescent="0.45">
      <c r="A90" s="123" t="s">
        <v>1067</v>
      </c>
      <c r="B90" s="124">
        <v>967.36624856474396</v>
      </c>
    </row>
    <row r="91" spans="1:2" ht="23.25" customHeight="1" x14ac:dyDescent="0.45">
      <c r="A91" s="123" t="s">
        <v>1068</v>
      </c>
      <c r="B91" s="124">
        <v>1188.2410506680901</v>
      </c>
    </row>
    <row r="92" spans="1:2" ht="23.25" customHeight="1" x14ac:dyDescent="0.45">
      <c r="A92" s="123" t="s">
        <v>1069</v>
      </c>
      <c r="B92" s="124">
        <v>1430.93100277143</v>
      </c>
    </row>
    <row r="93" spans="1:2" ht="23.25" customHeight="1" x14ac:dyDescent="0.45">
      <c r="A93" s="123" t="s">
        <v>1070</v>
      </c>
      <c r="B93" s="124">
        <v>1738.18805224013</v>
      </c>
    </row>
    <row r="94" spans="1:2" ht="23.25" customHeight="1" x14ac:dyDescent="0.45">
      <c r="A94" s="123" t="s">
        <v>1071</v>
      </c>
      <c r="B94" s="124">
        <v>2028.6190685132201</v>
      </c>
    </row>
    <row r="95" spans="1:2" ht="23.25" customHeight="1" x14ac:dyDescent="0.45">
      <c r="A95" s="123" t="s">
        <v>1072</v>
      </c>
      <c r="B95" s="124">
        <v>2340.8652347862999</v>
      </c>
    </row>
    <row r="96" spans="1:2" ht="23.25" customHeight="1" x14ac:dyDescent="0.45">
      <c r="A96" s="123" t="s">
        <v>1073</v>
      </c>
      <c r="B96" s="124">
        <v>2674.92655105939</v>
      </c>
    </row>
    <row r="97" spans="1:2" ht="23.25" customHeight="1" x14ac:dyDescent="0.45">
      <c r="A97" s="123" t="s">
        <v>1074</v>
      </c>
      <c r="B97" s="124">
        <v>3208.38802946547</v>
      </c>
    </row>
    <row r="98" spans="1:2" ht="23.25" customHeight="1" x14ac:dyDescent="0.45">
      <c r="A98" s="123" t="s">
        <v>1075</v>
      </c>
      <c r="B98" s="124">
        <v>3598.4119382478002</v>
      </c>
    </row>
    <row r="99" spans="1:2" ht="23.25" customHeight="1" x14ac:dyDescent="0.45">
      <c r="A99" s="123" t="s">
        <v>1076</v>
      </c>
      <c r="B99" s="124">
        <v>4010.2509970301198</v>
      </c>
    </row>
  </sheetData>
  <autoFilter ref="A31:BJ54" xr:uid="{00000000-0001-0000-0600-000000000000}"/>
  <mergeCells count="20">
    <mergeCell ref="A30:L30"/>
    <mergeCell ref="A54:O54"/>
    <mergeCell ref="A75:B75"/>
    <mergeCell ref="A1:BJ1"/>
    <mergeCell ref="A2:BJ2"/>
    <mergeCell ref="A4:A5"/>
    <mergeCell ref="B4:B5"/>
    <mergeCell ref="C4:F4"/>
    <mergeCell ref="G4:J4"/>
    <mergeCell ref="K4:N4"/>
    <mergeCell ref="O4:S4"/>
    <mergeCell ref="T4:Y4"/>
    <mergeCell ref="Z4:AC4"/>
    <mergeCell ref="AD4:AI4"/>
    <mergeCell ref="AJ4:AN4"/>
    <mergeCell ref="AO4:AS4"/>
    <mergeCell ref="AT4:AX4"/>
    <mergeCell ref="AY4:BB4"/>
    <mergeCell ref="BC4:BJ4"/>
    <mergeCell ref="N29:S30"/>
  </mergeCells>
  <conditionalFormatting sqref="C32:C53">
    <cfRule type="containsText" dxfId="9" priority="2" operator="containsText" text="SIM">
      <formula>NOT(ISERROR(SEARCH("SIM",C32)))</formula>
    </cfRule>
  </conditionalFormatting>
  <conditionalFormatting sqref="E32:E53">
    <cfRule type="containsText" dxfId="8" priority="3" operator="containsText" text="SIM">
      <formula>NOT(ISERROR(SEARCH("SIM",E32)))</formula>
    </cfRule>
  </conditionalFormatting>
  <conditionalFormatting sqref="G32:G53">
    <cfRule type="containsText" dxfId="7" priority="4" operator="containsText" text="SIM">
      <formula>NOT(ISERROR(SEARCH("SIM",G32)))</formula>
    </cfRule>
  </conditionalFormatting>
  <conditionalFormatting sqref="I32:I53">
    <cfRule type="containsText" dxfId="6" priority="5" operator="containsText" text="SIM">
      <formula>NOT(ISERROR(SEARCH("SIM",I32)))</formula>
    </cfRule>
  </conditionalFormatting>
  <conditionalFormatting sqref="K32:K53">
    <cfRule type="containsText" dxfId="5" priority="6" operator="containsText" text="SIM">
      <formula>NOT(ISERROR(SEARCH("SIM",K32)))</formula>
    </cfRule>
  </conditionalFormatting>
  <dataValidations count="1">
    <dataValidation type="list" sqref="C32:C53 E32:E53 G32:G53 I32:I53 K32:K53" xr:uid="{00000000-0002-0000-0600-000000000000}">
      <formula1>"SIM,NÃO"</formula1>
      <formula2>0</formula2>
    </dataValidation>
  </dataValidations>
  <hyperlinks>
    <hyperlink ref="A3" location="PAINEL!A1" tooltip="Voltar ao Painel de Navegação" display="⬅ PAINEL" xr:uid="{E3021454-4638-4089-8B5F-D40ACA565A08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Y977"/>
  <sheetViews>
    <sheetView zoomScale="115" zoomScaleNormal="115" workbookViewId="0">
      <pane ySplit="1" topLeftCell="A2" activePane="bottomLeft" state="frozen"/>
      <selection activeCell="D1" sqref="D1"/>
      <selection pane="bottomLeft" activeCell="G13" sqref="G13"/>
    </sheetView>
  </sheetViews>
  <sheetFormatPr defaultColWidth="8.5546875" defaultRowHeight="14.4" x14ac:dyDescent="0.3"/>
  <cols>
    <col min="1" max="1" width="10.5546875" style="43" customWidth="1"/>
    <col min="2" max="2" width="21.109375" style="43" customWidth="1"/>
    <col min="3" max="3" width="7.33203125" style="44" customWidth="1"/>
    <col min="4" max="4" width="28.6640625" style="23" customWidth="1"/>
    <col min="5" max="5" width="29.44140625" style="23" customWidth="1"/>
    <col min="6" max="8" width="19.88671875" style="23" customWidth="1"/>
    <col min="9" max="9" width="18" style="23" customWidth="1"/>
    <col min="10" max="10" width="19.88671875" style="23" customWidth="1"/>
    <col min="11" max="11" width="14.77734375" style="23" customWidth="1"/>
    <col min="12" max="12" width="17.5546875" style="23" customWidth="1"/>
    <col min="13" max="13" width="24.109375" style="23" customWidth="1"/>
    <col min="14" max="25" width="8.5546875" style="23"/>
  </cols>
  <sheetData>
    <row r="1" spans="1:13" s="23" customFormat="1" ht="36.75" customHeight="1" x14ac:dyDescent="0.3">
      <c r="A1" s="358" t="s">
        <v>1757</v>
      </c>
      <c r="B1" s="445" t="s">
        <v>876</v>
      </c>
      <c r="C1" s="445"/>
      <c r="D1" s="445"/>
      <c r="E1" s="445"/>
      <c r="F1" s="445"/>
      <c r="G1" s="445"/>
      <c r="H1" s="445"/>
      <c r="I1" s="445"/>
    </row>
    <row r="2" spans="1:13" s="23" customFormat="1" ht="36.75" customHeight="1" x14ac:dyDescent="0.3">
      <c r="A2" s="43"/>
      <c r="B2" s="445"/>
      <c r="C2" s="445"/>
      <c r="D2" s="445"/>
      <c r="E2" s="445"/>
      <c r="F2" s="445"/>
      <c r="G2" s="445"/>
      <c r="H2" s="445"/>
      <c r="I2" s="445"/>
    </row>
    <row r="3" spans="1:13" s="23" customFormat="1" ht="30" customHeight="1" x14ac:dyDescent="0.3">
      <c r="A3" s="43"/>
      <c r="B3" s="45" t="s">
        <v>877</v>
      </c>
      <c r="C3" s="46" t="s">
        <v>10</v>
      </c>
      <c r="D3" s="47" t="s">
        <v>878</v>
      </c>
      <c r="E3" s="47" t="s">
        <v>879</v>
      </c>
      <c r="F3" s="47" t="s">
        <v>880</v>
      </c>
      <c r="G3" s="47" t="s">
        <v>881</v>
      </c>
      <c r="H3" s="47" t="s">
        <v>882</v>
      </c>
      <c r="I3" s="48" t="s">
        <v>883</v>
      </c>
      <c r="K3" s="346" t="s">
        <v>1040</v>
      </c>
      <c r="L3" s="347" t="s">
        <v>1591</v>
      </c>
      <c r="M3" s="348" t="s">
        <v>958</v>
      </c>
    </row>
    <row r="4" spans="1:13" s="23" customFormat="1" ht="24" customHeight="1" x14ac:dyDescent="0.3">
      <c r="A4" s="43"/>
      <c r="B4" s="49" t="s">
        <v>884</v>
      </c>
      <c r="C4" s="50">
        <v>2</v>
      </c>
      <c r="D4" s="51">
        <f>IFERROR(INDEX(LBD!$AZ$6:$AZ$27,MATCH($C4,LBD!$B$6:$B$27,0)),0)</f>
        <v>0</v>
      </c>
      <c r="E4" s="51">
        <f>IFERROR(INDEX(LBD!$BA$6:$BA$27,MATCH($C4,LBD!$B$6:$B$27,0)),0)</f>
        <v>0</v>
      </c>
      <c r="F4" s="52">
        <f>PARÂMETROS!$H$3</f>
        <v>40</v>
      </c>
      <c r="G4" s="53">
        <v>4.9490740740740703E-2</v>
      </c>
      <c r="H4" s="54">
        <f t="shared" ref="H4:H25" si="0">(G4*F4)*24</f>
        <v>47.511111111111077</v>
      </c>
      <c r="I4" s="55">
        <f>H4+D4</f>
        <v>47.511111111111077</v>
      </c>
      <c r="K4" s="349" t="s">
        <v>1049</v>
      </c>
      <c r="L4" s="350">
        <f>IFERROR(IF($K4="SIM",INDEX(LBD!$BI$6:$BI$27,MATCH($C4,LBD!$B$6:$B$27,0)),0),0)</f>
        <v>0</v>
      </c>
      <c r="M4" s="351">
        <f>I4+L4</f>
        <v>47.511111111111077</v>
      </c>
    </row>
    <row r="5" spans="1:13" s="23" customFormat="1" ht="24" customHeight="1" x14ac:dyDescent="0.3">
      <c r="A5" s="57"/>
      <c r="B5" s="49" t="s">
        <v>884</v>
      </c>
      <c r="C5" s="50">
        <v>3</v>
      </c>
      <c r="D5" s="51">
        <f>IFERROR(INDEX(LBD!$AZ$6:$AZ$27,MATCH($C5,LBD!$B$6:$B$27,0)),0)</f>
        <v>0</v>
      </c>
      <c r="E5" s="51">
        <f>IFERROR(INDEX(LBD!$BA$6:$BA$27,MATCH($C5,LBD!$B$6:$B$27,0)),0)</f>
        <v>0</v>
      </c>
      <c r="F5" s="52">
        <f>PARÂMETROS!$H$3</f>
        <v>40</v>
      </c>
      <c r="G5" s="53">
        <v>4.9490740740740703E-2</v>
      </c>
      <c r="H5" s="54">
        <f t="shared" si="0"/>
        <v>47.511111111111077</v>
      </c>
      <c r="I5" s="55">
        <f>H5+D5</f>
        <v>47.511111111111077</v>
      </c>
      <c r="K5" s="349" t="s">
        <v>1049</v>
      </c>
      <c r="L5" s="350">
        <f>IFERROR(IF($K5="SIM",INDEX(LBD!$BI$6:$BI$27,MATCH($C5,LBD!$B$6:$B$27,0)),0),0)</f>
        <v>0</v>
      </c>
      <c r="M5" s="351">
        <f t="shared" ref="M5:M25" si="1">I5+L5</f>
        <v>47.511111111111077</v>
      </c>
    </row>
    <row r="6" spans="1:13" s="23" customFormat="1" ht="24" customHeight="1" x14ac:dyDescent="0.3">
      <c r="A6" s="57"/>
      <c r="B6" s="49" t="s">
        <v>884</v>
      </c>
      <c r="C6" s="50">
        <v>4</v>
      </c>
      <c r="D6" s="51">
        <f>IFERROR(INDEX(LBD!$AZ$6:$AZ$27,MATCH($C6,LBD!$B$6:$B$27,0)),0)</f>
        <v>0</v>
      </c>
      <c r="E6" s="51">
        <f>IFERROR(INDEX(LBD!$BA$6:$BA$27,MATCH($C6,LBD!$B$6:$B$27,0)),0)</f>
        <v>0</v>
      </c>
      <c r="F6" s="52">
        <f>PARÂMETROS!$H$3</f>
        <v>40</v>
      </c>
      <c r="G6" s="53">
        <v>6.3398148148148203E-2</v>
      </c>
      <c r="H6" s="54">
        <f t="shared" si="0"/>
        <v>60.862222222222272</v>
      </c>
      <c r="I6" s="55">
        <f>H6+D6</f>
        <v>60.862222222222272</v>
      </c>
      <c r="K6" s="349" t="s">
        <v>1049</v>
      </c>
      <c r="L6" s="350">
        <f>IFERROR(IF($K6="SIM",INDEX(LBD!$BI$6:$BI$27,MATCH($C6,LBD!$B$6:$B$27,0)),0),0)</f>
        <v>0</v>
      </c>
      <c r="M6" s="351">
        <f t="shared" si="1"/>
        <v>60.862222222222272</v>
      </c>
    </row>
    <row r="7" spans="1:13" s="23" customFormat="1" ht="24" customHeight="1" x14ac:dyDescent="0.3">
      <c r="A7" s="57"/>
      <c r="B7" s="49" t="s">
        <v>884</v>
      </c>
      <c r="C7" s="50">
        <v>6</v>
      </c>
      <c r="D7" s="58">
        <f>IFERROR(INDEX(LBD!$AZ$6:$AZ$27,MATCH($C7,LBD!$B$6:$B$27,0)),0)</f>
        <v>117.9853</v>
      </c>
      <c r="E7" s="58">
        <f>IFERROR(INDEX(LBD!$BA$6:$BA$27,MATCH($C7,LBD!$B$6:$B$27,0)),0)</f>
        <v>100.80000000000001</v>
      </c>
      <c r="F7" s="52">
        <f>PARÂMETROS!$H$3</f>
        <v>40</v>
      </c>
      <c r="G7" s="53">
        <v>7.9212962962962999E-2</v>
      </c>
      <c r="H7" s="54">
        <f t="shared" si="0"/>
        <v>76.04444444444448</v>
      </c>
      <c r="I7" s="55">
        <f t="shared" ref="I7:I25" si="2">H7+E7+D7</f>
        <v>294.82974444444449</v>
      </c>
      <c r="K7" s="349" t="s">
        <v>1049</v>
      </c>
      <c r="L7" s="350">
        <f>IFERROR(IF($K7="SIM",INDEX(LBD!$BI$6:$BI$27,MATCH($C7,LBD!$B$6:$B$27,0)),0),0)</f>
        <v>0</v>
      </c>
      <c r="M7" s="351">
        <f t="shared" si="1"/>
        <v>294.82974444444449</v>
      </c>
    </row>
    <row r="8" spans="1:13" s="23" customFormat="1" ht="26.4" customHeight="1" x14ac:dyDescent="0.3">
      <c r="A8" s="57"/>
      <c r="B8" s="49" t="s">
        <v>884</v>
      </c>
      <c r="C8" s="50">
        <v>8</v>
      </c>
      <c r="D8" s="58">
        <f>IFERROR(INDEX(LBD!$AZ$6:$AZ$27,MATCH($C8,LBD!$B$6:$B$27,0)),0)</f>
        <v>161.25186000000002</v>
      </c>
      <c r="E8" s="58">
        <f>IFERROR(INDEX(LBD!$BA$6:$BA$27,MATCH($C8,LBD!$B$6:$B$27,0)),0)</f>
        <v>158.4</v>
      </c>
      <c r="F8" s="52">
        <f>PARÂMETROS!$H$3</f>
        <v>40</v>
      </c>
      <c r="G8" s="53">
        <v>9.7569444444444403E-2</v>
      </c>
      <c r="H8" s="54">
        <f t="shared" si="0"/>
        <v>93.666666666666629</v>
      </c>
      <c r="I8" s="55">
        <f t="shared" si="2"/>
        <v>413.31852666666668</v>
      </c>
      <c r="K8" s="349" t="s">
        <v>1049</v>
      </c>
      <c r="L8" s="350">
        <f>IFERROR(IF($K8="SIM",INDEX(LBD!$BI$6:$BI$27,MATCH($C8,LBD!$B$6:$B$27,0)),0),0)</f>
        <v>0</v>
      </c>
      <c r="M8" s="351">
        <f t="shared" si="1"/>
        <v>413.31852666666668</v>
      </c>
    </row>
    <row r="9" spans="1:13" s="23" customFormat="1" ht="24" customHeight="1" x14ac:dyDescent="0.3">
      <c r="A9" s="57"/>
      <c r="B9" s="49" t="s">
        <v>884</v>
      </c>
      <c r="C9" s="50">
        <v>10</v>
      </c>
      <c r="D9" s="58">
        <f>IFERROR(INDEX(LBD!$AZ$6:$AZ$27,MATCH($C9,LBD!$B$6:$B$27,0)),0)</f>
        <v>247.64346</v>
      </c>
      <c r="E9" s="58">
        <f>IFERROR(INDEX(LBD!$BA$6:$BA$27,MATCH($C9,LBD!$B$6:$B$27,0)),0)</f>
        <v>174.4</v>
      </c>
      <c r="F9" s="52">
        <f>PARÂMETROS!$H$3</f>
        <v>40</v>
      </c>
      <c r="G9" s="53">
        <v>9.7569444444444403E-2</v>
      </c>
      <c r="H9" s="54">
        <f t="shared" si="0"/>
        <v>93.666666666666629</v>
      </c>
      <c r="I9" s="55">
        <f t="shared" si="2"/>
        <v>515.71012666666661</v>
      </c>
      <c r="K9" s="349" t="s">
        <v>1049</v>
      </c>
      <c r="L9" s="350">
        <f>IFERROR(IF($K9="SIM",INDEX(LBD!$BI$6:$BI$27,MATCH($C9,LBD!$B$6:$B$27,0)),0),0)</f>
        <v>0</v>
      </c>
      <c r="M9" s="351">
        <f t="shared" si="1"/>
        <v>515.71012666666661</v>
      </c>
    </row>
    <row r="10" spans="1:13" s="23" customFormat="1" ht="24" customHeight="1" x14ac:dyDescent="0.3">
      <c r="A10" s="57"/>
      <c r="B10" s="49" t="s">
        <v>884</v>
      </c>
      <c r="C10" s="50">
        <v>12</v>
      </c>
      <c r="D10" s="58">
        <f>IFERROR(INDEX(LBD!$AZ$6:$AZ$27,MATCH($C10,LBD!$B$6:$B$27,0)),0)</f>
        <v>353.50092000000001</v>
      </c>
      <c r="E10" s="58">
        <f>IFERROR(INDEX(LBD!$BA$6:$BA$27,MATCH($C10,LBD!$B$6:$B$27,0)),0)</f>
        <v>190.4</v>
      </c>
      <c r="F10" s="52">
        <f>PARÂMETROS!$H$3</f>
        <v>40</v>
      </c>
      <c r="G10" s="53">
        <v>9.7569444444444403E-2</v>
      </c>
      <c r="H10" s="54">
        <f t="shared" si="0"/>
        <v>93.666666666666629</v>
      </c>
      <c r="I10" s="55">
        <f t="shared" si="2"/>
        <v>637.56758666666656</v>
      </c>
      <c r="K10" s="349" t="s">
        <v>1049</v>
      </c>
      <c r="L10" s="350">
        <f>IFERROR(IF($K10="SIM",INDEX(LBD!$BI$6:$BI$27,MATCH($C10,LBD!$B$6:$B$27,0)),0),0)</f>
        <v>0</v>
      </c>
      <c r="M10" s="351">
        <f t="shared" si="1"/>
        <v>637.56758666666656</v>
      </c>
    </row>
    <row r="11" spans="1:13" s="23" customFormat="1" ht="24" customHeight="1" x14ac:dyDescent="0.3">
      <c r="A11" s="57"/>
      <c r="B11" s="49" t="s">
        <v>884</v>
      </c>
      <c r="C11" s="50">
        <v>14</v>
      </c>
      <c r="D11" s="58">
        <f>IFERROR(INDEX(LBD!$AZ$6:$AZ$27,MATCH($C11,LBD!$B$6:$B$27,0)),0)</f>
        <v>418.18885999999998</v>
      </c>
      <c r="E11" s="58">
        <f>IFERROR(INDEX(LBD!$BA$6:$BA$27,MATCH($C11,LBD!$B$6:$B$27,0)),0)</f>
        <v>190.4</v>
      </c>
      <c r="F11" s="52">
        <f>PARÂMETROS!$H$3</f>
        <v>40</v>
      </c>
      <c r="G11" s="53">
        <v>9.7569444444444403E-2</v>
      </c>
      <c r="H11" s="54">
        <f t="shared" si="0"/>
        <v>93.666666666666629</v>
      </c>
      <c r="I11" s="55">
        <f t="shared" si="2"/>
        <v>702.25552666666658</v>
      </c>
      <c r="K11" s="349" t="s">
        <v>1049</v>
      </c>
      <c r="L11" s="350">
        <f>IFERROR(IF($K11="SIM",INDEX(LBD!$BI$6:$BI$27,MATCH($C11,LBD!$B$6:$B$27,0)),0),0)</f>
        <v>0</v>
      </c>
      <c r="M11" s="351">
        <f t="shared" si="1"/>
        <v>702.25552666666658</v>
      </c>
    </row>
    <row r="12" spans="1:13" s="23" customFormat="1" ht="24" customHeight="1" x14ac:dyDescent="0.3">
      <c r="A12" s="57"/>
      <c r="B12" s="49" t="s">
        <v>884</v>
      </c>
      <c r="C12" s="50">
        <v>16</v>
      </c>
      <c r="D12" s="58">
        <f>IFERROR(INDEX(LBD!$AZ$6:$AZ$27,MATCH($C12,LBD!$B$6:$B$27,0)),0)</f>
        <v>480.49608000000001</v>
      </c>
      <c r="E12" s="58">
        <f>IFERROR(INDEX(LBD!$BA$6:$BA$27,MATCH($C12,LBD!$B$6:$B$27,0)),0)</f>
        <v>214.4</v>
      </c>
      <c r="F12" s="52">
        <f>PARÂMETROS!$H$3</f>
        <v>40</v>
      </c>
      <c r="G12" s="53">
        <v>0.195138888888889</v>
      </c>
      <c r="H12" s="54">
        <f t="shared" si="0"/>
        <v>187.33333333333343</v>
      </c>
      <c r="I12" s="55">
        <f t="shared" si="2"/>
        <v>882.22941333333347</v>
      </c>
      <c r="K12" s="349" t="s">
        <v>1049</v>
      </c>
      <c r="L12" s="350">
        <f>IFERROR(IF($K12="SIM",INDEX(LBD!$BI$6:$BI$27,MATCH($C12,LBD!$B$6:$B$27,0)),0),0)</f>
        <v>0</v>
      </c>
      <c r="M12" s="351">
        <f t="shared" si="1"/>
        <v>882.22941333333347</v>
      </c>
    </row>
    <row r="13" spans="1:13" s="23" customFormat="1" ht="24" customHeight="1" x14ac:dyDescent="0.3">
      <c r="A13" s="57"/>
      <c r="B13" s="49" t="s">
        <v>884</v>
      </c>
      <c r="C13" s="50">
        <v>18</v>
      </c>
      <c r="D13" s="58">
        <f>IFERROR(INDEX(LBD!$AZ$6:$AZ$27,MATCH($C13,LBD!$B$6:$B$27,0)),0)</f>
        <v>750.13954000000001</v>
      </c>
      <c r="E13" s="58">
        <f>IFERROR(INDEX(LBD!$BA$6:$BA$27,MATCH($C13,LBD!$B$6:$B$27,0)),0)</f>
        <v>230.4</v>
      </c>
      <c r="F13" s="52">
        <f>PARÂMETROS!$H$3</f>
        <v>40</v>
      </c>
      <c r="G13" s="53">
        <v>0.195138888888889</v>
      </c>
      <c r="H13" s="54">
        <f t="shared" si="0"/>
        <v>187.33333333333343</v>
      </c>
      <c r="I13" s="55">
        <f t="shared" si="2"/>
        <v>1167.8728733333335</v>
      </c>
      <c r="K13" s="349" t="s">
        <v>1049</v>
      </c>
      <c r="L13" s="350">
        <f>IFERROR(IF($K13="SIM",INDEX(LBD!$BI$6:$BI$27,MATCH($C13,LBD!$B$6:$B$27,0)),0),0)</f>
        <v>0</v>
      </c>
      <c r="M13" s="351">
        <f t="shared" si="1"/>
        <v>1167.8728733333335</v>
      </c>
    </row>
    <row r="14" spans="1:13" s="23" customFormat="1" ht="24" customHeight="1" x14ac:dyDescent="0.3">
      <c r="A14" s="57"/>
      <c r="B14" s="49" t="s">
        <v>884</v>
      </c>
      <c r="C14" s="50">
        <v>20</v>
      </c>
      <c r="D14" s="58">
        <f>IFERROR(INDEX(LBD!$AZ$6:$AZ$27,MATCH($C14,LBD!$B$6:$B$27,0)),0)</f>
        <v>1101.3809000000001</v>
      </c>
      <c r="E14" s="58">
        <f>IFERROR(INDEX(LBD!$BA$6:$BA$27,MATCH($C14,LBD!$B$6:$B$27,0)),0)</f>
        <v>345.59999999999997</v>
      </c>
      <c r="F14" s="52">
        <f>PARÂMETROS!$H$3</f>
        <v>40</v>
      </c>
      <c r="G14" s="53">
        <v>0.195138888888889</v>
      </c>
      <c r="H14" s="54">
        <f t="shared" si="0"/>
        <v>187.33333333333343</v>
      </c>
      <c r="I14" s="55">
        <f t="shared" si="2"/>
        <v>1634.3142333333335</v>
      </c>
      <c r="K14" s="349" t="s">
        <v>1049</v>
      </c>
      <c r="L14" s="350">
        <f>IFERROR(IF($K14="SIM",INDEX(LBD!$BI$6:$BI$27,MATCH($C14,LBD!$B$6:$B$27,0)),0),0)</f>
        <v>0</v>
      </c>
      <c r="M14" s="351">
        <f t="shared" si="1"/>
        <v>1634.3142333333335</v>
      </c>
    </row>
    <row r="15" spans="1:13" s="23" customFormat="1" ht="24" customHeight="1" x14ac:dyDescent="0.3">
      <c r="A15" s="57"/>
      <c r="B15" s="49" t="s">
        <v>884</v>
      </c>
      <c r="C15" s="50">
        <v>22</v>
      </c>
      <c r="D15" s="58">
        <f>IFERROR(INDEX(LBD!$AZ$6:$AZ$27,MATCH($C15,LBD!$B$6:$B$27,0)),0)</f>
        <v>1385.636</v>
      </c>
      <c r="E15" s="58">
        <f>IFERROR(INDEX(LBD!$BA$6:$BA$27,MATCH($C15,LBD!$B$6:$B$27,0)),0)</f>
        <v>403.2</v>
      </c>
      <c r="F15" s="52">
        <f>PARÂMETROS!$H$3</f>
        <v>40</v>
      </c>
      <c r="G15" s="53">
        <v>0.195138888888889</v>
      </c>
      <c r="H15" s="54">
        <f t="shared" si="0"/>
        <v>187.33333333333343</v>
      </c>
      <c r="I15" s="55">
        <f t="shared" si="2"/>
        <v>1976.1693333333333</v>
      </c>
      <c r="K15" s="349" t="s">
        <v>1049</v>
      </c>
      <c r="L15" s="350">
        <f>IFERROR(IF($K15="SIM",INDEX(LBD!$BI$6:$BI$27,MATCH($C15,LBD!$B$6:$B$27,0)),0),0)</f>
        <v>0</v>
      </c>
      <c r="M15" s="351">
        <f t="shared" si="1"/>
        <v>1976.1693333333333</v>
      </c>
    </row>
    <row r="16" spans="1:13" s="23" customFormat="1" ht="24" customHeight="1" x14ac:dyDescent="0.3">
      <c r="A16" s="57"/>
      <c r="B16" s="49" t="s">
        <v>884</v>
      </c>
      <c r="C16" s="50">
        <v>24</v>
      </c>
      <c r="D16" s="58">
        <f>IFERROR(INDEX(LBD!$AZ$6:$AZ$27,MATCH($C16,LBD!$B$6:$B$27,0)),0)</f>
        <v>1454.86562</v>
      </c>
      <c r="E16" s="58">
        <f>IFERROR(INDEX(LBD!$BA$6:$BA$27,MATCH($C16,LBD!$B$6:$B$27,0)),0)</f>
        <v>508.8</v>
      </c>
      <c r="F16" s="52">
        <f>PARÂMETROS!$H$3</f>
        <v>40</v>
      </c>
      <c r="G16" s="53">
        <v>0.195138888888889</v>
      </c>
      <c r="H16" s="54">
        <f t="shared" si="0"/>
        <v>187.33333333333343</v>
      </c>
      <c r="I16" s="55">
        <f t="shared" si="2"/>
        <v>2150.9989533333337</v>
      </c>
      <c r="K16" s="349" t="s">
        <v>1049</v>
      </c>
      <c r="L16" s="350">
        <f>IFERROR(IF($K16="SIM",INDEX(LBD!$BI$6:$BI$27,MATCH($C16,LBD!$B$6:$B$27,0)),0),0)</f>
        <v>0</v>
      </c>
      <c r="M16" s="351">
        <f t="shared" si="1"/>
        <v>2150.9989533333337</v>
      </c>
    </row>
    <row r="17" spans="1:13" s="23" customFormat="1" ht="24" customHeight="1" x14ac:dyDescent="0.3">
      <c r="A17" s="57"/>
      <c r="B17" s="49" t="s">
        <v>884</v>
      </c>
      <c r="C17" s="50">
        <v>26</v>
      </c>
      <c r="D17" s="58">
        <f>IFERROR(INDEX(LBD!$AZ$6:$AZ$27,MATCH($C17,LBD!$B$6:$B$27,0)),0)</f>
        <v>1546.5656200000001</v>
      </c>
      <c r="E17" s="58">
        <f>IFERROR(INDEX(LBD!$BA$6:$BA$27,MATCH($C17,LBD!$B$6:$B$27,0)),0)</f>
        <v>508.8</v>
      </c>
      <c r="F17" s="52">
        <f>PARÂMETROS!$H$3</f>
        <v>40</v>
      </c>
      <c r="G17" s="53">
        <v>0.195138888888889</v>
      </c>
      <c r="H17" s="54">
        <f t="shared" si="0"/>
        <v>187.33333333333343</v>
      </c>
      <c r="I17" s="55">
        <f t="shared" si="2"/>
        <v>2242.6989533333335</v>
      </c>
      <c r="K17" s="349" t="s">
        <v>1049</v>
      </c>
      <c r="L17" s="350">
        <f>IFERROR(IF($K17="SIM",INDEX(LBD!$BI$6:$BI$27,MATCH($C17,LBD!$B$6:$B$27,0)),0),0)</f>
        <v>0</v>
      </c>
      <c r="M17" s="351">
        <f t="shared" si="1"/>
        <v>2242.6989533333335</v>
      </c>
    </row>
    <row r="18" spans="1:13" s="23" customFormat="1" ht="24" customHeight="1" x14ac:dyDescent="0.3">
      <c r="A18" s="57"/>
      <c r="B18" s="49" t="s">
        <v>884</v>
      </c>
      <c r="C18" s="50">
        <v>28</v>
      </c>
      <c r="D18" s="58">
        <f>IFERROR(INDEX(LBD!$AZ$6:$AZ$27,MATCH($C18,LBD!$B$6:$B$27,0)),0)</f>
        <v>2777.9407999999999</v>
      </c>
      <c r="E18" s="58">
        <f>IFERROR(INDEX(LBD!$BA$6:$BA$27,MATCH($C18,LBD!$B$6:$B$27,0)),0)</f>
        <v>572.80000000000007</v>
      </c>
      <c r="F18" s="52">
        <f>PARÂMETROS!$H$3</f>
        <v>40</v>
      </c>
      <c r="G18" s="53">
        <v>0.195138888888889</v>
      </c>
      <c r="H18" s="54">
        <f t="shared" si="0"/>
        <v>187.33333333333343</v>
      </c>
      <c r="I18" s="55">
        <f t="shared" si="2"/>
        <v>3538.0741333333335</v>
      </c>
      <c r="K18" s="349" t="s">
        <v>1049</v>
      </c>
      <c r="L18" s="350">
        <f>IFERROR(IF($K18="SIM",INDEX(LBD!$BI$6:$BI$27,MATCH($C18,LBD!$B$6:$B$27,0)),0),0)</f>
        <v>0</v>
      </c>
      <c r="M18" s="351">
        <f t="shared" si="1"/>
        <v>3538.0741333333335</v>
      </c>
    </row>
    <row r="19" spans="1:13" s="23" customFormat="1" ht="24" customHeight="1" x14ac:dyDescent="0.3">
      <c r="A19" s="57"/>
      <c r="B19" s="49" t="s">
        <v>884</v>
      </c>
      <c r="C19" s="50">
        <v>30</v>
      </c>
      <c r="D19" s="58">
        <f>IFERROR(INDEX(LBD!$AZ$6:$AZ$27,MATCH($C19,LBD!$B$6:$B$27,0)),0)</f>
        <v>2882.9407999999999</v>
      </c>
      <c r="E19" s="58">
        <f>IFERROR(INDEX(LBD!$BA$6:$BA$27,MATCH($C19,LBD!$B$6:$B$27,0)),0)</f>
        <v>572.80000000000007</v>
      </c>
      <c r="F19" s="52">
        <f>PARÂMETROS!$H$3</f>
        <v>40</v>
      </c>
      <c r="G19" s="53">
        <v>0.195138888888889</v>
      </c>
      <c r="H19" s="54">
        <f t="shared" si="0"/>
        <v>187.33333333333343</v>
      </c>
      <c r="I19" s="55">
        <f t="shared" si="2"/>
        <v>3643.0741333333335</v>
      </c>
      <c r="K19" s="349" t="s">
        <v>1049</v>
      </c>
      <c r="L19" s="350">
        <f>IFERROR(IF($K19="SIM",INDEX(LBD!$BI$6:$BI$27,MATCH($C19,LBD!$B$6:$B$27,0)),0),0)</f>
        <v>0</v>
      </c>
      <c r="M19" s="351">
        <f t="shared" si="1"/>
        <v>3643.0741333333335</v>
      </c>
    </row>
    <row r="20" spans="1:13" s="23" customFormat="1" ht="24" customHeight="1" x14ac:dyDescent="0.3">
      <c r="A20" s="57"/>
      <c r="B20" s="49" t="s">
        <v>884</v>
      </c>
      <c r="C20" s="50">
        <v>32</v>
      </c>
      <c r="D20" s="58">
        <f>IFERROR(INDEX(LBD!$AZ$6:$AZ$27,MATCH($C20,LBD!$B$6:$B$27,0)),0)</f>
        <v>3480.9357</v>
      </c>
      <c r="E20" s="58">
        <f>IFERROR(INDEX(LBD!$BA$6:$BA$27,MATCH($C20,LBD!$B$6:$B$27,0)),0)</f>
        <v>604.80000000000007</v>
      </c>
      <c r="F20" s="52">
        <f>PARÂMETROS!$H$3</f>
        <v>40</v>
      </c>
      <c r="G20" s="53">
        <v>0.195138888888889</v>
      </c>
      <c r="H20" s="54">
        <f t="shared" si="0"/>
        <v>187.33333333333343</v>
      </c>
      <c r="I20" s="55">
        <f t="shared" si="2"/>
        <v>4273.0690333333332</v>
      </c>
      <c r="K20" s="349" t="s">
        <v>1049</v>
      </c>
      <c r="L20" s="350">
        <f>IFERROR(IF($K20="SIM",INDEX(LBD!$BI$6:$BI$27,MATCH($C20,LBD!$B$6:$B$27,0)),0),0)</f>
        <v>0</v>
      </c>
      <c r="M20" s="351">
        <f t="shared" si="1"/>
        <v>4273.0690333333332</v>
      </c>
    </row>
    <row r="21" spans="1:13" s="23" customFormat="1" ht="24" customHeight="1" x14ac:dyDescent="0.3">
      <c r="A21" s="57"/>
      <c r="B21" s="49" t="s">
        <v>884</v>
      </c>
      <c r="C21" s="50">
        <v>34</v>
      </c>
      <c r="D21" s="58">
        <f>IFERROR(INDEX(LBD!$AZ$6:$AZ$27,MATCH($C21,LBD!$B$6:$B$27,0)),0)</f>
        <v>3585.9357</v>
      </c>
      <c r="E21" s="58">
        <f>IFERROR(INDEX(LBD!$BA$6:$BA$27,MATCH($C21,LBD!$B$6:$B$27,0)),0)</f>
        <v>604.80000000000007</v>
      </c>
      <c r="F21" s="52">
        <f>PARÂMETROS!$H$3</f>
        <v>40</v>
      </c>
      <c r="G21" s="53">
        <v>0.195138888888889</v>
      </c>
      <c r="H21" s="54">
        <f t="shared" si="0"/>
        <v>187.33333333333343</v>
      </c>
      <c r="I21" s="55">
        <f t="shared" si="2"/>
        <v>4378.0690333333332</v>
      </c>
      <c r="K21" s="349" t="s">
        <v>1049</v>
      </c>
      <c r="L21" s="350">
        <f>IFERROR(IF($K21="SIM",INDEX(LBD!$BI$6:$BI$27,MATCH($C21,LBD!$B$6:$B$27,0)),0),0)</f>
        <v>0</v>
      </c>
      <c r="M21" s="351">
        <f t="shared" si="1"/>
        <v>4378.0690333333332</v>
      </c>
    </row>
    <row r="22" spans="1:13" s="23" customFormat="1" ht="24" customHeight="1" x14ac:dyDescent="0.3">
      <c r="A22" s="57"/>
      <c r="B22" s="49" t="s">
        <v>884</v>
      </c>
      <c r="C22" s="50">
        <v>36</v>
      </c>
      <c r="D22" s="58">
        <f>IFERROR(INDEX(LBD!$AZ$6:$AZ$27,MATCH($C22,LBD!$B$6:$B$27,0)),0)</f>
        <v>3908.5364799999998</v>
      </c>
      <c r="E22" s="58">
        <f>IFERROR(INDEX(LBD!$BA$6:$BA$27,MATCH($C22,LBD!$B$6:$B$27,0)),0)</f>
        <v>1051.2</v>
      </c>
      <c r="F22" s="52">
        <f>PARÂMETROS!$H$3</f>
        <v>40</v>
      </c>
      <c r="G22" s="53">
        <v>0.195138888888889</v>
      </c>
      <c r="H22" s="54">
        <f t="shared" si="0"/>
        <v>187.33333333333343</v>
      </c>
      <c r="I22" s="55">
        <f t="shared" si="2"/>
        <v>5147.0698133333335</v>
      </c>
      <c r="K22" s="349" t="s">
        <v>1049</v>
      </c>
      <c r="L22" s="350">
        <f>IFERROR(IF($K22="SIM",INDEX(LBD!$BI$6:$BI$27,MATCH($C22,LBD!$B$6:$B$27,0)),0),0)</f>
        <v>0</v>
      </c>
      <c r="M22" s="351">
        <f t="shared" si="1"/>
        <v>5147.0698133333335</v>
      </c>
    </row>
    <row r="23" spans="1:13" s="23" customFormat="1" ht="24" customHeight="1" x14ac:dyDescent="0.3">
      <c r="A23" s="57"/>
      <c r="B23" s="49" t="s">
        <v>884</v>
      </c>
      <c r="C23" s="50">
        <v>38</v>
      </c>
      <c r="D23" s="58">
        <f>IFERROR(INDEX(LBD!$AZ$6:$AZ$27,MATCH($C23,LBD!$B$6:$B$27,0)),0)</f>
        <v>3967.73648</v>
      </c>
      <c r="E23" s="58">
        <f>IFERROR(INDEX(LBD!$BA$6:$BA$27,MATCH($C23,LBD!$B$6:$B$27,0)),0)</f>
        <v>1051.2</v>
      </c>
      <c r="F23" s="52">
        <f>PARÂMETROS!$H$3</f>
        <v>40</v>
      </c>
      <c r="G23" s="53">
        <v>0.195138888888889</v>
      </c>
      <c r="H23" s="54">
        <f t="shared" si="0"/>
        <v>187.33333333333343</v>
      </c>
      <c r="I23" s="55">
        <f t="shared" si="2"/>
        <v>5206.2698133333333</v>
      </c>
      <c r="K23" s="349" t="s">
        <v>1049</v>
      </c>
      <c r="L23" s="350">
        <f>IFERROR(IF($K23="SIM",INDEX(LBD!$BI$6:$BI$27,MATCH($C23,LBD!$B$6:$B$27,0)),0),0)</f>
        <v>0</v>
      </c>
      <c r="M23" s="351">
        <f t="shared" si="1"/>
        <v>5206.2698133333333</v>
      </c>
    </row>
    <row r="24" spans="1:13" s="23" customFormat="1" ht="24" customHeight="1" x14ac:dyDescent="0.3">
      <c r="A24" s="57"/>
      <c r="B24" s="49" t="s">
        <v>884</v>
      </c>
      <c r="C24" s="50">
        <v>40</v>
      </c>
      <c r="D24" s="58">
        <f>IFERROR(INDEX(LBD!$AZ$6:$AZ$27,MATCH($C24,LBD!$B$6:$B$27,0)),0)</f>
        <v>4404.4294599999994</v>
      </c>
      <c r="E24" s="58">
        <f>IFERROR(INDEX(LBD!$BA$6:$BA$27,MATCH($C24,LBD!$B$6:$B$27,0)),0)</f>
        <v>1147.2</v>
      </c>
      <c r="F24" s="52">
        <f>PARÂMETROS!$H$3</f>
        <v>40</v>
      </c>
      <c r="G24" s="53">
        <v>0.195138888888889</v>
      </c>
      <c r="H24" s="54">
        <f t="shared" si="0"/>
        <v>187.33333333333343</v>
      </c>
      <c r="I24" s="55">
        <f t="shared" si="2"/>
        <v>5738.9627933333331</v>
      </c>
      <c r="K24" s="349" t="s">
        <v>1049</v>
      </c>
      <c r="L24" s="350">
        <f>IFERROR(IF($K24="SIM",INDEX(LBD!$BI$6:$BI$27,MATCH($C24,LBD!$B$6:$B$27,0)),0),0)</f>
        <v>0</v>
      </c>
      <c r="M24" s="351">
        <f t="shared" si="1"/>
        <v>5738.9627933333331</v>
      </c>
    </row>
    <row r="25" spans="1:13" s="23" customFormat="1" ht="24" customHeight="1" x14ac:dyDescent="0.3">
      <c r="A25" s="57"/>
      <c r="B25" s="49" t="s">
        <v>884</v>
      </c>
      <c r="C25" s="50">
        <v>42</v>
      </c>
      <c r="D25" s="58">
        <f>IFERROR(INDEX(LBD!$AZ$6:$AZ$27,MATCH($C25,LBD!$B$6:$B$27,0)),0)</f>
        <v>4567.4371000000001</v>
      </c>
      <c r="E25" s="58">
        <f>IFERROR(INDEX(LBD!$BA$6:$BA$27,MATCH($C25,LBD!$B$6:$B$27,0)),0)</f>
        <v>1243.2</v>
      </c>
      <c r="F25" s="52">
        <f>PARÂMETROS!$H$3</f>
        <v>40</v>
      </c>
      <c r="G25" s="53">
        <v>0.195138888888889</v>
      </c>
      <c r="H25" s="54">
        <f t="shared" si="0"/>
        <v>187.33333333333343</v>
      </c>
      <c r="I25" s="55">
        <f t="shared" si="2"/>
        <v>5997.9704333333339</v>
      </c>
      <c r="K25" s="349" t="s">
        <v>1049</v>
      </c>
      <c r="L25" s="350">
        <f>IFERROR(IF($K25="SIM",INDEX(LBD!$BI$6:$BI$27,MATCH($C25,LBD!$B$6:$B$27,0)),0),0)</f>
        <v>0</v>
      </c>
      <c r="M25" s="351">
        <f t="shared" si="1"/>
        <v>5997.9704333333339</v>
      </c>
    </row>
    <row r="26" spans="1:13" s="23" customFormat="1" ht="24" customHeight="1" x14ac:dyDescent="0.3">
      <c r="A26" s="56"/>
      <c r="B26" s="56"/>
      <c r="C26" s="44"/>
    </row>
    <row r="27" spans="1:13" s="23" customFormat="1" ht="24" customHeight="1" x14ac:dyDescent="0.3">
      <c r="A27" s="56"/>
      <c r="B27" s="56"/>
      <c r="C27" s="44"/>
    </row>
    <row r="28" spans="1:13" s="23" customFormat="1" ht="24" customHeight="1" x14ac:dyDescent="0.3">
      <c r="A28" s="56"/>
      <c r="B28" s="445" t="s">
        <v>885</v>
      </c>
      <c r="C28" s="445"/>
      <c r="D28" s="445"/>
      <c r="E28" s="445"/>
      <c r="F28" s="445"/>
      <c r="G28" s="445"/>
      <c r="H28" s="445"/>
      <c r="I28" s="445"/>
      <c r="J28" s="445"/>
    </row>
    <row r="29" spans="1:13" s="23" customFormat="1" ht="24" customHeight="1" x14ac:dyDescent="0.3">
      <c r="A29" s="56"/>
      <c r="B29" s="445"/>
      <c r="C29" s="445"/>
      <c r="D29" s="445"/>
      <c r="E29" s="445"/>
      <c r="F29" s="445"/>
      <c r="G29" s="445"/>
      <c r="H29" s="445"/>
      <c r="I29" s="445"/>
      <c r="J29" s="445"/>
    </row>
    <row r="30" spans="1:13" s="23" customFormat="1" ht="24" customHeight="1" x14ac:dyDescent="0.3">
      <c r="A30" s="56"/>
      <c r="B30" s="45" t="s">
        <v>877</v>
      </c>
      <c r="C30" s="46" t="s">
        <v>10</v>
      </c>
      <c r="D30" s="47" t="s">
        <v>878</v>
      </c>
      <c r="E30" s="47" t="s">
        <v>879</v>
      </c>
      <c r="F30" s="47" t="s">
        <v>880</v>
      </c>
      <c r="G30" s="47" t="s">
        <v>881</v>
      </c>
      <c r="H30" s="47" t="s">
        <v>882</v>
      </c>
      <c r="I30" s="48" t="s">
        <v>886</v>
      </c>
      <c r="J30" s="48" t="s">
        <v>883</v>
      </c>
      <c r="K30" s="346" t="s">
        <v>1040</v>
      </c>
      <c r="L30" s="347" t="s">
        <v>1591</v>
      </c>
      <c r="M30" s="348" t="s">
        <v>958</v>
      </c>
    </row>
    <row r="31" spans="1:13" s="23" customFormat="1" ht="24" customHeight="1" x14ac:dyDescent="0.4">
      <c r="A31" s="56"/>
      <c r="B31" s="49" t="s">
        <v>884</v>
      </c>
      <c r="C31" s="50">
        <v>2</v>
      </c>
      <c r="D31" s="51">
        <f>IFERROR(INDEX(LBD!$AZ$6:$AZ$27,MATCH($C31,LBD!$B$6:$B$27,0)),0)</f>
        <v>0</v>
      </c>
      <c r="E31" s="51">
        <f>IFERROR(INDEX(LBD!$BA$6:$BA$27,MATCH($C31,LBD!$B$6:$B$27,0)),0)</f>
        <v>0</v>
      </c>
      <c r="F31" s="52">
        <f>PARÂMETROS!$H$3</f>
        <v>40</v>
      </c>
      <c r="G31" s="53">
        <v>4.9490740740740703E-2</v>
      </c>
      <c r="H31" s="54">
        <f t="shared" ref="H31:H52" si="3">(G31*F31)*24</f>
        <v>47.511111111111077</v>
      </c>
      <c r="I31" s="59">
        <f>IFERROR(INDEX(LBD!$B$77:$B$99,MATCH("DN"&amp;$C31,LBD!$A$77:$A$99,0)),0)</f>
        <v>0</v>
      </c>
      <c r="J31" s="55">
        <f t="shared" ref="J31:J52" si="4">D31+E31+H31+I31</f>
        <v>47.511111111111077</v>
      </c>
      <c r="K31" s="349" t="s">
        <v>1049</v>
      </c>
      <c r="L31" s="350">
        <f>IFERROR(IF($K31="SIM",INDEX(LBD!$BI$6:$BI$27,MATCH($C31,LBD!$B$6:$B$27,0)),0),0)</f>
        <v>0</v>
      </c>
      <c r="M31" s="352">
        <f>J31+L31</f>
        <v>47.511111111111077</v>
      </c>
    </row>
    <row r="32" spans="1:13" s="23" customFormat="1" ht="24" customHeight="1" x14ac:dyDescent="0.4">
      <c r="A32" s="56"/>
      <c r="B32" s="49" t="s">
        <v>884</v>
      </c>
      <c r="C32" s="50">
        <v>3</v>
      </c>
      <c r="D32" s="51">
        <f>IFERROR(INDEX(LBD!$AZ$6:$AZ$27,MATCH($C32,LBD!$B$6:$B$27,0)),0)</f>
        <v>0</v>
      </c>
      <c r="E32" s="51">
        <f>IFERROR(INDEX(LBD!$BA$6:$BA$27,MATCH($C32,LBD!$B$6:$B$27,0)),0)</f>
        <v>0</v>
      </c>
      <c r="F32" s="52">
        <f>PARÂMETROS!$H$3</f>
        <v>40</v>
      </c>
      <c r="G32" s="53">
        <v>4.9490740740740703E-2</v>
      </c>
      <c r="H32" s="54">
        <f t="shared" si="3"/>
        <v>47.511111111111077</v>
      </c>
      <c r="I32" s="59">
        <f>IFERROR(INDEX(LBD!$B$77:$B$99,MATCH("DN"&amp;$C32,LBD!$A$77:$A$99,0)),0)</f>
        <v>0</v>
      </c>
      <c r="J32" s="55">
        <f t="shared" si="4"/>
        <v>47.511111111111077</v>
      </c>
      <c r="K32" s="349" t="s">
        <v>1049</v>
      </c>
      <c r="L32" s="350">
        <f>IFERROR(IF($K32="SIM",INDEX(LBD!$BI$6:$BI$27,MATCH($C32,LBD!$B$6:$B$27,0)),0),0)</f>
        <v>0</v>
      </c>
      <c r="M32" s="352">
        <f t="shared" ref="M32:M52" si="5">J32+L32</f>
        <v>47.511111111111077</v>
      </c>
    </row>
    <row r="33" spans="1:13" s="23" customFormat="1" ht="24" customHeight="1" x14ac:dyDescent="0.4">
      <c r="A33" s="56"/>
      <c r="B33" s="49" t="s">
        <v>884</v>
      </c>
      <c r="C33" s="50">
        <v>4</v>
      </c>
      <c r="D33" s="51">
        <f>IFERROR(INDEX(LBD!$AZ$6:$AZ$27,MATCH($C33,LBD!$B$6:$B$27,0)),0)</f>
        <v>0</v>
      </c>
      <c r="E33" s="51">
        <f>IFERROR(INDEX(LBD!$BA$6:$BA$27,MATCH($C33,LBD!$B$6:$B$27,0)),0)</f>
        <v>0</v>
      </c>
      <c r="F33" s="52">
        <f>PARÂMETROS!$H$3</f>
        <v>40</v>
      </c>
      <c r="G33" s="53">
        <v>6.3398148148148203E-2</v>
      </c>
      <c r="H33" s="54">
        <f t="shared" si="3"/>
        <v>60.862222222222272</v>
      </c>
      <c r="I33" s="59">
        <f>IFERROR(INDEX(LBD!$B$77:$B$99,MATCH("DN"&amp;$C33,LBD!$A$77:$A$99,0)),0)</f>
        <v>0</v>
      </c>
      <c r="J33" s="55">
        <f t="shared" si="4"/>
        <v>60.862222222222272</v>
      </c>
      <c r="K33" s="349" t="s">
        <v>1049</v>
      </c>
      <c r="L33" s="350">
        <f>IFERROR(IF($K33="SIM",INDEX(LBD!$BI$6:$BI$27,MATCH($C33,LBD!$B$6:$B$27,0)),0),0)</f>
        <v>0</v>
      </c>
      <c r="M33" s="352">
        <f t="shared" si="5"/>
        <v>60.862222222222272</v>
      </c>
    </row>
    <row r="34" spans="1:13" s="23" customFormat="1" ht="24" customHeight="1" x14ac:dyDescent="0.4">
      <c r="A34" s="56"/>
      <c r="B34" s="49" t="s">
        <v>884</v>
      </c>
      <c r="C34" s="50">
        <v>6</v>
      </c>
      <c r="D34" s="58">
        <f>IFERROR(INDEX(LBD!$AZ$6:$AZ$27,MATCH($C34,LBD!$B$6:$B$27,0)),0)</f>
        <v>117.9853</v>
      </c>
      <c r="E34" s="58">
        <f>IFERROR(INDEX(LBD!$BA$6:$BA$27,MATCH($C34,LBD!$B$6:$B$27,0)),0)</f>
        <v>100.80000000000001</v>
      </c>
      <c r="F34" s="52">
        <f>PARÂMETROS!$H$3</f>
        <v>40</v>
      </c>
      <c r="G34" s="53">
        <v>0.12087962962963</v>
      </c>
      <c r="H34" s="54">
        <f t="shared" si="3"/>
        <v>116.04444444444479</v>
      </c>
      <c r="I34" s="59">
        <f>IFERROR(INDEX(LBD!$B$77:$B$99,MATCH("DN"&amp;$C34,LBD!$A$77:$A$99,0)),0)</f>
        <v>22.331679999999999</v>
      </c>
      <c r="J34" s="55">
        <f t="shared" si="4"/>
        <v>357.16142444444483</v>
      </c>
      <c r="K34" s="349" t="s">
        <v>1049</v>
      </c>
      <c r="L34" s="350">
        <f>IFERROR(IF($K34="SIM",INDEX(LBD!$BI$6:$BI$27,MATCH($C34,LBD!$B$6:$B$27,0)),0),0)</f>
        <v>0</v>
      </c>
      <c r="M34" s="352">
        <f t="shared" si="5"/>
        <v>357.16142444444483</v>
      </c>
    </row>
    <row r="35" spans="1:13" s="23" customFormat="1" ht="24" customHeight="1" x14ac:dyDescent="0.4">
      <c r="A35" s="56"/>
      <c r="B35" s="49" t="s">
        <v>884</v>
      </c>
      <c r="C35" s="50">
        <v>8</v>
      </c>
      <c r="D35" s="58">
        <f>IFERROR(INDEX(LBD!$AZ$6:$AZ$27,MATCH($C35,LBD!$B$6:$B$27,0)),0)</f>
        <v>161.25186000000002</v>
      </c>
      <c r="E35" s="58">
        <f>IFERROR(INDEX(LBD!$BA$6:$BA$27,MATCH($C35,LBD!$B$6:$B$27,0)),0)</f>
        <v>158.4</v>
      </c>
      <c r="F35" s="52">
        <f>PARÂMETROS!$H$3</f>
        <v>40</v>
      </c>
      <c r="G35" s="53">
        <v>0.180902777777778</v>
      </c>
      <c r="H35" s="54">
        <f t="shared" si="3"/>
        <v>173.66666666666686</v>
      </c>
      <c r="I35" s="59">
        <f>IFERROR(INDEX(LBD!$B$77:$B$99,MATCH("DN"&amp;$C35,LBD!$A$77:$A$99,0)),0)</f>
        <v>22.331679999999999</v>
      </c>
      <c r="J35" s="55">
        <f t="shared" si="4"/>
        <v>515.65020666666692</v>
      </c>
      <c r="K35" s="349" t="s">
        <v>1049</v>
      </c>
      <c r="L35" s="350">
        <f>IFERROR(IF($K35="SIM",INDEX(LBD!$BI$6:$BI$27,MATCH($C35,LBD!$B$6:$B$27,0)),0),0)</f>
        <v>0</v>
      </c>
      <c r="M35" s="352">
        <f t="shared" si="5"/>
        <v>515.65020666666692</v>
      </c>
    </row>
    <row r="36" spans="1:13" s="23" customFormat="1" ht="24" customHeight="1" x14ac:dyDescent="0.4">
      <c r="A36" s="56"/>
      <c r="B36" s="49" t="s">
        <v>884</v>
      </c>
      <c r="C36" s="50">
        <v>10</v>
      </c>
      <c r="D36" s="58">
        <f>IFERROR(INDEX(LBD!$AZ$6:$AZ$27,MATCH($C36,LBD!$B$6:$B$27,0)),0)</f>
        <v>247.64346</v>
      </c>
      <c r="E36" s="58">
        <f>IFERROR(INDEX(LBD!$BA$6:$BA$27,MATCH($C36,LBD!$B$6:$B$27,0)),0)</f>
        <v>174.4</v>
      </c>
      <c r="F36" s="52">
        <f>PARÂMETROS!$H$3</f>
        <v>40</v>
      </c>
      <c r="G36" s="53">
        <v>0.22256944444444399</v>
      </c>
      <c r="H36" s="54">
        <f t="shared" si="3"/>
        <v>213.66666666666623</v>
      </c>
      <c r="I36" s="59">
        <f>IFERROR(INDEX(LBD!$B$77:$B$99,MATCH("DN"&amp;$C36,LBD!$A$77:$A$99,0)),0)</f>
        <v>62.827632000000001</v>
      </c>
      <c r="J36" s="55">
        <f t="shared" si="4"/>
        <v>698.53775866666615</v>
      </c>
      <c r="K36" s="349" t="s">
        <v>1049</v>
      </c>
      <c r="L36" s="350">
        <f>IFERROR(IF($K36="SIM",INDEX(LBD!$BI$6:$BI$27,MATCH($C36,LBD!$B$6:$B$27,0)),0),0)</f>
        <v>0</v>
      </c>
      <c r="M36" s="352">
        <f t="shared" si="5"/>
        <v>698.53775866666615</v>
      </c>
    </row>
    <row r="37" spans="1:13" s="23" customFormat="1" ht="24" customHeight="1" x14ac:dyDescent="0.4">
      <c r="A37" s="56"/>
      <c r="B37" s="49" t="s">
        <v>884</v>
      </c>
      <c r="C37" s="50">
        <v>12</v>
      </c>
      <c r="D37" s="58">
        <f>IFERROR(INDEX(LBD!$AZ$6:$AZ$27,MATCH($C37,LBD!$B$6:$B$27,0)),0)</f>
        <v>353.50092000000001</v>
      </c>
      <c r="E37" s="58">
        <f>IFERROR(INDEX(LBD!$BA$6:$BA$27,MATCH($C37,LBD!$B$6:$B$27,0)),0)</f>
        <v>190.4</v>
      </c>
      <c r="F37" s="52">
        <f>PARÂMETROS!$H$3</f>
        <v>40</v>
      </c>
      <c r="G37" s="53">
        <v>0.26423611111111101</v>
      </c>
      <c r="H37" s="54">
        <f t="shared" si="3"/>
        <v>253.66666666666654</v>
      </c>
      <c r="I37" s="59">
        <f>IFERROR(INDEX(LBD!$B$77:$B$99,MATCH("DN"&amp;$C37,LBD!$A$77:$A$99,0)),0)</f>
        <v>111.693568</v>
      </c>
      <c r="J37" s="55">
        <f t="shared" si="4"/>
        <v>909.26115466666658</v>
      </c>
      <c r="K37" s="349" t="s">
        <v>1049</v>
      </c>
      <c r="L37" s="350">
        <f>IFERROR(IF($K37="SIM",INDEX(LBD!$BI$6:$BI$27,MATCH($C37,LBD!$B$6:$B$27,0)),0),0)</f>
        <v>0</v>
      </c>
      <c r="M37" s="352">
        <f t="shared" si="5"/>
        <v>909.26115466666658</v>
      </c>
    </row>
    <row r="38" spans="1:13" s="23" customFormat="1" ht="24" customHeight="1" x14ac:dyDescent="0.4">
      <c r="A38" s="56"/>
      <c r="B38" s="49" t="s">
        <v>884</v>
      </c>
      <c r="C38" s="50">
        <v>14</v>
      </c>
      <c r="D38" s="58">
        <f>IFERROR(INDEX(LBD!$AZ$6:$AZ$27,MATCH($C38,LBD!$B$6:$B$27,0)),0)</f>
        <v>418.18885999999998</v>
      </c>
      <c r="E38" s="58">
        <f>IFERROR(INDEX(LBD!$BA$6:$BA$27,MATCH($C38,LBD!$B$6:$B$27,0)),0)</f>
        <v>190.4</v>
      </c>
      <c r="F38" s="52">
        <f>PARÂMETROS!$H$3</f>
        <v>40</v>
      </c>
      <c r="G38" s="53">
        <v>0.30590277777777802</v>
      </c>
      <c r="H38" s="54">
        <f t="shared" si="3"/>
        <v>293.66666666666691</v>
      </c>
      <c r="I38" s="59">
        <f>IFERROR(INDEX(LBD!$B$77:$B$99,MATCH("DN"&amp;$C38,LBD!$A$77:$A$99,0)),0)</f>
        <v>111.693568</v>
      </c>
      <c r="J38" s="55">
        <f t="shared" si="4"/>
        <v>1013.9490946666668</v>
      </c>
      <c r="K38" s="349" t="s">
        <v>1049</v>
      </c>
      <c r="L38" s="350">
        <f>IFERROR(IF($K38="SIM",INDEX(LBD!$BI$6:$BI$27,MATCH($C38,LBD!$B$6:$B$27,0)),0),0)</f>
        <v>0</v>
      </c>
      <c r="M38" s="352">
        <f t="shared" si="5"/>
        <v>1013.9490946666668</v>
      </c>
    </row>
    <row r="39" spans="1:13" s="23" customFormat="1" ht="24" customHeight="1" x14ac:dyDescent="0.4">
      <c r="A39" s="56"/>
      <c r="B39" s="49" t="s">
        <v>884</v>
      </c>
      <c r="C39" s="50">
        <v>16</v>
      </c>
      <c r="D39" s="58">
        <f>IFERROR(INDEX(LBD!$AZ$6:$AZ$27,MATCH($C39,LBD!$B$6:$B$27,0)),0)</f>
        <v>480.49608000000001</v>
      </c>
      <c r="E39" s="58">
        <f>IFERROR(INDEX(LBD!$BA$6:$BA$27,MATCH($C39,LBD!$B$6:$B$27,0)),0)</f>
        <v>214.4</v>
      </c>
      <c r="F39" s="52">
        <f>PARÂMETROS!$H$3</f>
        <v>40</v>
      </c>
      <c r="G39" s="53">
        <v>0.36180555555555599</v>
      </c>
      <c r="H39" s="54">
        <f t="shared" si="3"/>
        <v>347.33333333333371</v>
      </c>
      <c r="I39" s="59">
        <f>IFERROR(INDEX(LBD!$B$77:$B$99,MATCH("DN"&amp;$C39,LBD!$A$77:$A$99,0)),0)</f>
        <v>111.693568</v>
      </c>
      <c r="J39" s="55">
        <f t="shared" si="4"/>
        <v>1153.9229813333336</v>
      </c>
      <c r="K39" s="349" t="s">
        <v>1049</v>
      </c>
      <c r="L39" s="350">
        <f>IFERROR(IF($K39="SIM",INDEX(LBD!$BI$6:$BI$27,MATCH($C39,LBD!$B$6:$B$27,0)),0),0)</f>
        <v>0</v>
      </c>
      <c r="M39" s="352">
        <f t="shared" si="5"/>
        <v>1153.9229813333336</v>
      </c>
    </row>
    <row r="40" spans="1:13" s="23" customFormat="1" ht="24" customHeight="1" x14ac:dyDescent="0.4">
      <c r="A40" s="56"/>
      <c r="B40" s="49" t="s">
        <v>884</v>
      </c>
      <c r="C40" s="50">
        <v>18</v>
      </c>
      <c r="D40" s="58">
        <f>IFERROR(INDEX(LBD!$AZ$6:$AZ$27,MATCH($C40,LBD!$B$6:$B$27,0)),0)</f>
        <v>750.13954000000001</v>
      </c>
      <c r="E40" s="58">
        <f>IFERROR(INDEX(LBD!$BA$6:$BA$27,MATCH($C40,LBD!$B$6:$B$27,0)),0)</f>
        <v>230.4</v>
      </c>
      <c r="F40" s="52">
        <f>PARÂMETROS!$H$3</f>
        <v>40</v>
      </c>
      <c r="G40" s="53">
        <v>0.36180555555555599</v>
      </c>
      <c r="H40" s="54">
        <f t="shared" si="3"/>
        <v>347.33333333333371</v>
      </c>
      <c r="I40" s="59">
        <f>IFERROR(INDEX(LBD!$B$77:$B$99,MATCH("DN"&amp;$C40,LBD!$A$77:$A$99,0)),0)</f>
        <v>192.40962300000001</v>
      </c>
      <c r="J40" s="55">
        <f t="shared" si="4"/>
        <v>1520.2824963333337</v>
      </c>
      <c r="K40" s="349" t="s">
        <v>1049</v>
      </c>
      <c r="L40" s="350">
        <f>IFERROR(IF($K40="SIM",INDEX(LBD!$BI$6:$BI$27,MATCH($C40,LBD!$B$6:$B$27,0)),0),0)</f>
        <v>0</v>
      </c>
      <c r="M40" s="352">
        <f t="shared" si="5"/>
        <v>1520.2824963333337</v>
      </c>
    </row>
    <row r="41" spans="1:13" s="23" customFormat="1" ht="24" customHeight="1" x14ac:dyDescent="0.4">
      <c r="A41" s="56"/>
      <c r="B41" s="49" t="s">
        <v>884</v>
      </c>
      <c r="C41" s="50">
        <v>20</v>
      </c>
      <c r="D41" s="58">
        <f>IFERROR(INDEX(LBD!$AZ$6:$AZ$27,MATCH($C41,LBD!$B$6:$B$27,0)),0)</f>
        <v>1101.3809000000001</v>
      </c>
      <c r="E41" s="58">
        <f>IFERROR(INDEX(LBD!$BA$6:$BA$27,MATCH($C41,LBD!$B$6:$B$27,0)),0)</f>
        <v>345.59999999999997</v>
      </c>
      <c r="F41" s="52">
        <f>PARÂMETROS!$H$3</f>
        <v>40</v>
      </c>
      <c r="G41" s="53">
        <v>0.36180555555555599</v>
      </c>
      <c r="H41" s="54">
        <f t="shared" si="3"/>
        <v>347.33333333333371</v>
      </c>
      <c r="I41" s="59">
        <f>IFERROR(INDEX(LBD!$B$77:$B$99,MATCH("DN"&amp;$C41,LBD!$A$77:$A$99,0)),0)</f>
        <v>294.94082800000001</v>
      </c>
      <c r="J41" s="55">
        <f t="shared" si="4"/>
        <v>2089.2550613333337</v>
      </c>
      <c r="K41" s="349" t="s">
        <v>1049</v>
      </c>
      <c r="L41" s="350">
        <f>IFERROR(IF($K41="SIM",INDEX(LBD!$BI$6:$BI$27,MATCH($C41,LBD!$B$6:$B$27,0)),0),0)</f>
        <v>0</v>
      </c>
      <c r="M41" s="352">
        <f t="shared" si="5"/>
        <v>2089.2550613333337</v>
      </c>
    </row>
    <row r="42" spans="1:13" s="23" customFormat="1" ht="24" customHeight="1" x14ac:dyDescent="0.4">
      <c r="A42" s="56"/>
      <c r="B42" s="49" t="s">
        <v>884</v>
      </c>
      <c r="C42" s="50">
        <v>22</v>
      </c>
      <c r="D42" s="58">
        <f>IFERROR(INDEX(LBD!$AZ$6:$AZ$27,MATCH($C42,LBD!$B$6:$B$27,0)),0)</f>
        <v>1385.636</v>
      </c>
      <c r="E42" s="58">
        <f>IFERROR(INDEX(LBD!$BA$6:$BA$27,MATCH($C42,LBD!$B$6:$B$27,0)),0)</f>
        <v>403.2</v>
      </c>
      <c r="F42" s="52">
        <f>PARÂMETROS!$H$3</f>
        <v>40</v>
      </c>
      <c r="G42" s="53">
        <v>0.36180555555555599</v>
      </c>
      <c r="H42" s="54">
        <f t="shared" si="3"/>
        <v>347.33333333333371</v>
      </c>
      <c r="I42" s="59">
        <f>IFERROR(INDEX(LBD!$B$77:$B$99,MATCH("DN"&amp;$C42,LBD!$A$77:$A$99,0)),0)</f>
        <v>294.94082800000001</v>
      </c>
      <c r="J42" s="55">
        <f t="shared" si="4"/>
        <v>2431.110161333334</v>
      </c>
      <c r="K42" s="349" t="s">
        <v>1049</v>
      </c>
      <c r="L42" s="350">
        <f>IFERROR(IF($K42="SIM",INDEX(LBD!$BI$6:$BI$27,MATCH($C42,LBD!$B$6:$B$27,0)),0),0)</f>
        <v>0</v>
      </c>
      <c r="M42" s="352">
        <f t="shared" si="5"/>
        <v>2431.110161333334</v>
      </c>
    </row>
    <row r="43" spans="1:13" s="23" customFormat="1" ht="24" customHeight="1" x14ac:dyDescent="0.4">
      <c r="A43" s="56"/>
      <c r="B43" s="49" t="s">
        <v>884</v>
      </c>
      <c r="C43" s="50">
        <v>24</v>
      </c>
      <c r="D43" s="58">
        <f>IFERROR(INDEX(LBD!$AZ$6:$AZ$27,MATCH($C43,LBD!$B$6:$B$27,0)),0)</f>
        <v>1454.86562</v>
      </c>
      <c r="E43" s="58">
        <f>IFERROR(INDEX(LBD!$BA$6:$BA$27,MATCH($C43,LBD!$B$6:$B$27,0)),0)</f>
        <v>508.8</v>
      </c>
      <c r="F43" s="52">
        <f>PARÂMETROS!$H$3</f>
        <v>40</v>
      </c>
      <c r="G43" s="53">
        <v>0.36180555555555599</v>
      </c>
      <c r="H43" s="54">
        <f t="shared" si="3"/>
        <v>347.33333333333371</v>
      </c>
      <c r="I43" s="59">
        <f>IFERROR(INDEX(LBD!$B$77:$B$99,MATCH("DN"&amp;$C43,LBD!$A$77:$A$99,0)),0)</f>
        <v>967.36624856474396</v>
      </c>
      <c r="J43" s="55">
        <f t="shared" si="4"/>
        <v>3278.3652018980774</v>
      </c>
      <c r="K43" s="349" t="s">
        <v>1049</v>
      </c>
      <c r="L43" s="350">
        <f>IFERROR(IF($K43="SIM",INDEX(LBD!$BI$6:$BI$27,MATCH($C43,LBD!$B$6:$B$27,0)),0),0)</f>
        <v>0</v>
      </c>
      <c r="M43" s="352">
        <f t="shared" si="5"/>
        <v>3278.3652018980774</v>
      </c>
    </row>
    <row r="44" spans="1:13" s="23" customFormat="1" ht="24" customHeight="1" x14ac:dyDescent="0.4">
      <c r="A44" s="56"/>
      <c r="B44" s="49" t="s">
        <v>884</v>
      </c>
      <c r="C44" s="50">
        <v>26</v>
      </c>
      <c r="D44" s="58">
        <f>IFERROR(INDEX(LBD!$AZ$6:$AZ$27,MATCH($C44,LBD!$B$6:$B$27,0)),0)</f>
        <v>1546.5656200000001</v>
      </c>
      <c r="E44" s="58">
        <f>IFERROR(INDEX(LBD!$BA$6:$BA$27,MATCH($C44,LBD!$B$6:$B$27,0)),0)</f>
        <v>508.8</v>
      </c>
      <c r="F44" s="52">
        <f>PARÂMETROS!$H$3</f>
        <v>40</v>
      </c>
      <c r="G44" s="53">
        <v>0.36180555555555599</v>
      </c>
      <c r="H44" s="54">
        <f t="shared" si="3"/>
        <v>347.33333333333371</v>
      </c>
      <c r="I44" s="59">
        <f>IFERROR(INDEX(LBD!$B$77:$B$99,MATCH("DN"&amp;$C44,LBD!$A$77:$A$99,0)),0)</f>
        <v>1188.2410506680901</v>
      </c>
      <c r="J44" s="55">
        <f t="shared" si="4"/>
        <v>3590.9400040014234</v>
      </c>
      <c r="K44" s="349" t="s">
        <v>1049</v>
      </c>
      <c r="L44" s="350">
        <f>IFERROR(IF($K44="SIM",INDEX(LBD!$BI$6:$BI$27,MATCH($C44,LBD!$B$6:$B$27,0)),0),0)</f>
        <v>0</v>
      </c>
      <c r="M44" s="352">
        <f t="shared" si="5"/>
        <v>3590.9400040014234</v>
      </c>
    </row>
    <row r="45" spans="1:13" s="23" customFormat="1" ht="24" customHeight="1" x14ac:dyDescent="0.4">
      <c r="A45" s="56"/>
      <c r="B45" s="49" t="s">
        <v>884</v>
      </c>
      <c r="C45" s="50">
        <v>28</v>
      </c>
      <c r="D45" s="58">
        <f>IFERROR(INDEX(LBD!$AZ$6:$AZ$27,MATCH($C45,LBD!$B$6:$B$27,0)),0)</f>
        <v>2777.9407999999999</v>
      </c>
      <c r="E45" s="58">
        <f>IFERROR(INDEX(LBD!$BA$6:$BA$27,MATCH($C45,LBD!$B$6:$B$27,0)),0)</f>
        <v>572.80000000000007</v>
      </c>
      <c r="F45" s="52">
        <f>PARÂMETROS!$H$3</f>
        <v>40</v>
      </c>
      <c r="G45" s="53">
        <v>0.36180555555555599</v>
      </c>
      <c r="H45" s="54">
        <f t="shared" si="3"/>
        <v>347.33333333333371</v>
      </c>
      <c r="I45" s="59">
        <f>IFERROR(INDEX(LBD!$B$77:$B$99,MATCH("DN"&amp;$C45,LBD!$A$77:$A$99,0)),0)</f>
        <v>1430.93100277143</v>
      </c>
      <c r="J45" s="55">
        <f t="shared" si="4"/>
        <v>5129.0051361047636</v>
      </c>
      <c r="K45" s="349" t="s">
        <v>1049</v>
      </c>
      <c r="L45" s="350">
        <f>IFERROR(IF($K45="SIM",INDEX(LBD!$BI$6:$BI$27,MATCH($C45,LBD!$B$6:$B$27,0)),0),0)</f>
        <v>0</v>
      </c>
      <c r="M45" s="352">
        <f t="shared" si="5"/>
        <v>5129.0051361047636</v>
      </c>
    </row>
    <row r="46" spans="1:13" s="23" customFormat="1" ht="24" customHeight="1" x14ac:dyDescent="0.4">
      <c r="A46" s="56"/>
      <c r="B46" s="49" t="s">
        <v>884</v>
      </c>
      <c r="C46" s="50">
        <v>30</v>
      </c>
      <c r="D46" s="58">
        <f>IFERROR(INDEX(LBD!$AZ$6:$AZ$27,MATCH($C46,LBD!$B$6:$B$27,0)),0)</f>
        <v>2882.9407999999999</v>
      </c>
      <c r="E46" s="58">
        <f>IFERROR(INDEX(LBD!$BA$6:$BA$27,MATCH($C46,LBD!$B$6:$B$27,0)),0)</f>
        <v>572.80000000000007</v>
      </c>
      <c r="F46" s="52">
        <f>PARÂMETROS!$H$3</f>
        <v>40</v>
      </c>
      <c r="G46" s="53">
        <v>0.36180555555555599</v>
      </c>
      <c r="H46" s="54">
        <f t="shared" si="3"/>
        <v>347.33333333333371</v>
      </c>
      <c r="I46" s="59">
        <f>IFERROR(INDEX(LBD!$B$77:$B$99,MATCH("DN"&amp;$C46,LBD!$A$77:$A$99,0)),0)</f>
        <v>1738.18805224013</v>
      </c>
      <c r="J46" s="55">
        <f t="shared" si="4"/>
        <v>5541.2621855734633</v>
      </c>
      <c r="K46" s="349" t="s">
        <v>1049</v>
      </c>
      <c r="L46" s="350">
        <f>IFERROR(IF($K46="SIM",INDEX(LBD!$BI$6:$BI$27,MATCH($C46,LBD!$B$6:$B$27,0)),0),0)</f>
        <v>0</v>
      </c>
      <c r="M46" s="352">
        <f t="shared" si="5"/>
        <v>5541.2621855734633</v>
      </c>
    </row>
    <row r="47" spans="1:13" s="23" customFormat="1" ht="24" customHeight="1" x14ac:dyDescent="0.4">
      <c r="A47" s="56"/>
      <c r="B47" s="49" t="s">
        <v>884</v>
      </c>
      <c r="C47" s="50">
        <v>32</v>
      </c>
      <c r="D47" s="58">
        <f>IFERROR(INDEX(LBD!$AZ$6:$AZ$27,MATCH($C47,LBD!$B$6:$B$27,0)),0)</f>
        <v>3480.9357</v>
      </c>
      <c r="E47" s="58">
        <f>IFERROR(INDEX(LBD!$BA$6:$BA$27,MATCH($C47,LBD!$B$6:$B$27,0)),0)</f>
        <v>604.80000000000007</v>
      </c>
      <c r="F47" s="52">
        <f>PARÂMETROS!$H$3</f>
        <v>40</v>
      </c>
      <c r="G47" s="53">
        <v>0.36180555555555599</v>
      </c>
      <c r="H47" s="54">
        <f t="shared" si="3"/>
        <v>347.33333333333371</v>
      </c>
      <c r="I47" s="59">
        <f>IFERROR(INDEX(LBD!$B$77:$B$99,MATCH("DN"&amp;$C47,LBD!$A$77:$A$99,0)),0)</f>
        <v>2028.6190685132201</v>
      </c>
      <c r="J47" s="55">
        <f t="shared" si="4"/>
        <v>6461.6881018465538</v>
      </c>
      <c r="K47" s="349" t="s">
        <v>1049</v>
      </c>
      <c r="L47" s="350">
        <f>IFERROR(IF($K47="SIM",INDEX(LBD!$BI$6:$BI$27,MATCH($C47,LBD!$B$6:$B$27,0)),0),0)</f>
        <v>0</v>
      </c>
      <c r="M47" s="352">
        <f t="shared" si="5"/>
        <v>6461.6881018465538</v>
      </c>
    </row>
    <row r="48" spans="1:13" s="23" customFormat="1" ht="24" customHeight="1" x14ac:dyDescent="0.4">
      <c r="A48" s="56"/>
      <c r="B48" s="49" t="s">
        <v>884</v>
      </c>
      <c r="C48" s="50">
        <v>34</v>
      </c>
      <c r="D48" s="58">
        <f>IFERROR(INDEX(LBD!$AZ$6:$AZ$27,MATCH($C48,LBD!$B$6:$B$27,0)),0)</f>
        <v>3585.9357</v>
      </c>
      <c r="E48" s="58">
        <f>IFERROR(INDEX(LBD!$BA$6:$BA$27,MATCH($C48,LBD!$B$6:$B$27,0)),0)</f>
        <v>604.80000000000007</v>
      </c>
      <c r="F48" s="52">
        <f>PARÂMETROS!$H$3</f>
        <v>40</v>
      </c>
      <c r="G48" s="53">
        <v>0.36180555555555599</v>
      </c>
      <c r="H48" s="54">
        <f t="shared" si="3"/>
        <v>347.33333333333371</v>
      </c>
      <c r="I48" s="59">
        <f>IFERROR(INDEX(LBD!$B$77:$B$99,MATCH("DN"&amp;$C48,LBD!$A$77:$A$99,0)),0)</f>
        <v>2340.8652347862999</v>
      </c>
      <c r="J48" s="55">
        <f t="shared" si="4"/>
        <v>6878.934268119634</v>
      </c>
      <c r="K48" s="349" t="s">
        <v>1049</v>
      </c>
      <c r="L48" s="350">
        <f>IFERROR(IF($K48="SIM",INDEX(LBD!$BI$6:$BI$27,MATCH($C48,LBD!$B$6:$B$27,0)),0),0)</f>
        <v>0</v>
      </c>
      <c r="M48" s="352">
        <f t="shared" si="5"/>
        <v>6878.934268119634</v>
      </c>
    </row>
    <row r="49" spans="1:13" s="23" customFormat="1" ht="24" customHeight="1" x14ac:dyDescent="0.4">
      <c r="A49" s="56"/>
      <c r="B49" s="49" t="s">
        <v>884</v>
      </c>
      <c r="C49" s="50">
        <v>36</v>
      </c>
      <c r="D49" s="58">
        <f>IFERROR(INDEX(LBD!$AZ$6:$AZ$27,MATCH($C49,LBD!$B$6:$B$27,0)),0)</f>
        <v>3908.5364799999998</v>
      </c>
      <c r="E49" s="58">
        <f>IFERROR(INDEX(LBD!$BA$6:$BA$27,MATCH($C49,LBD!$B$6:$B$27,0)),0)</f>
        <v>1051.2</v>
      </c>
      <c r="F49" s="52">
        <f>PARÂMETROS!$H$3</f>
        <v>40</v>
      </c>
      <c r="G49" s="53">
        <v>0.36180555555555599</v>
      </c>
      <c r="H49" s="54">
        <f t="shared" si="3"/>
        <v>347.33333333333371</v>
      </c>
      <c r="I49" s="59">
        <f>IFERROR(INDEX(LBD!$B$77:$B$99,MATCH("DN"&amp;$C49,LBD!$A$77:$A$99,0)),0)</f>
        <v>2674.92655105939</v>
      </c>
      <c r="J49" s="55">
        <f t="shared" si="4"/>
        <v>7981.996364392724</v>
      </c>
      <c r="K49" s="349" t="s">
        <v>1049</v>
      </c>
      <c r="L49" s="350">
        <f>IFERROR(IF($K49="SIM",INDEX(LBD!$BI$6:$BI$27,MATCH($C49,LBD!$B$6:$B$27,0)),0),0)</f>
        <v>0</v>
      </c>
      <c r="M49" s="352">
        <f t="shared" si="5"/>
        <v>7981.996364392724</v>
      </c>
    </row>
    <row r="50" spans="1:13" s="23" customFormat="1" ht="24" customHeight="1" x14ac:dyDescent="0.4">
      <c r="A50" s="56"/>
      <c r="B50" s="49" t="s">
        <v>884</v>
      </c>
      <c r="C50" s="50">
        <v>38</v>
      </c>
      <c r="D50" s="58">
        <f>IFERROR(INDEX(LBD!$AZ$6:$AZ$27,MATCH($C50,LBD!$B$6:$B$27,0)),0)</f>
        <v>3967.73648</v>
      </c>
      <c r="E50" s="58">
        <f>IFERROR(INDEX(LBD!$BA$6:$BA$27,MATCH($C50,LBD!$B$6:$B$27,0)),0)</f>
        <v>1051.2</v>
      </c>
      <c r="F50" s="52">
        <f>PARÂMETROS!$H$3</f>
        <v>40</v>
      </c>
      <c r="G50" s="53">
        <v>0.36180555555555599</v>
      </c>
      <c r="H50" s="54">
        <f t="shared" si="3"/>
        <v>347.33333333333371</v>
      </c>
      <c r="I50" s="59">
        <f>IFERROR(INDEX(LBD!$B$77:$B$99,MATCH("DN"&amp;$C50,LBD!$A$77:$A$99,0)),0)</f>
        <v>3208.38802946547</v>
      </c>
      <c r="J50" s="55">
        <f t="shared" si="4"/>
        <v>8574.6578427988043</v>
      </c>
      <c r="K50" s="349" t="s">
        <v>1049</v>
      </c>
      <c r="L50" s="350">
        <f>IFERROR(IF($K50="SIM",INDEX(LBD!$BI$6:$BI$27,MATCH($C50,LBD!$B$6:$B$27,0)),0),0)</f>
        <v>0</v>
      </c>
      <c r="M50" s="352">
        <f t="shared" si="5"/>
        <v>8574.6578427988043</v>
      </c>
    </row>
    <row r="51" spans="1:13" s="23" customFormat="1" ht="24" customHeight="1" x14ac:dyDescent="0.4">
      <c r="A51" s="56"/>
      <c r="B51" s="49" t="s">
        <v>884</v>
      </c>
      <c r="C51" s="50">
        <v>40</v>
      </c>
      <c r="D51" s="58">
        <f>IFERROR(INDEX(LBD!$AZ$6:$AZ$27,MATCH($C51,LBD!$B$6:$B$27,0)),0)</f>
        <v>4404.4294599999994</v>
      </c>
      <c r="E51" s="58">
        <f>IFERROR(INDEX(LBD!$BA$6:$BA$27,MATCH($C51,LBD!$B$6:$B$27,0)),0)</f>
        <v>1147.2</v>
      </c>
      <c r="F51" s="52">
        <f>PARÂMETROS!$H$3</f>
        <v>40</v>
      </c>
      <c r="G51" s="53">
        <v>0.36180555555555599</v>
      </c>
      <c r="H51" s="54">
        <f t="shared" si="3"/>
        <v>347.33333333333371</v>
      </c>
      <c r="I51" s="59">
        <f>IFERROR(INDEX(LBD!$B$77:$B$99,MATCH("DN"&amp;$C51,LBD!$A$77:$A$99,0)),0)</f>
        <v>3598.4119382478002</v>
      </c>
      <c r="J51" s="55">
        <f t="shared" si="4"/>
        <v>9497.3747315811343</v>
      </c>
      <c r="K51" s="349" t="s">
        <v>1049</v>
      </c>
      <c r="L51" s="350">
        <f>IFERROR(IF($K51="SIM",INDEX(LBD!$BI$6:$BI$27,MATCH($C51,LBD!$B$6:$B$27,0)),0),0)</f>
        <v>0</v>
      </c>
      <c r="M51" s="352">
        <f t="shared" si="5"/>
        <v>9497.3747315811343</v>
      </c>
    </row>
    <row r="52" spans="1:13" s="23" customFormat="1" ht="24" customHeight="1" x14ac:dyDescent="0.4">
      <c r="A52" s="56"/>
      <c r="B52" s="49" t="s">
        <v>884</v>
      </c>
      <c r="C52" s="50">
        <v>42</v>
      </c>
      <c r="D52" s="58">
        <f>IFERROR(INDEX(LBD!$AZ$6:$AZ$27,MATCH($C52,LBD!$B$6:$B$27,0)),0)</f>
        <v>4567.4371000000001</v>
      </c>
      <c r="E52" s="58">
        <f>IFERROR(INDEX(LBD!$BA$6:$BA$27,MATCH($C52,LBD!$B$6:$B$27,0)),0)</f>
        <v>1243.2</v>
      </c>
      <c r="F52" s="52">
        <f>PARÂMETROS!$H$3</f>
        <v>40</v>
      </c>
      <c r="G52" s="53">
        <v>0.36180555555555599</v>
      </c>
      <c r="H52" s="54">
        <f t="shared" si="3"/>
        <v>347.33333333333371</v>
      </c>
      <c r="I52" s="59">
        <f>IFERROR(INDEX(LBD!$B$77:$B$99,MATCH("DN"&amp;$C52,LBD!$A$77:$A$99,0)),0)</f>
        <v>4010.2509970301198</v>
      </c>
      <c r="J52" s="55">
        <f t="shared" si="4"/>
        <v>10168.221430363454</v>
      </c>
      <c r="K52" s="349" t="s">
        <v>1049</v>
      </c>
      <c r="L52" s="350">
        <f>IFERROR(IF($K52="SIM",INDEX(LBD!$BI$6:$BI$27,MATCH($C52,LBD!$B$6:$B$27,0)),0),0)</f>
        <v>0</v>
      </c>
      <c r="M52" s="352">
        <f t="shared" si="5"/>
        <v>10168.221430363454</v>
      </c>
    </row>
    <row r="53" spans="1:13" s="23" customFormat="1" ht="24" customHeight="1" x14ac:dyDescent="0.3">
      <c r="A53" s="56"/>
      <c r="B53" s="56"/>
      <c r="C53" s="44"/>
    </row>
    <row r="54" spans="1:13" s="23" customFormat="1" ht="24" customHeight="1" x14ac:dyDescent="0.3">
      <c r="A54" s="56"/>
      <c r="B54" s="56"/>
      <c r="C54" s="44"/>
    </row>
    <row r="55" spans="1:13" s="23" customFormat="1" ht="24" customHeight="1" x14ac:dyDescent="0.3">
      <c r="A55" s="56"/>
      <c r="B55" s="56"/>
      <c r="C55" s="44"/>
    </row>
    <row r="56" spans="1:13" s="23" customFormat="1" ht="24" customHeight="1" x14ac:dyDescent="0.3">
      <c r="A56" s="56"/>
      <c r="B56" s="56"/>
      <c r="C56" s="44"/>
    </row>
    <row r="57" spans="1:13" s="23" customFormat="1" ht="24" customHeight="1" x14ac:dyDescent="0.3">
      <c r="A57" s="56"/>
      <c r="B57" s="56"/>
      <c r="C57" s="44"/>
    </row>
    <row r="58" spans="1:13" s="23" customFormat="1" ht="24" customHeight="1" x14ac:dyDescent="0.3">
      <c r="A58" s="56"/>
      <c r="B58" s="56"/>
      <c r="C58" s="44"/>
    </row>
    <row r="59" spans="1:13" s="23" customFormat="1" ht="24" customHeight="1" x14ac:dyDescent="0.3">
      <c r="A59" s="56"/>
      <c r="B59" s="56"/>
      <c r="C59" s="44"/>
    </row>
    <row r="60" spans="1:13" s="23" customFormat="1" ht="24" customHeight="1" x14ac:dyDescent="0.3">
      <c r="A60" s="56"/>
      <c r="B60" s="56"/>
      <c r="C60" s="44"/>
    </row>
    <row r="61" spans="1:13" s="23" customFormat="1" ht="24" customHeight="1" x14ac:dyDescent="0.3">
      <c r="A61" s="56"/>
      <c r="B61" s="56"/>
      <c r="C61" s="44"/>
    </row>
    <row r="62" spans="1:13" s="23" customFormat="1" ht="24" customHeight="1" x14ac:dyDescent="0.3">
      <c r="A62" s="56"/>
      <c r="B62" s="56"/>
      <c r="C62" s="44"/>
    </row>
    <row r="63" spans="1:13" s="23" customFormat="1" ht="24" customHeight="1" x14ac:dyDescent="0.3">
      <c r="A63" s="56"/>
      <c r="B63" s="56"/>
      <c r="C63" s="44"/>
    </row>
    <row r="64" spans="1:13" s="23" customFormat="1" ht="24" customHeight="1" x14ac:dyDescent="0.3">
      <c r="A64" s="56"/>
      <c r="B64" s="56"/>
      <c r="C64" s="44"/>
    </row>
    <row r="65" spans="1:3" s="23" customFormat="1" ht="24" customHeight="1" x14ac:dyDescent="0.3">
      <c r="A65" s="56"/>
      <c r="B65" s="56"/>
      <c r="C65" s="44"/>
    </row>
    <row r="66" spans="1:3" s="23" customFormat="1" ht="24" customHeight="1" x14ac:dyDescent="0.3">
      <c r="A66" s="56"/>
      <c r="B66" s="56"/>
      <c r="C66" s="44"/>
    </row>
    <row r="67" spans="1:3" s="23" customFormat="1" ht="24" customHeight="1" x14ac:dyDescent="0.3">
      <c r="A67" s="56"/>
      <c r="B67" s="56"/>
      <c r="C67" s="44"/>
    </row>
    <row r="68" spans="1:3" s="23" customFormat="1" ht="24" customHeight="1" x14ac:dyDescent="0.3">
      <c r="A68" s="56"/>
      <c r="B68" s="56"/>
      <c r="C68" s="44"/>
    </row>
    <row r="69" spans="1:3" s="23" customFormat="1" ht="24" customHeight="1" x14ac:dyDescent="0.3">
      <c r="A69" s="56"/>
      <c r="B69" s="56"/>
      <c r="C69" s="44"/>
    </row>
    <row r="70" spans="1:3" s="23" customFormat="1" ht="24" customHeight="1" x14ac:dyDescent="0.3">
      <c r="A70" s="56"/>
      <c r="B70" s="56"/>
      <c r="C70" s="44"/>
    </row>
    <row r="71" spans="1:3" s="23" customFormat="1" ht="24" customHeight="1" x14ac:dyDescent="0.3">
      <c r="A71" s="56"/>
      <c r="B71" s="56"/>
      <c r="C71" s="44"/>
    </row>
    <row r="72" spans="1:3" s="23" customFormat="1" ht="24" customHeight="1" x14ac:dyDescent="0.3">
      <c r="A72" s="56"/>
      <c r="B72" s="56"/>
      <c r="C72" s="44"/>
    </row>
    <row r="73" spans="1:3" s="23" customFormat="1" ht="24" customHeight="1" x14ac:dyDescent="0.3">
      <c r="A73" s="56"/>
      <c r="B73" s="56"/>
      <c r="C73" s="44"/>
    </row>
    <row r="74" spans="1:3" s="23" customFormat="1" ht="24" customHeight="1" x14ac:dyDescent="0.3">
      <c r="A74" s="56"/>
      <c r="B74" s="56"/>
      <c r="C74" s="44"/>
    </row>
    <row r="75" spans="1:3" s="23" customFormat="1" ht="24" customHeight="1" x14ac:dyDescent="0.3">
      <c r="A75" s="56"/>
      <c r="B75" s="56"/>
      <c r="C75" s="44"/>
    </row>
    <row r="76" spans="1:3" s="23" customFormat="1" ht="24" customHeight="1" x14ac:dyDescent="0.3">
      <c r="A76" s="56"/>
      <c r="B76" s="56"/>
      <c r="C76" s="44"/>
    </row>
    <row r="77" spans="1:3" s="23" customFormat="1" ht="24" customHeight="1" x14ac:dyDescent="0.3">
      <c r="A77" s="56"/>
      <c r="B77" s="56"/>
      <c r="C77" s="44"/>
    </row>
    <row r="78" spans="1:3" s="23" customFormat="1" ht="24" customHeight="1" x14ac:dyDescent="0.3">
      <c r="A78" s="56"/>
      <c r="B78" s="56"/>
      <c r="C78" s="44"/>
    </row>
    <row r="79" spans="1:3" s="23" customFormat="1" ht="24" customHeight="1" x14ac:dyDescent="0.3">
      <c r="A79" s="56"/>
      <c r="B79" s="56"/>
      <c r="C79" s="44"/>
    </row>
    <row r="80" spans="1:3" s="23" customFormat="1" ht="24" customHeight="1" x14ac:dyDescent="0.3">
      <c r="A80" s="56"/>
      <c r="B80" s="56"/>
      <c r="C80" s="44"/>
    </row>
    <row r="81" spans="1:3" s="23" customFormat="1" ht="24" customHeight="1" x14ac:dyDescent="0.3">
      <c r="A81" s="56"/>
      <c r="B81" s="56"/>
      <c r="C81" s="44"/>
    </row>
    <row r="82" spans="1:3" s="23" customFormat="1" ht="24" customHeight="1" x14ac:dyDescent="0.3">
      <c r="A82" s="56"/>
      <c r="B82" s="56"/>
      <c r="C82" s="44"/>
    </row>
    <row r="83" spans="1:3" s="23" customFormat="1" ht="24" customHeight="1" x14ac:dyDescent="0.3">
      <c r="A83" s="56"/>
      <c r="B83" s="56"/>
      <c r="C83" s="44"/>
    </row>
    <row r="84" spans="1:3" s="23" customFormat="1" ht="24" customHeight="1" x14ac:dyDescent="0.3">
      <c r="A84" s="56"/>
      <c r="B84" s="56"/>
      <c r="C84" s="44"/>
    </row>
    <row r="85" spans="1:3" s="23" customFormat="1" ht="24" customHeight="1" x14ac:dyDescent="0.3">
      <c r="A85" s="56"/>
      <c r="B85" s="56"/>
      <c r="C85" s="44"/>
    </row>
    <row r="86" spans="1:3" s="23" customFormat="1" ht="24" customHeight="1" x14ac:dyDescent="0.3">
      <c r="A86" s="56"/>
      <c r="B86" s="56"/>
      <c r="C86" s="44"/>
    </row>
    <row r="87" spans="1:3" s="23" customFormat="1" ht="24" customHeight="1" x14ac:dyDescent="0.3">
      <c r="A87" s="56"/>
      <c r="B87" s="56"/>
      <c r="C87" s="44"/>
    </row>
    <row r="88" spans="1:3" s="23" customFormat="1" ht="24" customHeight="1" x14ac:dyDescent="0.3">
      <c r="A88" s="56"/>
      <c r="B88" s="56"/>
      <c r="C88" s="44"/>
    </row>
    <row r="89" spans="1:3" s="23" customFormat="1" ht="24" customHeight="1" x14ac:dyDescent="0.3">
      <c r="A89" s="56"/>
      <c r="B89" s="56"/>
      <c r="C89" s="44"/>
    </row>
    <row r="90" spans="1:3" s="23" customFormat="1" ht="24" customHeight="1" x14ac:dyDescent="0.3">
      <c r="A90" s="56"/>
      <c r="B90" s="56"/>
      <c r="C90" s="44"/>
    </row>
    <row r="91" spans="1:3" s="23" customFormat="1" ht="24" customHeight="1" x14ac:dyDescent="0.3">
      <c r="A91" s="56"/>
      <c r="B91" s="56"/>
      <c r="C91" s="44"/>
    </row>
    <row r="92" spans="1:3" s="23" customFormat="1" ht="24" customHeight="1" x14ac:dyDescent="0.3">
      <c r="A92" s="56"/>
      <c r="B92" s="56"/>
      <c r="C92" s="44"/>
    </row>
    <row r="93" spans="1:3" s="23" customFormat="1" ht="24" customHeight="1" x14ac:dyDescent="0.3">
      <c r="A93" s="56"/>
      <c r="B93" s="56"/>
      <c r="C93" s="44"/>
    </row>
    <row r="94" spans="1:3" s="23" customFormat="1" ht="24" customHeight="1" x14ac:dyDescent="0.3">
      <c r="A94" s="56"/>
      <c r="B94" s="56"/>
      <c r="C94" s="44"/>
    </row>
    <row r="95" spans="1:3" s="23" customFormat="1" ht="24" customHeight="1" x14ac:dyDescent="0.3">
      <c r="A95" s="56"/>
      <c r="B95" s="56"/>
      <c r="C95" s="44"/>
    </row>
    <row r="96" spans="1:3" s="23" customFormat="1" ht="24" customHeight="1" x14ac:dyDescent="0.3">
      <c r="A96" s="56"/>
      <c r="B96" s="56"/>
      <c r="C96" s="44"/>
    </row>
    <row r="97" spans="1:3" s="23" customFormat="1" ht="24" customHeight="1" x14ac:dyDescent="0.3">
      <c r="A97" s="56"/>
      <c r="B97" s="56"/>
      <c r="C97" s="44"/>
    </row>
    <row r="98" spans="1:3" s="23" customFormat="1" ht="24" customHeight="1" x14ac:dyDescent="0.3">
      <c r="A98" s="56"/>
      <c r="B98" s="56"/>
      <c r="C98" s="44"/>
    </row>
    <row r="99" spans="1:3" s="23" customFormat="1" ht="24" customHeight="1" x14ac:dyDescent="0.3">
      <c r="A99" s="56"/>
      <c r="B99" s="56"/>
      <c r="C99" s="44"/>
    </row>
    <row r="100" spans="1:3" s="23" customFormat="1" ht="24" customHeight="1" x14ac:dyDescent="0.3">
      <c r="A100" s="56"/>
      <c r="B100" s="56"/>
      <c r="C100" s="44"/>
    </row>
    <row r="101" spans="1:3" s="23" customFormat="1" ht="24" customHeight="1" x14ac:dyDescent="0.3">
      <c r="A101" s="56"/>
      <c r="B101" s="56"/>
      <c r="C101" s="44"/>
    </row>
    <row r="102" spans="1:3" s="23" customFormat="1" ht="24" customHeight="1" x14ac:dyDescent="0.3">
      <c r="A102" s="56"/>
      <c r="B102" s="56"/>
      <c r="C102" s="44"/>
    </row>
    <row r="103" spans="1:3" s="23" customFormat="1" ht="24" customHeight="1" x14ac:dyDescent="0.3">
      <c r="A103" s="56"/>
      <c r="B103" s="56"/>
      <c r="C103" s="44"/>
    </row>
    <row r="104" spans="1:3" s="23" customFormat="1" ht="24" customHeight="1" x14ac:dyDescent="0.3">
      <c r="A104" s="56"/>
      <c r="B104" s="56"/>
      <c r="C104" s="44"/>
    </row>
    <row r="105" spans="1:3" s="23" customFormat="1" ht="24" customHeight="1" x14ac:dyDescent="0.3">
      <c r="A105" s="56"/>
      <c r="B105" s="56"/>
      <c r="C105" s="44"/>
    </row>
    <row r="106" spans="1:3" s="23" customFormat="1" ht="24" customHeight="1" x14ac:dyDescent="0.3">
      <c r="A106" s="56"/>
      <c r="B106" s="56"/>
      <c r="C106" s="44"/>
    </row>
    <row r="107" spans="1:3" s="23" customFormat="1" ht="24" customHeight="1" x14ac:dyDescent="0.3">
      <c r="A107" s="56"/>
      <c r="B107" s="56"/>
      <c r="C107" s="44"/>
    </row>
    <row r="108" spans="1:3" s="23" customFormat="1" ht="24" customHeight="1" x14ac:dyDescent="0.3">
      <c r="A108" s="56"/>
      <c r="B108" s="56"/>
      <c r="C108" s="44"/>
    </row>
    <row r="109" spans="1:3" s="23" customFormat="1" ht="24" customHeight="1" x14ac:dyDescent="0.3">
      <c r="A109" s="56"/>
      <c r="B109" s="56"/>
      <c r="C109" s="44"/>
    </row>
    <row r="110" spans="1:3" s="23" customFormat="1" ht="24" customHeight="1" x14ac:dyDescent="0.3">
      <c r="A110" s="56"/>
      <c r="B110" s="56"/>
      <c r="C110" s="44"/>
    </row>
    <row r="111" spans="1:3" s="23" customFormat="1" ht="24" customHeight="1" x14ac:dyDescent="0.3">
      <c r="A111" s="56"/>
      <c r="B111" s="56"/>
      <c r="C111" s="44"/>
    </row>
    <row r="112" spans="1:3" s="23" customFormat="1" ht="24" customHeight="1" x14ac:dyDescent="0.3">
      <c r="A112" s="56"/>
      <c r="B112" s="56"/>
      <c r="C112" s="44"/>
    </row>
    <row r="113" spans="1:3" s="23" customFormat="1" ht="24" customHeight="1" x14ac:dyDescent="0.3">
      <c r="A113" s="56"/>
      <c r="B113" s="56"/>
      <c r="C113" s="44"/>
    </row>
    <row r="114" spans="1:3" s="23" customFormat="1" ht="24" customHeight="1" x14ac:dyDescent="0.3">
      <c r="A114" s="56"/>
      <c r="B114" s="56"/>
      <c r="C114" s="44"/>
    </row>
    <row r="115" spans="1:3" s="23" customFormat="1" ht="24" customHeight="1" x14ac:dyDescent="0.3">
      <c r="A115" s="56"/>
      <c r="B115" s="56"/>
      <c r="C115" s="44"/>
    </row>
    <row r="116" spans="1:3" s="23" customFormat="1" ht="24" customHeight="1" x14ac:dyDescent="0.3">
      <c r="A116" s="56"/>
      <c r="B116" s="56"/>
      <c r="C116" s="44"/>
    </row>
    <row r="117" spans="1:3" s="23" customFormat="1" ht="24" customHeight="1" x14ac:dyDescent="0.3">
      <c r="A117" s="56"/>
      <c r="B117" s="56"/>
      <c r="C117" s="44"/>
    </row>
    <row r="118" spans="1:3" s="23" customFormat="1" ht="24" customHeight="1" x14ac:dyDescent="0.3">
      <c r="A118" s="56"/>
      <c r="B118" s="56"/>
      <c r="C118" s="44"/>
    </row>
    <row r="119" spans="1:3" s="23" customFormat="1" ht="24" customHeight="1" x14ac:dyDescent="0.3">
      <c r="A119" s="56"/>
      <c r="B119" s="56"/>
      <c r="C119" s="44"/>
    </row>
    <row r="120" spans="1:3" s="23" customFormat="1" ht="24" customHeight="1" x14ac:dyDescent="0.3">
      <c r="A120" s="56"/>
      <c r="B120" s="56"/>
      <c r="C120" s="44"/>
    </row>
    <row r="121" spans="1:3" s="23" customFormat="1" ht="24" customHeight="1" x14ac:dyDescent="0.3">
      <c r="A121" s="56"/>
      <c r="B121" s="56"/>
      <c r="C121" s="44"/>
    </row>
    <row r="122" spans="1:3" s="23" customFormat="1" ht="24" customHeight="1" x14ac:dyDescent="0.3">
      <c r="A122" s="56"/>
      <c r="B122" s="56"/>
      <c r="C122" s="44"/>
    </row>
    <row r="123" spans="1:3" s="23" customFormat="1" ht="24" customHeight="1" x14ac:dyDescent="0.3">
      <c r="A123" s="56"/>
      <c r="B123" s="56"/>
      <c r="C123" s="44"/>
    </row>
    <row r="124" spans="1:3" s="23" customFormat="1" ht="24" customHeight="1" x14ac:dyDescent="0.3">
      <c r="A124" s="56"/>
      <c r="B124" s="56"/>
      <c r="C124" s="44"/>
    </row>
    <row r="125" spans="1:3" s="23" customFormat="1" ht="24" customHeight="1" x14ac:dyDescent="0.3">
      <c r="A125" s="56"/>
      <c r="B125" s="56"/>
      <c r="C125" s="44"/>
    </row>
    <row r="126" spans="1:3" s="23" customFormat="1" ht="24" customHeight="1" x14ac:dyDescent="0.3">
      <c r="A126" s="56"/>
      <c r="B126" s="56"/>
      <c r="C126" s="44"/>
    </row>
    <row r="127" spans="1:3" s="23" customFormat="1" ht="24" customHeight="1" x14ac:dyDescent="0.3">
      <c r="A127" s="56"/>
      <c r="B127" s="56"/>
      <c r="C127" s="44"/>
    </row>
    <row r="128" spans="1:3" s="23" customFormat="1" ht="24" customHeight="1" x14ac:dyDescent="0.3">
      <c r="A128" s="56"/>
      <c r="B128" s="56"/>
      <c r="C128" s="44"/>
    </row>
    <row r="129" spans="1:3" s="23" customFormat="1" ht="24" customHeight="1" x14ac:dyDescent="0.3">
      <c r="A129" s="56"/>
      <c r="B129" s="56"/>
      <c r="C129" s="44"/>
    </row>
    <row r="130" spans="1:3" s="23" customFormat="1" ht="24" customHeight="1" x14ac:dyDescent="0.3">
      <c r="A130" s="56"/>
      <c r="B130" s="56"/>
      <c r="C130" s="44"/>
    </row>
    <row r="131" spans="1:3" s="23" customFormat="1" ht="24" customHeight="1" x14ac:dyDescent="0.3">
      <c r="A131" s="56"/>
      <c r="B131" s="56"/>
      <c r="C131" s="44"/>
    </row>
    <row r="132" spans="1:3" s="23" customFormat="1" ht="24" customHeight="1" x14ac:dyDescent="0.3">
      <c r="A132" s="56"/>
      <c r="B132" s="56"/>
      <c r="C132" s="44"/>
    </row>
    <row r="133" spans="1:3" s="23" customFormat="1" ht="24" customHeight="1" x14ac:dyDescent="0.3">
      <c r="A133" s="56"/>
      <c r="B133" s="56"/>
      <c r="C133" s="44"/>
    </row>
    <row r="134" spans="1:3" s="23" customFormat="1" ht="24" customHeight="1" x14ac:dyDescent="0.3">
      <c r="A134" s="56"/>
      <c r="B134" s="56"/>
      <c r="C134" s="44"/>
    </row>
    <row r="135" spans="1:3" s="23" customFormat="1" ht="24" customHeight="1" x14ac:dyDescent="0.3">
      <c r="A135" s="56"/>
      <c r="B135" s="56"/>
      <c r="C135" s="44"/>
    </row>
    <row r="136" spans="1:3" s="23" customFormat="1" ht="24" customHeight="1" x14ac:dyDescent="0.3">
      <c r="A136" s="56"/>
      <c r="B136" s="56"/>
      <c r="C136" s="44"/>
    </row>
    <row r="137" spans="1:3" s="23" customFormat="1" ht="24" customHeight="1" x14ac:dyDescent="0.3">
      <c r="A137" s="56"/>
      <c r="B137" s="56"/>
      <c r="C137" s="44"/>
    </row>
    <row r="138" spans="1:3" s="23" customFormat="1" ht="24" customHeight="1" x14ac:dyDescent="0.3">
      <c r="A138" s="56"/>
      <c r="B138" s="56"/>
      <c r="C138" s="44"/>
    </row>
    <row r="139" spans="1:3" s="23" customFormat="1" ht="24" customHeight="1" x14ac:dyDescent="0.3">
      <c r="A139" s="56"/>
      <c r="B139" s="56"/>
      <c r="C139" s="44"/>
    </row>
    <row r="140" spans="1:3" s="23" customFormat="1" ht="24" customHeight="1" x14ac:dyDescent="0.3">
      <c r="A140" s="56"/>
      <c r="B140" s="56"/>
      <c r="C140" s="44"/>
    </row>
    <row r="141" spans="1:3" s="23" customFormat="1" ht="24" customHeight="1" x14ac:dyDescent="0.3">
      <c r="A141" s="56"/>
      <c r="B141" s="56"/>
      <c r="C141" s="44"/>
    </row>
    <row r="142" spans="1:3" s="23" customFormat="1" ht="24" customHeight="1" x14ac:dyDescent="0.3">
      <c r="A142" s="56"/>
      <c r="B142" s="56"/>
      <c r="C142" s="44"/>
    </row>
    <row r="143" spans="1:3" s="23" customFormat="1" ht="24" customHeight="1" x14ac:dyDescent="0.3">
      <c r="A143" s="56"/>
      <c r="B143" s="56"/>
      <c r="C143" s="44"/>
    </row>
    <row r="144" spans="1:3" s="23" customFormat="1" ht="24" customHeight="1" x14ac:dyDescent="0.3">
      <c r="A144" s="56"/>
      <c r="B144" s="56"/>
      <c r="C144" s="44"/>
    </row>
    <row r="145" spans="1:3" s="23" customFormat="1" ht="24" customHeight="1" x14ac:dyDescent="0.3">
      <c r="A145" s="56"/>
      <c r="B145" s="56"/>
      <c r="C145" s="44"/>
    </row>
    <row r="146" spans="1:3" s="23" customFormat="1" ht="24" customHeight="1" x14ac:dyDescent="0.3">
      <c r="A146" s="56"/>
      <c r="B146" s="56"/>
      <c r="C146" s="44"/>
    </row>
    <row r="147" spans="1:3" s="23" customFormat="1" ht="24" customHeight="1" x14ac:dyDescent="0.3">
      <c r="A147" s="56"/>
      <c r="B147" s="56"/>
      <c r="C147" s="44"/>
    </row>
    <row r="148" spans="1:3" s="23" customFormat="1" ht="24" customHeight="1" x14ac:dyDescent="0.3">
      <c r="A148" s="56"/>
      <c r="B148" s="56"/>
      <c r="C148" s="44"/>
    </row>
    <row r="149" spans="1:3" s="23" customFormat="1" ht="24" customHeight="1" x14ac:dyDescent="0.3">
      <c r="A149" s="56"/>
      <c r="B149" s="56"/>
      <c r="C149" s="44"/>
    </row>
    <row r="150" spans="1:3" s="23" customFormat="1" ht="24" customHeight="1" x14ac:dyDescent="0.3">
      <c r="A150" s="56"/>
      <c r="B150" s="56"/>
      <c r="C150" s="44"/>
    </row>
    <row r="151" spans="1:3" s="23" customFormat="1" ht="24" customHeight="1" x14ac:dyDescent="0.3">
      <c r="A151" s="56"/>
      <c r="B151" s="56"/>
      <c r="C151" s="44"/>
    </row>
    <row r="152" spans="1:3" s="23" customFormat="1" ht="24" customHeight="1" x14ac:dyDescent="0.3">
      <c r="A152" s="56"/>
      <c r="B152" s="56"/>
      <c r="C152" s="44"/>
    </row>
    <row r="153" spans="1:3" s="23" customFormat="1" ht="24" customHeight="1" x14ac:dyDescent="0.3">
      <c r="A153" s="56"/>
      <c r="B153" s="56"/>
      <c r="C153" s="44"/>
    </row>
    <row r="154" spans="1:3" s="23" customFormat="1" ht="24" customHeight="1" x14ac:dyDescent="0.3">
      <c r="A154" s="56"/>
      <c r="B154" s="56"/>
      <c r="C154" s="44"/>
    </row>
    <row r="155" spans="1:3" s="23" customFormat="1" ht="24" customHeight="1" x14ac:dyDescent="0.3">
      <c r="A155" s="56"/>
      <c r="B155" s="56"/>
      <c r="C155" s="44"/>
    </row>
    <row r="156" spans="1:3" s="23" customFormat="1" ht="24" customHeight="1" x14ac:dyDescent="0.3">
      <c r="A156" s="56"/>
      <c r="B156" s="56"/>
      <c r="C156" s="44"/>
    </row>
    <row r="157" spans="1:3" s="23" customFormat="1" ht="24" customHeight="1" x14ac:dyDescent="0.3">
      <c r="A157" s="56"/>
      <c r="B157" s="56"/>
      <c r="C157" s="44"/>
    </row>
    <row r="158" spans="1:3" s="23" customFormat="1" ht="24" customHeight="1" x14ac:dyDescent="0.3">
      <c r="A158" s="56"/>
      <c r="B158" s="56"/>
      <c r="C158" s="44"/>
    </row>
    <row r="159" spans="1:3" s="23" customFormat="1" ht="24" customHeight="1" x14ac:dyDescent="0.3">
      <c r="A159" s="56"/>
      <c r="B159" s="56"/>
      <c r="C159" s="44"/>
    </row>
    <row r="160" spans="1:3" s="23" customFormat="1" ht="24" customHeight="1" x14ac:dyDescent="0.3">
      <c r="A160" s="56"/>
      <c r="B160" s="56"/>
      <c r="C160" s="44"/>
    </row>
    <row r="161" spans="1:3" s="23" customFormat="1" ht="24" customHeight="1" x14ac:dyDescent="0.3">
      <c r="A161" s="56"/>
      <c r="B161" s="56"/>
      <c r="C161" s="44"/>
    </row>
    <row r="162" spans="1:3" s="23" customFormat="1" ht="24" customHeight="1" x14ac:dyDescent="0.3">
      <c r="A162" s="56"/>
      <c r="B162" s="56"/>
      <c r="C162" s="44"/>
    </row>
    <row r="163" spans="1:3" s="23" customFormat="1" ht="24" customHeight="1" x14ac:dyDescent="0.3">
      <c r="A163" s="56"/>
      <c r="B163" s="56"/>
      <c r="C163" s="44"/>
    </row>
    <row r="164" spans="1:3" s="23" customFormat="1" ht="24" customHeight="1" x14ac:dyDescent="0.3">
      <c r="A164" s="56"/>
      <c r="B164" s="56"/>
      <c r="C164" s="44"/>
    </row>
    <row r="165" spans="1:3" s="23" customFormat="1" ht="24" customHeight="1" x14ac:dyDescent="0.3">
      <c r="A165" s="56"/>
      <c r="B165" s="56"/>
      <c r="C165" s="44"/>
    </row>
    <row r="166" spans="1:3" s="23" customFormat="1" ht="24" customHeight="1" x14ac:dyDescent="0.3">
      <c r="A166" s="56"/>
      <c r="B166" s="56"/>
      <c r="C166" s="44"/>
    </row>
    <row r="167" spans="1:3" s="23" customFormat="1" ht="24" customHeight="1" x14ac:dyDescent="0.3">
      <c r="A167" s="56"/>
      <c r="B167" s="56"/>
      <c r="C167" s="44"/>
    </row>
    <row r="168" spans="1:3" s="23" customFormat="1" ht="24" customHeight="1" x14ac:dyDescent="0.3">
      <c r="A168" s="56"/>
      <c r="B168" s="56"/>
      <c r="C168" s="44"/>
    </row>
    <row r="169" spans="1:3" s="23" customFormat="1" ht="24" customHeight="1" x14ac:dyDescent="0.3">
      <c r="A169" s="56"/>
      <c r="B169" s="56"/>
      <c r="C169" s="44"/>
    </row>
    <row r="170" spans="1:3" s="23" customFormat="1" ht="24" customHeight="1" x14ac:dyDescent="0.3">
      <c r="A170" s="56"/>
      <c r="B170" s="56"/>
      <c r="C170" s="44"/>
    </row>
    <row r="171" spans="1:3" s="23" customFormat="1" ht="24" customHeight="1" x14ac:dyDescent="0.3">
      <c r="A171" s="56"/>
      <c r="B171" s="56"/>
      <c r="C171" s="44"/>
    </row>
    <row r="172" spans="1:3" s="23" customFormat="1" ht="24" customHeight="1" x14ac:dyDescent="0.3">
      <c r="A172" s="56"/>
      <c r="B172" s="56"/>
      <c r="C172" s="44"/>
    </row>
    <row r="173" spans="1:3" s="23" customFormat="1" ht="24" customHeight="1" x14ac:dyDescent="0.3">
      <c r="A173" s="56"/>
      <c r="B173" s="56"/>
      <c r="C173" s="44"/>
    </row>
    <row r="174" spans="1:3" s="23" customFormat="1" ht="24" customHeight="1" x14ac:dyDescent="0.3">
      <c r="A174" s="56"/>
      <c r="B174" s="56"/>
      <c r="C174" s="44"/>
    </row>
    <row r="175" spans="1:3" s="23" customFormat="1" ht="24" customHeight="1" x14ac:dyDescent="0.3">
      <c r="A175" s="56"/>
      <c r="B175" s="56"/>
      <c r="C175" s="44"/>
    </row>
    <row r="176" spans="1:3" s="23" customFormat="1" ht="24" customHeight="1" x14ac:dyDescent="0.3">
      <c r="A176" s="56"/>
      <c r="B176" s="56"/>
      <c r="C176" s="44"/>
    </row>
    <row r="177" spans="1:3" s="23" customFormat="1" ht="24" customHeight="1" x14ac:dyDescent="0.3">
      <c r="A177" s="56"/>
      <c r="B177" s="56"/>
      <c r="C177" s="44"/>
    </row>
    <row r="178" spans="1:3" s="23" customFormat="1" ht="24" customHeight="1" x14ac:dyDescent="0.3">
      <c r="A178" s="56"/>
      <c r="B178" s="56"/>
      <c r="C178" s="44"/>
    </row>
    <row r="179" spans="1:3" s="23" customFormat="1" ht="24" customHeight="1" x14ac:dyDescent="0.3">
      <c r="A179" s="56"/>
      <c r="B179" s="56"/>
      <c r="C179" s="44"/>
    </row>
    <row r="180" spans="1:3" s="23" customFormat="1" ht="24" customHeight="1" x14ac:dyDescent="0.3">
      <c r="A180" s="56"/>
      <c r="B180" s="56"/>
      <c r="C180" s="44"/>
    </row>
    <row r="181" spans="1:3" s="23" customFormat="1" ht="24" customHeight="1" x14ac:dyDescent="0.3">
      <c r="A181" s="56"/>
      <c r="B181" s="56"/>
      <c r="C181" s="44"/>
    </row>
    <row r="182" spans="1:3" s="23" customFormat="1" ht="24" customHeight="1" x14ac:dyDescent="0.3">
      <c r="A182" s="56"/>
      <c r="B182" s="56"/>
      <c r="C182" s="44"/>
    </row>
    <row r="183" spans="1:3" s="23" customFormat="1" ht="24" customHeight="1" x14ac:dyDescent="0.3">
      <c r="A183" s="56"/>
      <c r="B183" s="56"/>
      <c r="C183" s="44"/>
    </row>
    <row r="184" spans="1:3" s="23" customFormat="1" ht="24" customHeight="1" x14ac:dyDescent="0.3">
      <c r="A184" s="56"/>
      <c r="B184" s="56"/>
      <c r="C184" s="44"/>
    </row>
    <row r="185" spans="1:3" s="23" customFormat="1" ht="24" customHeight="1" x14ac:dyDescent="0.3">
      <c r="A185" s="56"/>
      <c r="B185" s="56"/>
      <c r="C185" s="44"/>
    </row>
    <row r="186" spans="1:3" s="23" customFormat="1" ht="24" customHeight="1" x14ac:dyDescent="0.3">
      <c r="A186" s="56"/>
      <c r="B186" s="56"/>
      <c r="C186" s="44"/>
    </row>
    <row r="187" spans="1:3" s="23" customFormat="1" ht="24" customHeight="1" x14ac:dyDescent="0.3">
      <c r="A187" s="56"/>
      <c r="B187" s="56"/>
      <c r="C187" s="44"/>
    </row>
    <row r="188" spans="1:3" s="23" customFormat="1" ht="24" customHeight="1" x14ac:dyDescent="0.3">
      <c r="A188" s="56"/>
      <c r="B188" s="56"/>
      <c r="C188" s="44"/>
    </row>
    <row r="189" spans="1:3" s="23" customFormat="1" ht="24" customHeight="1" x14ac:dyDescent="0.3">
      <c r="A189" s="56"/>
      <c r="B189" s="56"/>
      <c r="C189" s="44"/>
    </row>
    <row r="190" spans="1:3" s="23" customFormat="1" ht="24" customHeight="1" x14ac:dyDescent="0.3">
      <c r="A190" s="56"/>
      <c r="B190" s="56"/>
      <c r="C190" s="44"/>
    </row>
    <row r="191" spans="1:3" s="23" customFormat="1" ht="24" customHeight="1" x14ac:dyDescent="0.3">
      <c r="A191" s="56"/>
      <c r="B191" s="56"/>
      <c r="C191" s="44"/>
    </row>
    <row r="192" spans="1:3" s="23" customFormat="1" ht="24" customHeight="1" x14ac:dyDescent="0.3">
      <c r="A192" s="56"/>
      <c r="B192" s="56"/>
      <c r="C192" s="44"/>
    </row>
    <row r="193" spans="1:3" s="23" customFormat="1" ht="24" customHeight="1" x14ac:dyDescent="0.3">
      <c r="A193" s="56"/>
      <c r="B193" s="56"/>
      <c r="C193" s="44"/>
    </row>
    <row r="194" spans="1:3" s="23" customFormat="1" ht="24" customHeight="1" x14ac:dyDescent="0.3">
      <c r="A194" s="56"/>
      <c r="B194" s="56"/>
      <c r="C194" s="44"/>
    </row>
    <row r="195" spans="1:3" s="23" customFormat="1" ht="24" customHeight="1" x14ac:dyDescent="0.3">
      <c r="A195" s="56"/>
      <c r="B195" s="56"/>
      <c r="C195" s="44"/>
    </row>
    <row r="196" spans="1:3" s="23" customFormat="1" ht="24" customHeight="1" x14ac:dyDescent="0.3">
      <c r="A196" s="56"/>
      <c r="B196" s="56"/>
      <c r="C196" s="44"/>
    </row>
    <row r="197" spans="1:3" s="23" customFormat="1" ht="24" customHeight="1" x14ac:dyDescent="0.3">
      <c r="A197" s="56"/>
      <c r="B197" s="56"/>
      <c r="C197" s="44"/>
    </row>
    <row r="198" spans="1:3" s="23" customFormat="1" ht="24" customHeight="1" x14ac:dyDescent="0.3">
      <c r="A198" s="56"/>
      <c r="B198" s="56"/>
      <c r="C198" s="44"/>
    </row>
    <row r="199" spans="1:3" s="23" customFormat="1" ht="24" customHeight="1" x14ac:dyDescent="0.3">
      <c r="A199" s="56"/>
      <c r="B199" s="56"/>
      <c r="C199" s="44"/>
    </row>
    <row r="200" spans="1:3" s="23" customFormat="1" ht="24" customHeight="1" x14ac:dyDescent="0.3">
      <c r="A200" s="56"/>
      <c r="B200" s="56"/>
      <c r="C200" s="44"/>
    </row>
    <row r="201" spans="1:3" s="23" customFormat="1" ht="24" customHeight="1" x14ac:dyDescent="0.3">
      <c r="A201" s="56"/>
      <c r="B201" s="56"/>
      <c r="C201" s="44"/>
    </row>
    <row r="202" spans="1:3" s="23" customFormat="1" ht="24" customHeight="1" x14ac:dyDescent="0.3">
      <c r="A202" s="56"/>
      <c r="B202" s="56"/>
      <c r="C202" s="44"/>
    </row>
    <row r="203" spans="1:3" s="23" customFormat="1" ht="24" customHeight="1" x14ac:dyDescent="0.3">
      <c r="A203" s="56"/>
      <c r="B203" s="56"/>
      <c r="C203" s="44"/>
    </row>
    <row r="204" spans="1:3" s="23" customFormat="1" ht="24" customHeight="1" x14ac:dyDescent="0.3">
      <c r="A204" s="56"/>
      <c r="B204" s="56"/>
      <c r="C204" s="44"/>
    </row>
    <row r="205" spans="1:3" s="23" customFormat="1" ht="24" customHeight="1" x14ac:dyDescent="0.3">
      <c r="A205" s="56"/>
      <c r="B205" s="56"/>
      <c r="C205" s="44"/>
    </row>
    <row r="206" spans="1:3" s="23" customFormat="1" ht="24" customHeight="1" x14ac:dyDescent="0.3">
      <c r="A206" s="56"/>
      <c r="B206" s="56"/>
      <c r="C206" s="44"/>
    </row>
    <row r="207" spans="1:3" s="23" customFormat="1" ht="24" customHeight="1" x14ac:dyDescent="0.3">
      <c r="A207" s="56"/>
      <c r="B207" s="56"/>
      <c r="C207" s="44"/>
    </row>
    <row r="208" spans="1:3" s="23" customFormat="1" ht="24" customHeight="1" x14ac:dyDescent="0.3">
      <c r="A208" s="56"/>
      <c r="B208" s="56"/>
      <c r="C208" s="44"/>
    </row>
    <row r="209" spans="1:3" s="23" customFormat="1" ht="24" customHeight="1" x14ac:dyDescent="0.3">
      <c r="A209" s="56"/>
      <c r="B209" s="56"/>
      <c r="C209" s="44"/>
    </row>
    <row r="210" spans="1:3" s="23" customFormat="1" ht="24" customHeight="1" x14ac:dyDescent="0.3">
      <c r="A210" s="56"/>
      <c r="B210" s="56"/>
      <c r="C210" s="44"/>
    </row>
    <row r="211" spans="1:3" s="23" customFormat="1" ht="24" customHeight="1" x14ac:dyDescent="0.3">
      <c r="A211" s="56"/>
      <c r="B211" s="56"/>
      <c r="C211" s="44"/>
    </row>
    <row r="212" spans="1:3" s="23" customFormat="1" ht="24" customHeight="1" x14ac:dyDescent="0.3">
      <c r="A212" s="56"/>
      <c r="B212" s="56"/>
      <c r="C212" s="44"/>
    </row>
    <row r="213" spans="1:3" s="23" customFormat="1" ht="24" customHeight="1" x14ac:dyDescent="0.3">
      <c r="A213" s="56"/>
      <c r="B213" s="56"/>
      <c r="C213" s="44"/>
    </row>
    <row r="214" spans="1:3" s="23" customFormat="1" ht="24" customHeight="1" x14ac:dyDescent="0.3">
      <c r="A214" s="56"/>
      <c r="B214" s="56"/>
      <c r="C214" s="44"/>
    </row>
    <row r="215" spans="1:3" s="23" customFormat="1" ht="24" customHeight="1" x14ac:dyDescent="0.3">
      <c r="A215" s="56"/>
      <c r="B215" s="56"/>
      <c r="C215" s="44"/>
    </row>
    <row r="216" spans="1:3" s="23" customFormat="1" ht="24" customHeight="1" x14ac:dyDescent="0.3">
      <c r="A216" s="56"/>
      <c r="B216" s="56"/>
      <c r="C216" s="44"/>
    </row>
    <row r="217" spans="1:3" s="23" customFormat="1" ht="24" customHeight="1" x14ac:dyDescent="0.3">
      <c r="A217" s="56"/>
      <c r="B217" s="56"/>
      <c r="C217" s="44"/>
    </row>
    <row r="218" spans="1:3" s="23" customFormat="1" ht="24" customHeight="1" x14ac:dyDescent="0.3">
      <c r="A218" s="56"/>
      <c r="B218" s="56"/>
      <c r="C218" s="44"/>
    </row>
    <row r="219" spans="1:3" s="23" customFormat="1" ht="24" customHeight="1" x14ac:dyDescent="0.3">
      <c r="A219" s="56"/>
      <c r="B219" s="56"/>
      <c r="C219" s="44"/>
    </row>
    <row r="220" spans="1:3" s="23" customFormat="1" ht="24" customHeight="1" x14ac:dyDescent="0.3">
      <c r="A220" s="56"/>
      <c r="B220" s="56"/>
      <c r="C220" s="44"/>
    </row>
    <row r="221" spans="1:3" s="23" customFormat="1" ht="24" customHeight="1" x14ac:dyDescent="0.3">
      <c r="A221" s="56"/>
      <c r="B221" s="56"/>
      <c r="C221" s="44"/>
    </row>
    <row r="222" spans="1:3" s="23" customFormat="1" ht="24" customHeight="1" x14ac:dyDescent="0.3">
      <c r="A222" s="56"/>
      <c r="B222" s="56"/>
      <c r="C222" s="44"/>
    </row>
    <row r="223" spans="1:3" s="23" customFormat="1" ht="24" customHeight="1" x14ac:dyDescent="0.3">
      <c r="A223" s="56"/>
      <c r="B223" s="56"/>
      <c r="C223" s="44"/>
    </row>
    <row r="224" spans="1:3" s="23" customFormat="1" ht="24" customHeight="1" x14ac:dyDescent="0.3">
      <c r="A224" s="56"/>
      <c r="B224" s="56"/>
      <c r="C224" s="44"/>
    </row>
    <row r="225" spans="1:3" s="23" customFormat="1" ht="24" customHeight="1" x14ac:dyDescent="0.3">
      <c r="A225" s="56"/>
      <c r="B225" s="56"/>
      <c r="C225" s="44"/>
    </row>
    <row r="226" spans="1:3" s="23" customFormat="1" ht="24" customHeight="1" x14ac:dyDescent="0.3">
      <c r="A226" s="56"/>
      <c r="B226" s="56"/>
      <c r="C226" s="44"/>
    </row>
    <row r="227" spans="1:3" s="23" customFormat="1" ht="24" customHeight="1" x14ac:dyDescent="0.3">
      <c r="A227" s="56"/>
      <c r="B227" s="56"/>
      <c r="C227" s="44"/>
    </row>
    <row r="228" spans="1:3" s="23" customFormat="1" ht="24" customHeight="1" x14ac:dyDescent="0.3">
      <c r="A228" s="56"/>
      <c r="B228" s="56"/>
      <c r="C228" s="44"/>
    </row>
    <row r="229" spans="1:3" s="23" customFormat="1" ht="24" customHeight="1" x14ac:dyDescent="0.3">
      <c r="A229" s="56"/>
      <c r="B229" s="56"/>
      <c r="C229" s="44"/>
    </row>
    <row r="230" spans="1:3" s="23" customFormat="1" ht="24" customHeight="1" x14ac:dyDescent="0.3">
      <c r="A230" s="56"/>
      <c r="B230" s="56"/>
      <c r="C230" s="44"/>
    </row>
    <row r="231" spans="1:3" s="23" customFormat="1" ht="24" customHeight="1" x14ac:dyDescent="0.3">
      <c r="A231" s="56"/>
      <c r="B231" s="56"/>
      <c r="C231" s="44"/>
    </row>
    <row r="232" spans="1:3" s="23" customFormat="1" ht="24" customHeight="1" x14ac:dyDescent="0.3">
      <c r="A232" s="56"/>
      <c r="B232" s="56"/>
      <c r="C232" s="44"/>
    </row>
    <row r="233" spans="1:3" s="23" customFormat="1" ht="24" customHeight="1" x14ac:dyDescent="0.3">
      <c r="A233" s="56"/>
      <c r="B233" s="56"/>
      <c r="C233" s="44"/>
    </row>
    <row r="234" spans="1:3" s="23" customFormat="1" ht="24" customHeight="1" x14ac:dyDescent="0.3">
      <c r="A234" s="56"/>
      <c r="B234" s="56"/>
      <c r="C234" s="44"/>
    </row>
    <row r="235" spans="1:3" s="23" customFormat="1" ht="24" customHeight="1" x14ac:dyDescent="0.3">
      <c r="A235" s="56"/>
      <c r="B235" s="56"/>
      <c r="C235" s="44"/>
    </row>
    <row r="236" spans="1:3" s="23" customFormat="1" ht="24" customHeight="1" x14ac:dyDescent="0.3">
      <c r="A236" s="56"/>
      <c r="B236" s="56"/>
      <c r="C236" s="44"/>
    </row>
    <row r="237" spans="1:3" s="23" customFormat="1" ht="24" customHeight="1" x14ac:dyDescent="0.3">
      <c r="A237" s="56"/>
      <c r="B237" s="56"/>
      <c r="C237" s="44"/>
    </row>
    <row r="238" spans="1:3" s="23" customFormat="1" ht="24" customHeight="1" x14ac:dyDescent="0.3">
      <c r="A238" s="56"/>
      <c r="B238" s="56"/>
      <c r="C238" s="44"/>
    </row>
    <row r="239" spans="1:3" s="23" customFormat="1" ht="24" customHeight="1" x14ac:dyDescent="0.3">
      <c r="A239" s="56"/>
      <c r="B239" s="56"/>
      <c r="C239" s="44"/>
    </row>
    <row r="240" spans="1:3" s="23" customFormat="1" ht="24" customHeight="1" x14ac:dyDescent="0.3">
      <c r="A240" s="56"/>
      <c r="B240" s="56"/>
      <c r="C240" s="44"/>
    </row>
    <row r="241" spans="1:3" s="23" customFormat="1" ht="24" customHeight="1" x14ac:dyDescent="0.3">
      <c r="A241" s="56"/>
      <c r="B241" s="56"/>
      <c r="C241" s="44"/>
    </row>
    <row r="242" spans="1:3" s="23" customFormat="1" ht="24" customHeight="1" x14ac:dyDescent="0.3">
      <c r="A242" s="56"/>
      <c r="B242" s="56"/>
      <c r="C242" s="44"/>
    </row>
    <row r="243" spans="1:3" s="23" customFormat="1" ht="24" customHeight="1" x14ac:dyDescent="0.3">
      <c r="A243" s="56"/>
      <c r="B243" s="56"/>
      <c r="C243" s="44"/>
    </row>
    <row r="244" spans="1:3" s="23" customFormat="1" ht="24" customHeight="1" x14ac:dyDescent="0.3">
      <c r="A244" s="56"/>
      <c r="B244" s="56"/>
      <c r="C244" s="44"/>
    </row>
    <row r="245" spans="1:3" s="23" customFormat="1" ht="24" customHeight="1" x14ac:dyDescent="0.3">
      <c r="A245" s="56"/>
      <c r="B245" s="56"/>
      <c r="C245" s="44"/>
    </row>
    <row r="246" spans="1:3" s="23" customFormat="1" ht="24" customHeight="1" x14ac:dyDescent="0.3">
      <c r="A246" s="56"/>
      <c r="B246" s="56"/>
      <c r="C246" s="44"/>
    </row>
    <row r="247" spans="1:3" s="23" customFormat="1" ht="24" customHeight="1" x14ac:dyDescent="0.3">
      <c r="A247" s="56"/>
      <c r="B247" s="56"/>
      <c r="C247" s="44"/>
    </row>
    <row r="248" spans="1:3" s="23" customFormat="1" ht="24" customHeight="1" x14ac:dyDescent="0.3">
      <c r="A248" s="56"/>
      <c r="B248" s="56"/>
      <c r="C248" s="44"/>
    </row>
    <row r="249" spans="1:3" s="23" customFormat="1" ht="24" customHeight="1" x14ac:dyDescent="0.3">
      <c r="A249" s="56"/>
      <c r="B249" s="56"/>
      <c r="C249" s="44"/>
    </row>
    <row r="250" spans="1:3" s="23" customFormat="1" ht="24" customHeight="1" x14ac:dyDescent="0.3">
      <c r="A250" s="56"/>
      <c r="B250" s="56"/>
      <c r="C250" s="44"/>
    </row>
    <row r="251" spans="1:3" s="23" customFormat="1" ht="24" customHeight="1" x14ac:dyDescent="0.3">
      <c r="A251" s="56"/>
      <c r="B251" s="56"/>
      <c r="C251" s="44"/>
    </row>
    <row r="252" spans="1:3" s="23" customFormat="1" ht="24" customHeight="1" x14ac:dyDescent="0.3">
      <c r="A252" s="56"/>
      <c r="B252" s="56"/>
      <c r="C252" s="44"/>
    </row>
    <row r="253" spans="1:3" s="23" customFormat="1" ht="24" customHeight="1" x14ac:dyDescent="0.3">
      <c r="A253" s="56"/>
      <c r="B253" s="56"/>
      <c r="C253" s="44"/>
    </row>
    <row r="254" spans="1:3" s="23" customFormat="1" ht="24" customHeight="1" x14ac:dyDescent="0.3">
      <c r="A254" s="56"/>
      <c r="B254" s="56"/>
      <c r="C254" s="44"/>
    </row>
    <row r="255" spans="1:3" s="23" customFormat="1" ht="24" customHeight="1" x14ac:dyDescent="0.3">
      <c r="A255" s="56"/>
      <c r="B255" s="56"/>
      <c r="C255" s="44"/>
    </row>
    <row r="256" spans="1:3" s="23" customFormat="1" ht="24" customHeight="1" x14ac:dyDescent="0.3">
      <c r="A256" s="56"/>
      <c r="B256" s="56"/>
      <c r="C256" s="44"/>
    </row>
    <row r="257" spans="1:3" s="23" customFormat="1" ht="24" customHeight="1" x14ac:dyDescent="0.3">
      <c r="A257" s="56"/>
      <c r="B257" s="56"/>
      <c r="C257" s="44"/>
    </row>
    <row r="258" spans="1:3" s="23" customFormat="1" ht="24" customHeight="1" x14ac:dyDescent="0.3">
      <c r="A258" s="56"/>
      <c r="B258" s="56"/>
      <c r="C258" s="44"/>
    </row>
    <row r="259" spans="1:3" s="23" customFormat="1" ht="24" customHeight="1" x14ac:dyDescent="0.3">
      <c r="A259" s="56"/>
      <c r="B259" s="56"/>
      <c r="C259" s="44"/>
    </row>
    <row r="260" spans="1:3" s="23" customFormat="1" ht="24" customHeight="1" x14ac:dyDescent="0.3">
      <c r="A260" s="56"/>
      <c r="B260" s="56"/>
      <c r="C260" s="44"/>
    </row>
    <row r="261" spans="1:3" s="23" customFormat="1" ht="24" customHeight="1" x14ac:dyDescent="0.3">
      <c r="A261" s="56"/>
      <c r="B261" s="56"/>
      <c r="C261" s="44"/>
    </row>
    <row r="262" spans="1:3" s="23" customFormat="1" ht="24" customHeight="1" x14ac:dyDescent="0.3">
      <c r="A262" s="56"/>
      <c r="B262" s="56"/>
      <c r="C262" s="44"/>
    </row>
    <row r="263" spans="1:3" s="23" customFormat="1" ht="24" customHeight="1" x14ac:dyDescent="0.3">
      <c r="A263" s="56"/>
      <c r="B263" s="56"/>
      <c r="C263" s="44"/>
    </row>
    <row r="264" spans="1:3" s="23" customFormat="1" ht="24" customHeight="1" x14ac:dyDescent="0.3">
      <c r="A264" s="56"/>
      <c r="B264" s="56"/>
      <c r="C264" s="44"/>
    </row>
    <row r="265" spans="1:3" s="23" customFormat="1" ht="24" customHeight="1" x14ac:dyDescent="0.3">
      <c r="A265" s="56"/>
      <c r="B265" s="56"/>
      <c r="C265" s="44"/>
    </row>
    <row r="266" spans="1:3" s="23" customFormat="1" ht="24" customHeight="1" x14ac:dyDescent="0.3">
      <c r="A266" s="56"/>
      <c r="B266" s="56"/>
      <c r="C266" s="44"/>
    </row>
    <row r="267" spans="1:3" s="23" customFormat="1" ht="24" customHeight="1" x14ac:dyDescent="0.3">
      <c r="A267" s="56"/>
      <c r="B267" s="56"/>
      <c r="C267" s="44"/>
    </row>
    <row r="268" spans="1:3" s="23" customFormat="1" ht="24" customHeight="1" x14ac:dyDescent="0.3">
      <c r="A268" s="56"/>
      <c r="B268" s="56"/>
      <c r="C268" s="44"/>
    </row>
    <row r="269" spans="1:3" s="23" customFormat="1" ht="24" customHeight="1" x14ac:dyDescent="0.3">
      <c r="A269" s="56"/>
      <c r="B269" s="56"/>
      <c r="C269" s="44"/>
    </row>
    <row r="270" spans="1:3" s="23" customFormat="1" ht="24" customHeight="1" x14ac:dyDescent="0.3">
      <c r="A270" s="56"/>
      <c r="B270" s="56"/>
      <c r="C270" s="44"/>
    </row>
    <row r="271" spans="1:3" s="23" customFormat="1" ht="24" customHeight="1" x14ac:dyDescent="0.3">
      <c r="A271" s="56"/>
      <c r="B271" s="56"/>
      <c r="C271" s="44"/>
    </row>
    <row r="272" spans="1:3" s="23" customFormat="1" ht="24" customHeight="1" x14ac:dyDescent="0.3">
      <c r="A272" s="56"/>
      <c r="B272" s="56"/>
      <c r="C272" s="44"/>
    </row>
    <row r="273" spans="1:3" s="23" customFormat="1" ht="24" customHeight="1" x14ac:dyDescent="0.3">
      <c r="A273" s="56"/>
      <c r="B273" s="56"/>
      <c r="C273" s="44"/>
    </row>
    <row r="274" spans="1:3" s="23" customFormat="1" ht="24" customHeight="1" x14ac:dyDescent="0.3">
      <c r="A274" s="56"/>
      <c r="B274" s="56"/>
      <c r="C274" s="44"/>
    </row>
    <row r="275" spans="1:3" s="23" customFormat="1" ht="24" customHeight="1" x14ac:dyDescent="0.3">
      <c r="A275" s="56"/>
      <c r="B275" s="56"/>
      <c r="C275" s="44"/>
    </row>
    <row r="276" spans="1:3" s="23" customFormat="1" ht="24" customHeight="1" x14ac:dyDescent="0.3">
      <c r="A276" s="56"/>
      <c r="B276" s="56"/>
      <c r="C276" s="44"/>
    </row>
    <row r="277" spans="1:3" s="23" customFormat="1" ht="24" customHeight="1" x14ac:dyDescent="0.3">
      <c r="A277" s="56"/>
      <c r="B277" s="56"/>
      <c r="C277" s="44"/>
    </row>
    <row r="278" spans="1:3" s="23" customFormat="1" ht="24" customHeight="1" x14ac:dyDescent="0.3">
      <c r="A278" s="56"/>
      <c r="B278" s="56"/>
      <c r="C278" s="44"/>
    </row>
    <row r="279" spans="1:3" s="23" customFormat="1" ht="24" customHeight="1" x14ac:dyDescent="0.3">
      <c r="A279" s="56"/>
      <c r="B279" s="56"/>
      <c r="C279" s="44"/>
    </row>
    <row r="280" spans="1:3" s="23" customFormat="1" ht="24" customHeight="1" x14ac:dyDescent="0.3">
      <c r="A280" s="56"/>
      <c r="B280" s="56"/>
      <c r="C280" s="44"/>
    </row>
    <row r="281" spans="1:3" s="23" customFormat="1" ht="24" customHeight="1" x14ac:dyDescent="0.3">
      <c r="A281" s="56"/>
      <c r="B281" s="56"/>
      <c r="C281" s="44"/>
    </row>
    <row r="282" spans="1:3" s="23" customFormat="1" ht="24" customHeight="1" x14ac:dyDescent="0.3">
      <c r="A282" s="56"/>
      <c r="B282" s="56"/>
      <c r="C282" s="44"/>
    </row>
    <row r="283" spans="1:3" s="23" customFormat="1" ht="24" customHeight="1" x14ac:dyDescent="0.3">
      <c r="A283" s="56"/>
      <c r="B283" s="56"/>
      <c r="C283" s="44"/>
    </row>
    <row r="284" spans="1:3" s="23" customFormat="1" ht="24" customHeight="1" x14ac:dyDescent="0.3">
      <c r="A284" s="56"/>
      <c r="B284" s="56"/>
      <c r="C284" s="44"/>
    </row>
    <row r="285" spans="1:3" s="23" customFormat="1" ht="24" customHeight="1" x14ac:dyDescent="0.3">
      <c r="A285" s="56"/>
      <c r="B285" s="56"/>
      <c r="C285" s="44"/>
    </row>
    <row r="286" spans="1:3" s="23" customFormat="1" ht="24" customHeight="1" x14ac:dyDescent="0.3">
      <c r="A286" s="56"/>
      <c r="B286" s="56"/>
      <c r="C286" s="44"/>
    </row>
    <row r="287" spans="1:3" s="23" customFormat="1" ht="24" customHeight="1" x14ac:dyDescent="0.3">
      <c r="A287" s="56"/>
      <c r="B287" s="56"/>
      <c r="C287" s="44"/>
    </row>
    <row r="288" spans="1:3" s="23" customFormat="1" ht="24" customHeight="1" x14ac:dyDescent="0.3">
      <c r="A288" s="56"/>
      <c r="B288" s="56"/>
      <c r="C288" s="44"/>
    </row>
    <row r="289" spans="1:3" s="23" customFormat="1" ht="24" customHeight="1" x14ac:dyDescent="0.3">
      <c r="A289" s="56"/>
      <c r="B289" s="56"/>
      <c r="C289" s="44"/>
    </row>
    <row r="290" spans="1:3" s="23" customFormat="1" ht="24" customHeight="1" x14ac:dyDescent="0.3">
      <c r="A290" s="56"/>
      <c r="B290" s="56"/>
      <c r="C290" s="44"/>
    </row>
    <row r="291" spans="1:3" s="23" customFormat="1" ht="24" customHeight="1" x14ac:dyDescent="0.3">
      <c r="A291" s="56"/>
      <c r="B291" s="56"/>
      <c r="C291" s="44"/>
    </row>
    <row r="292" spans="1:3" s="23" customFormat="1" ht="24" customHeight="1" x14ac:dyDescent="0.3">
      <c r="A292" s="56"/>
      <c r="B292" s="56"/>
      <c r="C292" s="44"/>
    </row>
    <row r="293" spans="1:3" s="23" customFormat="1" ht="24" customHeight="1" x14ac:dyDescent="0.3">
      <c r="A293" s="56"/>
      <c r="B293" s="56"/>
      <c r="C293" s="44"/>
    </row>
    <row r="294" spans="1:3" s="23" customFormat="1" ht="24" customHeight="1" x14ac:dyDescent="0.3">
      <c r="A294" s="56"/>
      <c r="B294" s="56"/>
      <c r="C294" s="44"/>
    </row>
    <row r="295" spans="1:3" s="23" customFormat="1" ht="24" customHeight="1" x14ac:dyDescent="0.3">
      <c r="A295" s="56"/>
      <c r="B295" s="56"/>
      <c r="C295" s="44"/>
    </row>
    <row r="296" spans="1:3" s="23" customFormat="1" ht="24" customHeight="1" x14ac:dyDescent="0.3">
      <c r="A296" s="56"/>
      <c r="B296" s="56"/>
      <c r="C296" s="44"/>
    </row>
    <row r="297" spans="1:3" s="23" customFormat="1" ht="24" customHeight="1" x14ac:dyDescent="0.3">
      <c r="A297" s="56"/>
      <c r="B297" s="56"/>
      <c r="C297" s="44"/>
    </row>
    <row r="298" spans="1:3" s="23" customFormat="1" ht="24" customHeight="1" x14ac:dyDescent="0.3">
      <c r="A298" s="56"/>
      <c r="B298" s="56"/>
      <c r="C298" s="44"/>
    </row>
    <row r="299" spans="1:3" s="23" customFormat="1" ht="24" customHeight="1" x14ac:dyDescent="0.3">
      <c r="A299" s="56"/>
      <c r="B299" s="56"/>
      <c r="C299" s="44"/>
    </row>
    <row r="300" spans="1:3" s="23" customFormat="1" ht="24" customHeight="1" x14ac:dyDescent="0.3">
      <c r="A300" s="56"/>
      <c r="B300" s="56"/>
      <c r="C300" s="44"/>
    </row>
    <row r="301" spans="1:3" s="23" customFormat="1" ht="24" customHeight="1" x14ac:dyDescent="0.3">
      <c r="A301" s="56"/>
      <c r="B301" s="56"/>
      <c r="C301" s="44"/>
    </row>
    <row r="302" spans="1:3" s="23" customFormat="1" ht="24" customHeight="1" x14ac:dyDescent="0.3">
      <c r="A302" s="56"/>
      <c r="B302" s="56"/>
      <c r="C302" s="44"/>
    </row>
    <row r="303" spans="1:3" s="23" customFormat="1" ht="24" customHeight="1" x14ac:dyDescent="0.3">
      <c r="A303" s="56"/>
      <c r="B303" s="56"/>
      <c r="C303" s="44"/>
    </row>
    <row r="304" spans="1:3" s="23" customFormat="1" ht="24" customHeight="1" x14ac:dyDescent="0.3">
      <c r="A304" s="56"/>
      <c r="B304" s="56"/>
      <c r="C304" s="44"/>
    </row>
    <row r="305" spans="1:3" s="23" customFormat="1" ht="24" customHeight="1" x14ac:dyDescent="0.3">
      <c r="A305" s="56"/>
      <c r="B305" s="56"/>
      <c r="C305" s="44"/>
    </row>
    <row r="306" spans="1:3" s="23" customFormat="1" ht="24" customHeight="1" x14ac:dyDescent="0.3">
      <c r="A306" s="56"/>
      <c r="B306" s="56"/>
      <c r="C306" s="44"/>
    </row>
    <row r="307" spans="1:3" s="23" customFormat="1" ht="24" customHeight="1" x14ac:dyDescent="0.3">
      <c r="A307" s="56"/>
      <c r="B307" s="56"/>
      <c r="C307" s="44"/>
    </row>
    <row r="308" spans="1:3" s="23" customFormat="1" ht="24" customHeight="1" x14ac:dyDescent="0.3">
      <c r="A308" s="56"/>
      <c r="B308" s="56"/>
      <c r="C308" s="44"/>
    </row>
    <row r="309" spans="1:3" s="23" customFormat="1" ht="24" customHeight="1" x14ac:dyDescent="0.3">
      <c r="A309" s="56"/>
      <c r="B309" s="56"/>
      <c r="C309" s="44"/>
    </row>
    <row r="310" spans="1:3" s="23" customFormat="1" ht="24" customHeight="1" x14ac:dyDescent="0.3">
      <c r="A310" s="56"/>
      <c r="B310" s="56"/>
      <c r="C310" s="44"/>
    </row>
    <row r="311" spans="1:3" s="23" customFormat="1" ht="24" customHeight="1" x14ac:dyDescent="0.3">
      <c r="A311" s="56"/>
      <c r="B311" s="56"/>
      <c r="C311" s="44"/>
    </row>
    <row r="312" spans="1:3" s="23" customFormat="1" ht="24" customHeight="1" x14ac:dyDescent="0.3">
      <c r="A312" s="56"/>
      <c r="B312" s="56"/>
      <c r="C312" s="44"/>
    </row>
    <row r="313" spans="1:3" s="23" customFormat="1" ht="24" customHeight="1" x14ac:dyDescent="0.3">
      <c r="A313" s="56"/>
      <c r="B313" s="56"/>
      <c r="C313" s="44"/>
    </row>
    <row r="314" spans="1:3" s="23" customFormat="1" ht="24" customHeight="1" x14ac:dyDescent="0.3">
      <c r="A314" s="56"/>
      <c r="B314" s="56"/>
      <c r="C314" s="44"/>
    </row>
    <row r="315" spans="1:3" s="23" customFormat="1" ht="24" customHeight="1" x14ac:dyDescent="0.3">
      <c r="A315" s="56"/>
      <c r="B315" s="56"/>
      <c r="C315" s="44"/>
    </row>
    <row r="316" spans="1:3" s="23" customFormat="1" ht="24" customHeight="1" x14ac:dyDescent="0.3">
      <c r="A316" s="56"/>
      <c r="B316" s="56"/>
      <c r="C316" s="44"/>
    </row>
    <row r="317" spans="1:3" s="23" customFormat="1" ht="24" customHeight="1" x14ac:dyDescent="0.3">
      <c r="A317" s="56"/>
      <c r="B317" s="56"/>
      <c r="C317" s="44"/>
    </row>
    <row r="318" spans="1:3" s="23" customFormat="1" ht="24" customHeight="1" x14ac:dyDescent="0.3">
      <c r="A318" s="56"/>
      <c r="B318" s="56"/>
      <c r="C318" s="44"/>
    </row>
    <row r="319" spans="1:3" s="23" customFormat="1" ht="24" customHeight="1" x14ac:dyDescent="0.3">
      <c r="A319" s="56"/>
      <c r="B319" s="56"/>
      <c r="C319" s="44"/>
    </row>
    <row r="320" spans="1:3" s="23" customFormat="1" ht="24" customHeight="1" x14ac:dyDescent="0.3">
      <c r="A320" s="56"/>
      <c r="B320" s="56"/>
      <c r="C320" s="44"/>
    </row>
    <row r="321" spans="1:3" s="23" customFormat="1" ht="24" customHeight="1" x14ac:dyDescent="0.3">
      <c r="A321" s="56"/>
      <c r="B321" s="56"/>
      <c r="C321" s="44"/>
    </row>
    <row r="322" spans="1:3" s="23" customFormat="1" ht="24" customHeight="1" x14ac:dyDescent="0.3">
      <c r="A322" s="56"/>
      <c r="B322" s="56"/>
      <c r="C322" s="44"/>
    </row>
    <row r="323" spans="1:3" s="23" customFormat="1" ht="24" customHeight="1" x14ac:dyDescent="0.3">
      <c r="A323" s="56"/>
      <c r="B323" s="56"/>
      <c r="C323" s="44"/>
    </row>
    <row r="324" spans="1:3" s="23" customFormat="1" ht="24" customHeight="1" x14ac:dyDescent="0.3">
      <c r="A324" s="56"/>
      <c r="B324" s="56"/>
      <c r="C324" s="44"/>
    </row>
    <row r="325" spans="1:3" s="23" customFormat="1" ht="24" customHeight="1" x14ac:dyDescent="0.3">
      <c r="A325" s="56"/>
      <c r="B325" s="56"/>
      <c r="C325" s="44"/>
    </row>
    <row r="326" spans="1:3" s="23" customFormat="1" ht="24" customHeight="1" x14ac:dyDescent="0.3">
      <c r="A326" s="56"/>
      <c r="B326" s="56"/>
      <c r="C326" s="44"/>
    </row>
    <row r="327" spans="1:3" s="23" customFormat="1" ht="24" customHeight="1" x14ac:dyDescent="0.3">
      <c r="A327" s="56"/>
      <c r="B327" s="56"/>
      <c r="C327" s="44"/>
    </row>
    <row r="328" spans="1:3" s="23" customFormat="1" ht="24" customHeight="1" x14ac:dyDescent="0.3">
      <c r="A328" s="56"/>
      <c r="B328" s="56"/>
      <c r="C328" s="44"/>
    </row>
    <row r="329" spans="1:3" s="23" customFormat="1" ht="24" customHeight="1" x14ac:dyDescent="0.3">
      <c r="A329" s="56"/>
      <c r="B329" s="56"/>
      <c r="C329" s="44"/>
    </row>
    <row r="330" spans="1:3" s="23" customFormat="1" ht="24" customHeight="1" x14ac:dyDescent="0.3">
      <c r="A330" s="56"/>
      <c r="B330" s="56"/>
      <c r="C330" s="44"/>
    </row>
    <row r="331" spans="1:3" s="23" customFormat="1" ht="24" customHeight="1" x14ac:dyDescent="0.3">
      <c r="A331" s="56"/>
      <c r="B331" s="56"/>
      <c r="C331" s="44"/>
    </row>
    <row r="332" spans="1:3" s="23" customFormat="1" ht="24" customHeight="1" x14ac:dyDescent="0.3">
      <c r="A332" s="56"/>
      <c r="B332" s="56"/>
      <c r="C332" s="44"/>
    </row>
    <row r="333" spans="1:3" s="23" customFormat="1" ht="24" customHeight="1" x14ac:dyDescent="0.3">
      <c r="A333" s="56"/>
      <c r="B333" s="56"/>
      <c r="C333" s="44"/>
    </row>
    <row r="334" spans="1:3" s="23" customFormat="1" ht="24" customHeight="1" x14ac:dyDescent="0.3">
      <c r="A334" s="56"/>
      <c r="B334" s="56"/>
      <c r="C334" s="44"/>
    </row>
    <row r="335" spans="1:3" s="23" customFormat="1" ht="24" customHeight="1" x14ac:dyDescent="0.3">
      <c r="A335" s="56"/>
      <c r="B335" s="56"/>
      <c r="C335" s="44"/>
    </row>
    <row r="336" spans="1:3" s="23" customFormat="1" ht="24" customHeight="1" x14ac:dyDescent="0.3">
      <c r="A336" s="56"/>
      <c r="B336" s="56"/>
      <c r="C336" s="44"/>
    </row>
    <row r="337" spans="1:25" s="23" customFormat="1" ht="24" customHeight="1" x14ac:dyDescent="0.3">
      <c r="A337" s="56"/>
      <c r="B337" s="56"/>
      <c r="C337" s="44"/>
    </row>
    <row r="338" spans="1:25" s="23" customFormat="1" ht="24" customHeight="1" x14ac:dyDescent="0.3">
      <c r="A338" s="56"/>
      <c r="B338" s="56"/>
      <c r="C338" s="44"/>
    </row>
    <row r="339" spans="1:25" s="23" customFormat="1" ht="24" customHeight="1" x14ac:dyDescent="0.3">
      <c r="A339" s="56"/>
      <c r="B339" s="56"/>
      <c r="C339" s="44"/>
    </row>
    <row r="340" spans="1:25" s="23" customFormat="1" ht="24" customHeight="1" x14ac:dyDescent="0.3">
      <c r="A340" s="56"/>
      <c r="B340" s="56"/>
      <c r="C340" s="44"/>
    </row>
    <row r="341" spans="1:25" s="23" customFormat="1" ht="24" customHeight="1" x14ac:dyDescent="0.3">
      <c r="A341" s="43"/>
      <c r="B341" s="43"/>
      <c r="C341" s="44"/>
    </row>
    <row r="342" spans="1:25" s="23" customFormat="1" ht="24" customHeight="1" x14ac:dyDescent="0.3">
      <c r="A342" s="43"/>
      <c r="B342" s="43"/>
      <c r="C342" s="44"/>
    </row>
    <row r="343" spans="1:25" s="23" customFormat="1" ht="24" customHeight="1" x14ac:dyDescent="0.3">
      <c r="A343" s="43"/>
      <c r="B343" s="43"/>
      <c r="C343" s="44"/>
    </row>
    <row r="344" spans="1:25" s="23" customFormat="1" ht="24" customHeight="1" x14ac:dyDescent="0.3">
      <c r="A344" s="43"/>
      <c r="B344" s="43"/>
      <c r="C344" s="44"/>
    </row>
    <row r="345" spans="1:25" s="23" customFormat="1" ht="24" customHeight="1" x14ac:dyDescent="0.3">
      <c r="A345" s="43"/>
      <c r="B345" s="43"/>
      <c r="C345" s="44"/>
    </row>
    <row r="346" spans="1:25" s="23" customFormat="1" ht="24" customHeight="1" x14ac:dyDescent="0.3">
      <c r="A346" s="43"/>
      <c r="B346" s="43"/>
      <c r="C346" s="44"/>
    </row>
    <row r="347" spans="1:25" s="23" customFormat="1" ht="24" customHeight="1" x14ac:dyDescent="0.3">
      <c r="A347" s="43"/>
      <c r="B347" s="43"/>
      <c r="C347" s="44"/>
    </row>
    <row r="348" spans="1:25" s="60" customFormat="1" ht="24" customHeight="1" x14ac:dyDescent="0.3">
      <c r="A348" s="43"/>
      <c r="B348" s="43"/>
      <c r="C348" s="44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spans="1:25" s="60" customFormat="1" ht="24" customHeight="1" x14ac:dyDescent="0.3">
      <c r="A349" s="43"/>
      <c r="B349" s="43"/>
      <c r="C349" s="44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spans="1:25" s="60" customFormat="1" ht="24" customHeight="1" x14ac:dyDescent="0.3">
      <c r="A350" s="43"/>
      <c r="B350" s="43"/>
      <c r="C350" s="44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spans="1:25" s="60" customFormat="1" ht="24" customHeight="1" x14ac:dyDescent="0.3">
      <c r="A351" s="43"/>
      <c r="B351" s="43"/>
      <c r="C351" s="44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spans="1:25" s="60" customFormat="1" ht="24" customHeight="1" x14ac:dyDescent="0.3">
      <c r="A352" s="43"/>
      <c r="B352" s="43"/>
      <c r="C352" s="44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s="60" customFormat="1" ht="24" customHeight="1" x14ac:dyDescent="0.3">
      <c r="A353" s="43"/>
      <c r="B353" s="43"/>
      <c r="C353" s="44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spans="1:25" s="60" customFormat="1" ht="24" customHeight="1" x14ac:dyDescent="0.3">
      <c r="A354" s="43"/>
      <c r="B354" s="43"/>
      <c r="C354" s="44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spans="1:25" s="60" customFormat="1" ht="24" customHeight="1" x14ac:dyDescent="0.3">
      <c r="A355" s="43"/>
      <c r="B355" s="43"/>
      <c r="C355" s="44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spans="1:25" s="60" customFormat="1" ht="24" customHeight="1" x14ac:dyDescent="0.3">
      <c r="A356" s="43"/>
      <c r="B356" s="43"/>
      <c r="C356" s="44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spans="1:25" s="60" customFormat="1" ht="24" customHeight="1" x14ac:dyDescent="0.3">
      <c r="A357" s="43"/>
      <c r="B357" s="43"/>
      <c r="C357" s="44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spans="1:25" s="60" customFormat="1" ht="24" customHeight="1" x14ac:dyDescent="0.3">
      <c r="A358" s="43"/>
      <c r="B358" s="43"/>
      <c r="C358" s="44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spans="1:25" s="60" customFormat="1" ht="24" customHeight="1" x14ac:dyDescent="0.3">
      <c r="A359" s="43"/>
      <c r="B359" s="43"/>
      <c r="C359" s="44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spans="1:25" s="60" customFormat="1" ht="24" customHeight="1" x14ac:dyDescent="0.3">
      <c r="A360" s="43"/>
      <c r="B360" s="43"/>
      <c r="C360" s="44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spans="1:25" s="60" customFormat="1" ht="24" customHeight="1" x14ac:dyDescent="0.3">
      <c r="A361" s="43"/>
      <c r="B361" s="43"/>
      <c r="C361" s="44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spans="1:25" s="60" customFormat="1" ht="24" customHeight="1" x14ac:dyDescent="0.3">
      <c r="A362" s="43"/>
      <c r="B362" s="43"/>
      <c r="C362" s="44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spans="1:25" s="60" customFormat="1" ht="24" customHeight="1" x14ac:dyDescent="0.3">
      <c r="A363" s="43"/>
      <c r="B363" s="43"/>
      <c r="C363" s="44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spans="1:25" s="60" customFormat="1" ht="24" customHeight="1" x14ac:dyDescent="0.3">
      <c r="A364" s="43"/>
      <c r="B364" s="43"/>
      <c r="C364" s="44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spans="1:25" s="60" customFormat="1" ht="24" customHeight="1" x14ac:dyDescent="0.3">
      <c r="A365" s="43"/>
      <c r="B365" s="43"/>
      <c r="C365" s="44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spans="1:25" s="60" customFormat="1" ht="24" customHeight="1" x14ac:dyDescent="0.3">
      <c r="A366" s="43"/>
      <c r="B366" s="43"/>
      <c r="C366" s="44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spans="1:25" s="60" customFormat="1" ht="24" customHeight="1" x14ac:dyDescent="0.3">
      <c r="A367" s="43"/>
      <c r="B367" s="43"/>
      <c r="C367" s="44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spans="1:25" s="60" customFormat="1" ht="24" customHeight="1" x14ac:dyDescent="0.3">
      <c r="A368" s="43"/>
      <c r="B368" s="43"/>
      <c r="C368" s="44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spans="1:25" s="60" customFormat="1" ht="24" customHeight="1" x14ac:dyDescent="0.3">
      <c r="A369" s="43"/>
      <c r="B369" s="43"/>
      <c r="C369" s="44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spans="1:25" s="60" customFormat="1" ht="24" customHeight="1" x14ac:dyDescent="0.3">
      <c r="A370" s="43"/>
      <c r="B370" s="43"/>
      <c r="C370" s="44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spans="1:25" s="60" customFormat="1" ht="24" customHeight="1" x14ac:dyDescent="0.3">
      <c r="A371" s="43"/>
      <c r="B371" s="43"/>
      <c r="C371" s="44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spans="1:25" s="60" customFormat="1" ht="24" customHeight="1" x14ac:dyDescent="0.3">
      <c r="A372" s="43"/>
      <c r="B372" s="43"/>
      <c r="C372" s="44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spans="1:25" s="60" customFormat="1" ht="24" customHeight="1" x14ac:dyDescent="0.3">
      <c r="A373" s="43"/>
      <c r="B373" s="43"/>
      <c r="C373" s="44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spans="1:25" s="60" customFormat="1" ht="24" customHeight="1" x14ac:dyDescent="0.3">
      <c r="A374" s="43"/>
      <c r="B374" s="43"/>
      <c r="C374" s="44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spans="1:25" s="60" customFormat="1" ht="24" customHeight="1" x14ac:dyDescent="0.3">
      <c r="A375" s="43"/>
      <c r="B375" s="43"/>
      <c r="C375" s="44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spans="1:25" s="60" customFormat="1" ht="24" customHeight="1" x14ac:dyDescent="0.3">
      <c r="A376" s="43"/>
      <c r="B376" s="43"/>
      <c r="C376" s="44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spans="1:25" s="60" customFormat="1" ht="24" customHeight="1" x14ac:dyDescent="0.3">
      <c r="A377" s="43"/>
      <c r="B377" s="43"/>
      <c r="C377" s="44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spans="1:25" s="60" customFormat="1" ht="24" customHeight="1" x14ac:dyDescent="0.3">
      <c r="A378" s="43"/>
      <c r="B378" s="43"/>
      <c r="C378" s="44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spans="1:25" s="60" customFormat="1" ht="24" customHeight="1" x14ac:dyDescent="0.3">
      <c r="A379" s="43"/>
      <c r="B379" s="43"/>
      <c r="C379" s="44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spans="1:25" s="60" customFormat="1" ht="24" customHeight="1" x14ac:dyDescent="0.3">
      <c r="A380" s="43"/>
      <c r="B380" s="43"/>
      <c r="C380" s="44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spans="1:25" s="60" customFormat="1" ht="24" customHeight="1" x14ac:dyDescent="0.3">
      <c r="A381" s="43"/>
      <c r="B381" s="43"/>
      <c r="C381" s="44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spans="1:25" s="60" customFormat="1" ht="24" customHeight="1" x14ac:dyDescent="0.3">
      <c r="A382" s="43"/>
      <c r="B382" s="43"/>
      <c r="C382" s="44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1:25" s="60" customFormat="1" ht="24" customHeight="1" x14ac:dyDescent="0.3">
      <c r="A383" s="43"/>
      <c r="B383" s="43"/>
      <c r="C383" s="44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spans="1:25" s="60" customFormat="1" ht="24" customHeight="1" x14ac:dyDescent="0.3">
      <c r="A384" s="43"/>
      <c r="B384" s="43"/>
      <c r="C384" s="44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spans="1:25" s="60" customFormat="1" ht="24" customHeight="1" x14ac:dyDescent="0.3">
      <c r="A385" s="43"/>
      <c r="B385" s="43"/>
      <c r="C385" s="44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spans="1:25" s="60" customFormat="1" ht="24" customHeight="1" x14ac:dyDescent="0.3">
      <c r="A386" s="43"/>
      <c r="B386" s="43"/>
      <c r="C386" s="44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spans="1:25" s="60" customFormat="1" ht="24" customHeight="1" x14ac:dyDescent="0.3">
      <c r="A387" s="43"/>
      <c r="B387" s="43"/>
      <c r="C387" s="44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spans="1:25" s="60" customFormat="1" ht="24" customHeight="1" x14ac:dyDescent="0.3">
      <c r="A388" s="43"/>
      <c r="B388" s="43"/>
      <c r="C388" s="44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spans="1:25" s="60" customFormat="1" ht="24" customHeight="1" x14ac:dyDescent="0.3">
      <c r="A389" s="43"/>
      <c r="B389" s="43"/>
      <c r="C389" s="44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spans="1:25" s="60" customFormat="1" ht="24" customHeight="1" x14ac:dyDescent="0.3">
      <c r="A390" s="43"/>
      <c r="B390" s="43"/>
      <c r="C390" s="44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spans="1:25" s="60" customFormat="1" ht="24" customHeight="1" x14ac:dyDescent="0.3">
      <c r="A391" s="43"/>
      <c r="B391" s="43"/>
      <c r="C391" s="44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spans="1:25" s="60" customFormat="1" ht="24" customHeight="1" x14ac:dyDescent="0.3">
      <c r="A392" s="43"/>
      <c r="B392" s="43"/>
      <c r="C392" s="44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spans="1:25" s="60" customFormat="1" ht="24" customHeight="1" x14ac:dyDescent="0.3">
      <c r="A393" s="43"/>
      <c r="B393" s="43"/>
      <c r="C393" s="44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spans="1:25" s="60" customFormat="1" ht="24" customHeight="1" x14ac:dyDescent="0.3">
      <c r="A394" s="43"/>
      <c r="B394" s="43"/>
      <c r="C394" s="44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spans="1:25" s="60" customFormat="1" ht="24" customHeight="1" x14ac:dyDescent="0.3">
      <c r="A395" s="43"/>
      <c r="B395" s="43"/>
      <c r="C395" s="44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spans="1:25" s="60" customFormat="1" ht="24" customHeight="1" x14ac:dyDescent="0.3">
      <c r="A396" s="43"/>
      <c r="B396" s="43"/>
      <c r="C396" s="44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spans="1:25" s="60" customFormat="1" ht="24" customHeight="1" x14ac:dyDescent="0.3">
      <c r="A397" s="43"/>
      <c r="B397" s="43"/>
      <c r="C397" s="44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spans="1:25" s="60" customFormat="1" ht="24" customHeight="1" x14ac:dyDescent="0.3">
      <c r="A398" s="43"/>
      <c r="B398" s="43"/>
      <c r="C398" s="44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spans="1:25" s="60" customFormat="1" ht="24" customHeight="1" x14ac:dyDescent="0.3">
      <c r="A399" s="43"/>
      <c r="B399" s="43"/>
      <c r="C399" s="44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spans="1:25" s="60" customFormat="1" ht="24" customHeight="1" x14ac:dyDescent="0.3">
      <c r="A400" s="43"/>
      <c r="B400" s="43"/>
      <c r="C400" s="44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spans="1:25" s="60" customFormat="1" ht="24" customHeight="1" x14ac:dyDescent="0.3">
      <c r="A401" s="43"/>
      <c r="B401" s="43"/>
      <c r="C401" s="44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spans="1:25" s="60" customFormat="1" ht="24" customHeight="1" x14ac:dyDescent="0.3">
      <c r="A402" s="43"/>
      <c r="B402" s="43"/>
      <c r="C402" s="44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spans="1:25" s="60" customFormat="1" ht="24" customHeight="1" x14ac:dyDescent="0.3">
      <c r="A403" s="43"/>
      <c r="B403" s="43"/>
      <c r="C403" s="44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spans="1:25" s="60" customFormat="1" ht="24" customHeight="1" x14ac:dyDescent="0.3">
      <c r="A404" s="43"/>
      <c r="B404" s="43"/>
      <c r="C404" s="44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spans="1:25" s="60" customFormat="1" ht="24" customHeight="1" x14ac:dyDescent="0.3">
      <c r="A405" s="43"/>
      <c r="B405" s="43"/>
      <c r="C405" s="44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spans="1:25" s="60" customFormat="1" ht="24" customHeight="1" x14ac:dyDescent="0.3">
      <c r="A406" s="43"/>
      <c r="B406" s="43"/>
      <c r="C406" s="44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spans="1:25" s="60" customFormat="1" ht="24" customHeight="1" x14ac:dyDescent="0.3">
      <c r="A407" s="43"/>
      <c r="B407" s="43"/>
      <c r="C407" s="44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spans="1:25" s="60" customFormat="1" ht="24" customHeight="1" x14ac:dyDescent="0.3">
      <c r="A408" s="43"/>
      <c r="B408" s="43"/>
      <c r="C408" s="44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spans="1:25" s="60" customFormat="1" ht="24" customHeight="1" x14ac:dyDescent="0.3">
      <c r="A409" s="43"/>
      <c r="B409" s="43"/>
      <c r="C409" s="44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spans="1:25" s="60" customFormat="1" ht="24" customHeight="1" x14ac:dyDescent="0.3">
      <c r="A410" s="43"/>
      <c r="B410" s="43"/>
      <c r="C410" s="44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spans="1:25" s="60" customFormat="1" ht="24" customHeight="1" x14ac:dyDescent="0.3">
      <c r="A411" s="43"/>
      <c r="B411" s="43"/>
      <c r="C411" s="44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spans="1:25" s="60" customFormat="1" ht="24" customHeight="1" x14ac:dyDescent="0.3">
      <c r="A412" s="43"/>
      <c r="B412" s="43"/>
      <c r="C412" s="44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spans="1:25" s="60" customFormat="1" ht="24" customHeight="1" x14ac:dyDescent="0.3">
      <c r="A413" s="43"/>
      <c r="B413" s="43"/>
      <c r="C413" s="44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spans="1:25" s="60" customFormat="1" ht="24" customHeight="1" x14ac:dyDescent="0.3">
      <c r="A414" s="43"/>
      <c r="B414" s="43"/>
      <c r="C414" s="44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spans="1:25" s="60" customFormat="1" ht="24" customHeight="1" x14ac:dyDescent="0.3">
      <c r="A415" s="43"/>
      <c r="B415" s="43"/>
      <c r="C415" s="44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spans="1:25" s="60" customFormat="1" ht="24" customHeight="1" x14ac:dyDescent="0.3">
      <c r="A416" s="43"/>
      <c r="B416" s="43"/>
      <c r="C416" s="44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spans="1:25" s="60" customFormat="1" ht="24" customHeight="1" x14ac:dyDescent="0.3">
      <c r="A417" s="43"/>
      <c r="B417" s="43"/>
      <c r="C417" s="44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spans="1:25" s="60" customFormat="1" ht="24" customHeight="1" x14ac:dyDescent="0.3">
      <c r="A418" s="43"/>
      <c r="B418" s="43"/>
      <c r="C418" s="44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spans="1:25" s="60" customFormat="1" ht="24" customHeight="1" x14ac:dyDescent="0.3">
      <c r="A419" s="43"/>
      <c r="B419" s="43"/>
      <c r="C419" s="44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spans="1:25" s="60" customFormat="1" ht="24" customHeight="1" x14ac:dyDescent="0.3">
      <c r="A420" s="43"/>
      <c r="B420" s="43"/>
      <c r="C420" s="44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spans="1:25" s="60" customFormat="1" ht="24" customHeight="1" x14ac:dyDescent="0.3">
      <c r="A421" s="43"/>
      <c r="B421" s="43"/>
      <c r="C421" s="44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spans="1:25" s="60" customFormat="1" ht="24" customHeight="1" x14ac:dyDescent="0.3">
      <c r="A422" s="43"/>
      <c r="B422" s="43"/>
      <c r="C422" s="44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spans="1:25" s="60" customFormat="1" ht="24" customHeight="1" x14ac:dyDescent="0.3">
      <c r="A423" s="43"/>
      <c r="B423" s="43"/>
      <c r="C423" s="44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spans="1:25" s="60" customFormat="1" ht="24" customHeight="1" x14ac:dyDescent="0.3">
      <c r="A424" s="43"/>
      <c r="B424" s="43"/>
      <c r="C424" s="44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spans="1:25" s="60" customFormat="1" ht="24" customHeight="1" x14ac:dyDescent="0.3">
      <c r="A425" s="43"/>
      <c r="B425" s="43"/>
      <c r="C425" s="44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spans="1:25" s="60" customFormat="1" ht="24" customHeight="1" x14ac:dyDescent="0.3">
      <c r="A426" s="43"/>
      <c r="B426" s="43"/>
      <c r="C426" s="44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spans="1:25" s="60" customFormat="1" ht="24" customHeight="1" x14ac:dyDescent="0.3">
      <c r="A427" s="43"/>
      <c r="B427" s="43"/>
      <c r="C427" s="44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spans="1:25" s="60" customFormat="1" ht="24" customHeight="1" x14ac:dyDescent="0.3">
      <c r="A428" s="43"/>
      <c r="B428" s="43"/>
      <c r="C428" s="44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spans="1:25" s="60" customFormat="1" ht="24" customHeight="1" x14ac:dyDescent="0.3">
      <c r="A429" s="43"/>
      <c r="B429" s="43"/>
      <c r="C429" s="44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spans="1:25" s="60" customFormat="1" ht="24" customHeight="1" x14ac:dyDescent="0.3">
      <c r="A430" s="43"/>
      <c r="B430" s="43"/>
      <c r="C430" s="44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spans="1:25" s="60" customFormat="1" ht="24" customHeight="1" x14ac:dyDescent="0.3">
      <c r="A431" s="43"/>
      <c r="B431" s="43"/>
      <c r="C431" s="44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spans="1:25" s="60" customFormat="1" ht="24" customHeight="1" x14ac:dyDescent="0.3">
      <c r="A432" s="43"/>
      <c r="B432" s="43"/>
      <c r="C432" s="44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spans="1:25" s="60" customFormat="1" ht="24" customHeight="1" x14ac:dyDescent="0.3">
      <c r="A433" s="43"/>
      <c r="B433" s="43"/>
      <c r="C433" s="44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spans="1:25" s="60" customFormat="1" ht="24" customHeight="1" x14ac:dyDescent="0.3">
      <c r="A434" s="43"/>
      <c r="B434" s="43"/>
      <c r="C434" s="44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spans="1:25" s="60" customFormat="1" ht="24" customHeight="1" x14ac:dyDescent="0.3">
      <c r="A435" s="43"/>
      <c r="B435" s="43"/>
      <c r="C435" s="44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s="60" customFormat="1" ht="24" customHeight="1" x14ac:dyDescent="0.3">
      <c r="A436" s="43"/>
      <c r="B436" s="43"/>
      <c r="C436" s="44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spans="1:25" s="60" customFormat="1" ht="24" customHeight="1" x14ac:dyDescent="0.3">
      <c r="A437" s="43"/>
      <c r="B437" s="43"/>
      <c r="C437" s="44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spans="1:25" s="60" customFormat="1" ht="24" customHeight="1" x14ac:dyDescent="0.3">
      <c r="A438" s="43"/>
      <c r="B438" s="43"/>
      <c r="C438" s="44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spans="1:25" s="60" customFormat="1" ht="24" customHeight="1" x14ac:dyDescent="0.3">
      <c r="A439" s="43"/>
      <c r="B439" s="43"/>
      <c r="C439" s="44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spans="1:25" s="60" customFormat="1" ht="24" customHeight="1" x14ac:dyDescent="0.3">
      <c r="A440" s="43"/>
      <c r="B440" s="43"/>
      <c r="C440" s="44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spans="1:25" s="60" customFormat="1" ht="24" customHeight="1" x14ac:dyDescent="0.3">
      <c r="A441" s="43"/>
      <c r="B441" s="43"/>
      <c r="C441" s="44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spans="1:25" s="60" customFormat="1" ht="24" customHeight="1" x14ac:dyDescent="0.3">
      <c r="A442" s="43"/>
      <c r="B442" s="43"/>
      <c r="C442" s="44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spans="1:25" s="60" customFormat="1" ht="24" customHeight="1" x14ac:dyDescent="0.3">
      <c r="A443" s="43"/>
      <c r="B443" s="43"/>
      <c r="C443" s="44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spans="1:25" s="60" customFormat="1" ht="24" customHeight="1" x14ac:dyDescent="0.3">
      <c r="A444" s="43"/>
      <c r="B444" s="43"/>
      <c r="C444" s="44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spans="1:25" s="60" customFormat="1" ht="24" customHeight="1" x14ac:dyDescent="0.3">
      <c r="A445" s="43"/>
      <c r="B445" s="43"/>
      <c r="C445" s="44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spans="1:25" s="60" customFormat="1" ht="24" customHeight="1" x14ac:dyDescent="0.3">
      <c r="A446" s="43"/>
      <c r="B446" s="43"/>
      <c r="C446" s="44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spans="1:25" s="60" customFormat="1" ht="24" customHeight="1" x14ac:dyDescent="0.3">
      <c r="A447" s="43"/>
      <c r="B447" s="43"/>
      <c r="C447" s="44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spans="1:25" s="60" customFormat="1" ht="24" customHeight="1" x14ac:dyDescent="0.3">
      <c r="A448" s="43"/>
      <c r="B448" s="43"/>
      <c r="C448" s="44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spans="1:25" s="60" customFormat="1" ht="24" customHeight="1" x14ac:dyDescent="0.3">
      <c r="A449" s="43"/>
      <c r="B449" s="43"/>
      <c r="C449" s="44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spans="1:25" s="60" customFormat="1" ht="24" customHeight="1" x14ac:dyDescent="0.3">
      <c r="A450" s="43"/>
      <c r="B450" s="43"/>
      <c r="C450" s="44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spans="1:25" s="60" customFormat="1" ht="24" customHeight="1" x14ac:dyDescent="0.3">
      <c r="A451" s="43"/>
      <c r="B451" s="43"/>
      <c r="C451" s="44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spans="1:25" s="60" customFormat="1" ht="24" customHeight="1" x14ac:dyDescent="0.3">
      <c r="A452" s="43"/>
      <c r="B452" s="43"/>
      <c r="C452" s="44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spans="1:25" s="60" customFormat="1" ht="24" customHeight="1" x14ac:dyDescent="0.3">
      <c r="A453" s="43"/>
      <c r="B453" s="43"/>
      <c r="C453" s="44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5" s="60" customFormat="1" ht="24" customHeight="1" x14ac:dyDescent="0.3">
      <c r="A454" s="43"/>
      <c r="B454" s="43"/>
      <c r="C454" s="44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spans="1:25" s="60" customFormat="1" ht="24" customHeight="1" x14ac:dyDescent="0.3">
      <c r="A455" s="43"/>
      <c r="B455" s="43"/>
      <c r="C455" s="44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spans="1:25" s="60" customFormat="1" ht="24" customHeight="1" x14ac:dyDescent="0.3">
      <c r="A456" s="43"/>
      <c r="B456" s="43"/>
      <c r="C456" s="44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spans="1:25" s="60" customFormat="1" ht="24" customHeight="1" x14ac:dyDescent="0.3">
      <c r="A457" s="43"/>
      <c r="B457" s="43"/>
      <c r="C457" s="44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spans="1:25" s="60" customFormat="1" ht="24" customHeight="1" x14ac:dyDescent="0.3">
      <c r="A458" s="43"/>
      <c r="B458" s="43"/>
      <c r="C458" s="44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spans="1:25" s="60" customFormat="1" ht="24" customHeight="1" x14ac:dyDescent="0.3">
      <c r="A459" s="43"/>
      <c r="B459" s="43"/>
      <c r="C459" s="44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spans="1:25" s="60" customFormat="1" ht="24" customHeight="1" x14ac:dyDescent="0.3">
      <c r="A460" s="43"/>
      <c r="B460" s="43"/>
      <c r="C460" s="44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5" s="60" customFormat="1" ht="24" customHeight="1" x14ac:dyDescent="0.3">
      <c r="A461" s="43"/>
      <c r="B461" s="43"/>
      <c r="C461" s="44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spans="1:25" s="60" customFormat="1" ht="24" customHeight="1" x14ac:dyDescent="0.3">
      <c r="A462" s="43"/>
      <c r="B462" s="43"/>
      <c r="C462" s="44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25" s="60" customFormat="1" ht="24" customHeight="1" x14ac:dyDescent="0.3">
      <c r="A463" s="43"/>
      <c r="B463" s="43"/>
      <c r="C463" s="44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spans="1:25" s="60" customFormat="1" ht="24" customHeight="1" x14ac:dyDescent="0.3">
      <c r="A464" s="43"/>
      <c r="B464" s="43"/>
      <c r="C464" s="44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spans="1:25" s="60" customFormat="1" ht="24" customHeight="1" x14ac:dyDescent="0.3">
      <c r="A465" s="43"/>
      <c r="B465" s="43"/>
      <c r="C465" s="44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spans="1:25" s="60" customFormat="1" ht="24" customHeight="1" x14ac:dyDescent="0.3">
      <c r="A466" s="43"/>
      <c r="B466" s="43"/>
      <c r="C466" s="44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spans="1:25" s="60" customFormat="1" ht="24" customHeight="1" x14ac:dyDescent="0.3">
      <c r="A467" s="43"/>
      <c r="B467" s="43"/>
      <c r="C467" s="44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spans="1:25" s="60" customFormat="1" ht="24" customHeight="1" x14ac:dyDescent="0.3">
      <c r="A468" s="43"/>
      <c r="B468" s="43"/>
      <c r="C468" s="44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spans="1:25" s="60" customFormat="1" ht="24" customHeight="1" x14ac:dyDescent="0.3">
      <c r="A469" s="43"/>
      <c r="B469" s="43"/>
      <c r="C469" s="44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s="60" customFormat="1" ht="24" customHeight="1" x14ac:dyDescent="0.3">
      <c r="A470" s="43"/>
      <c r="B470" s="43"/>
      <c r="C470" s="44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spans="1:25" s="60" customFormat="1" ht="24" customHeight="1" x14ac:dyDescent="0.3">
      <c r="A471" s="43"/>
      <c r="B471" s="43"/>
      <c r="C471" s="44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spans="1:25" s="60" customFormat="1" ht="24" customHeight="1" x14ac:dyDescent="0.3">
      <c r="A472" s="43"/>
      <c r="B472" s="43"/>
      <c r="C472" s="44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spans="1:25" s="60" customFormat="1" ht="24" customHeight="1" x14ac:dyDescent="0.3">
      <c r="A473" s="43"/>
      <c r="B473" s="43"/>
      <c r="C473" s="44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spans="1:25" s="60" customFormat="1" ht="24" customHeight="1" x14ac:dyDescent="0.3">
      <c r="A474" s="43"/>
      <c r="B474" s="43"/>
      <c r="C474" s="44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spans="1:25" s="60" customFormat="1" ht="24" customHeight="1" x14ac:dyDescent="0.3">
      <c r="A475" s="43"/>
      <c r="B475" s="43"/>
      <c r="C475" s="44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spans="1:25" s="60" customFormat="1" ht="24" customHeight="1" x14ac:dyDescent="0.3">
      <c r="A476" s="43"/>
      <c r="B476" s="43"/>
      <c r="C476" s="44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spans="1:25" s="60" customFormat="1" ht="24" customHeight="1" x14ac:dyDescent="0.3">
      <c r="A477" s="43"/>
      <c r="B477" s="43"/>
      <c r="C477" s="44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spans="1:25" s="60" customFormat="1" ht="24" customHeight="1" x14ac:dyDescent="0.3">
      <c r="A478" s="43"/>
      <c r="B478" s="43"/>
      <c r="C478" s="44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spans="1:25" s="60" customFormat="1" ht="24" customHeight="1" x14ac:dyDescent="0.3">
      <c r="A479" s="43"/>
      <c r="B479" s="43"/>
      <c r="C479" s="44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spans="1:25" s="60" customFormat="1" ht="24" customHeight="1" x14ac:dyDescent="0.3">
      <c r="A480" s="43"/>
      <c r="B480" s="43"/>
      <c r="C480" s="44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spans="1:25" s="60" customFormat="1" ht="24" customHeight="1" x14ac:dyDescent="0.3">
      <c r="A481" s="43"/>
      <c r="B481" s="43"/>
      <c r="C481" s="44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spans="1:25" s="60" customFormat="1" ht="24" customHeight="1" x14ac:dyDescent="0.3">
      <c r="A482" s="43"/>
      <c r="B482" s="43"/>
      <c r="C482" s="44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spans="1:25" s="60" customFormat="1" ht="24" customHeight="1" x14ac:dyDescent="0.3">
      <c r="A483" s="43"/>
      <c r="B483" s="43"/>
      <c r="C483" s="44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spans="1:25" s="60" customFormat="1" ht="24" customHeight="1" x14ac:dyDescent="0.3">
      <c r="A484" s="43"/>
      <c r="B484" s="43"/>
      <c r="C484" s="44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spans="1:25" s="60" customFormat="1" ht="24" customHeight="1" x14ac:dyDescent="0.3">
      <c r="A485" s="43"/>
      <c r="B485" s="43"/>
      <c r="C485" s="44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25" s="60" customFormat="1" ht="24" customHeight="1" x14ac:dyDescent="0.3">
      <c r="A486" s="43"/>
      <c r="B486" s="43"/>
      <c r="C486" s="44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spans="1:25" s="60" customFormat="1" ht="24" customHeight="1" x14ac:dyDescent="0.3">
      <c r="A487" s="43"/>
      <c r="B487" s="43"/>
      <c r="C487" s="44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spans="1:25" s="60" customFormat="1" ht="24" customHeight="1" x14ac:dyDescent="0.3">
      <c r="A488" s="43"/>
      <c r="B488" s="43"/>
      <c r="C488" s="44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spans="1:25" s="60" customFormat="1" ht="24" customHeight="1" x14ac:dyDescent="0.3">
      <c r="A489" s="43"/>
      <c r="B489" s="43"/>
      <c r="C489" s="44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spans="1:25" s="60" customFormat="1" ht="24" customHeight="1" x14ac:dyDescent="0.3">
      <c r="A490" s="43"/>
      <c r="B490" s="43"/>
      <c r="C490" s="44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spans="1:25" s="60" customFormat="1" ht="24" customHeight="1" x14ac:dyDescent="0.3">
      <c r="A491" s="43"/>
      <c r="B491" s="43"/>
      <c r="C491" s="44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spans="1:25" s="60" customFormat="1" ht="24" customHeight="1" x14ac:dyDescent="0.3">
      <c r="A492" s="43"/>
      <c r="B492" s="43"/>
      <c r="C492" s="44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spans="1:25" s="60" customFormat="1" ht="24" customHeight="1" x14ac:dyDescent="0.3">
      <c r="A493" s="43"/>
      <c r="B493" s="43"/>
      <c r="C493" s="44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spans="1:25" s="60" customFormat="1" ht="24" customHeight="1" x14ac:dyDescent="0.3">
      <c r="A494" s="43"/>
      <c r="B494" s="43"/>
      <c r="C494" s="44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spans="1:25" s="60" customFormat="1" ht="24" customHeight="1" x14ac:dyDescent="0.3">
      <c r="A495" s="43"/>
      <c r="B495" s="43"/>
      <c r="C495" s="44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spans="1:25" s="60" customFormat="1" ht="24" customHeight="1" x14ac:dyDescent="0.3">
      <c r="A496" s="43"/>
      <c r="B496" s="43"/>
      <c r="C496" s="44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spans="1:25" s="60" customFormat="1" ht="24" customHeight="1" x14ac:dyDescent="0.3">
      <c r="A497" s="43"/>
      <c r="B497" s="43"/>
      <c r="C497" s="44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s="60" customFormat="1" ht="24" customHeight="1" x14ac:dyDescent="0.3">
      <c r="A498" s="43"/>
      <c r="B498" s="43"/>
      <c r="C498" s="44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spans="1:25" s="60" customFormat="1" ht="24" customHeight="1" x14ac:dyDescent="0.3">
      <c r="A499" s="43"/>
      <c r="B499" s="43"/>
      <c r="C499" s="44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spans="1:25" s="60" customFormat="1" ht="24" customHeight="1" x14ac:dyDescent="0.3">
      <c r="A500" s="43"/>
      <c r="B500" s="43"/>
      <c r="C500" s="44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spans="1:25" s="60" customFormat="1" ht="24" customHeight="1" x14ac:dyDescent="0.3">
      <c r="A501" s="43"/>
      <c r="B501" s="43"/>
      <c r="C501" s="44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spans="1:25" s="60" customFormat="1" ht="24" customHeight="1" x14ac:dyDescent="0.3">
      <c r="A502" s="43"/>
      <c r="B502" s="43"/>
      <c r="C502" s="44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spans="1:25" s="60" customFormat="1" ht="24" customHeight="1" x14ac:dyDescent="0.3">
      <c r="A503" s="43"/>
      <c r="B503" s="43"/>
      <c r="C503" s="44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spans="1:25" s="60" customFormat="1" ht="24" customHeight="1" x14ac:dyDescent="0.3">
      <c r="A504" s="43"/>
      <c r="B504" s="43"/>
      <c r="C504" s="44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spans="1:25" s="60" customFormat="1" ht="24" customHeight="1" x14ac:dyDescent="0.3">
      <c r="A505" s="43"/>
      <c r="B505" s="43"/>
      <c r="C505" s="44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spans="1:25" s="60" customFormat="1" ht="24" customHeight="1" x14ac:dyDescent="0.3">
      <c r="A506" s="43"/>
      <c r="B506" s="43"/>
      <c r="C506" s="44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spans="1:25" s="60" customFormat="1" ht="24" customHeight="1" x14ac:dyDescent="0.3">
      <c r="A507" s="43"/>
      <c r="B507" s="43"/>
      <c r="C507" s="44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spans="1:25" s="60" customFormat="1" ht="24" customHeight="1" x14ac:dyDescent="0.3">
      <c r="A508" s="43"/>
      <c r="B508" s="43"/>
      <c r="C508" s="44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spans="1:25" s="60" customFormat="1" ht="24" customHeight="1" x14ac:dyDescent="0.3">
      <c r="A509" s="43"/>
      <c r="B509" s="43"/>
      <c r="C509" s="44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spans="1:25" s="60" customFormat="1" ht="24" customHeight="1" x14ac:dyDescent="0.3">
      <c r="A510" s="43"/>
      <c r="B510" s="43"/>
      <c r="C510" s="44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spans="1:25" s="60" customFormat="1" ht="24" customHeight="1" x14ac:dyDescent="0.3">
      <c r="A511" s="43"/>
      <c r="B511" s="43"/>
      <c r="C511" s="44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spans="1:25" s="60" customFormat="1" ht="24" customHeight="1" x14ac:dyDescent="0.3">
      <c r="A512" s="43"/>
      <c r="B512" s="43"/>
      <c r="C512" s="44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spans="1:25" s="60" customFormat="1" ht="24" customHeight="1" x14ac:dyDescent="0.3">
      <c r="A513" s="43"/>
      <c r="B513" s="43"/>
      <c r="C513" s="44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spans="1:25" s="60" customFormat="1" ht="24" customHeight="1" x14ac:dyDescent="0.3">
      <c r="A514" s="43"/>
      <c r="B514" s="43"/>
      <c r="C514" s="44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spans="1:25" s="60" customFormat="1" ht="24" customHeight="1" x14ac:dyDescent="0.3">
      <c r="A515" s="43"/>
      <c r="B515" s="43"/>
      <c r="C515" s="44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spans="1:25" s="60" customFormat="1" ht="24" customHeight="1" x14ac:dyDescent="0.3">
      <c r="A516" s="43"/>
      <c r="B516" s="43"/>
      <c r="C516" s="44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spans="1:25" s="60" customFormat="1" ht="24" customHeight="1" x14ac:dyDescent="0.3">
      <c r="A517" s="43"/>
      <c r="B517" s="43"/>
      <c r="C517" s="44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spans="1:25" s="60" customFormat="1" ht="24" customHeight="1" x14ac:dyDescent="0.3">
      <c r="A518" s="43"/>
      <c r="B518" s="43"/>
      <c r="C518" s="44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spans="1:25" s="60" customFormat="1" ht="24" customHeight="1" x14ac:dyDescent="0.3">
      <c r="A519" s="43"/>
      <c r="B519" s="43"/>
      <c r="C519" s="44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spans="1:25" s="60" customFormat="1" ht="24" customHeight="1" x14ac:dyDescent="0.3">
      <c r="A520" s="43"/>
      <c r="B520" s="43"/>
      <c r="C520" s="44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25" s="60" customFormat="1" ht="24" customHeight="1" x14ac:dyDescent="0.3">
      <c r="A521" s="43"/>
      <c r="B521" s="43"/>
      <c r="C521" s="44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spans="1:25" s="60" customFormat="1" ht="24" customHeight="1" x14ac:dyDescent="0.3">
      <c r="A522" s="43"/>
      <c r="B522" s="43"/>
      <c r="C522" s="44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spans="1:25" s="60" customFormat="1" ht="24" customHeight="1" x14ac:dyDescent="0.3">
      <c r="A523" s="43"/>
      <c r="B523" s="43"/>
      <c r="C523" s="44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spans="1:25" s="60" customFormat="1" ht="24" customHeight="1" x14ac:dyDescent="0.3">
      <c r="A524" s="43"/>
      <c r="B524" s="43"/>
      <c r="C524" s="44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25" s="60" customFormat="1" ht="24" customHeight="1" x14ac:dyDescent="0.3">
      <c r="A525" s="43"/>
      <c r="B525" s="43"/>
      <c r="C525" s="44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spans="1:25" s="60" customFormat="1" ht="24" customHeight="1" x14ac:dyDescent="0.3">
      <c r="A526" s="43"/>
      <c r="B526" s="43"/>
      <c r="C526" s="44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spans="1:25" s="60" customFormat="1" ht="24" customHeight="1" x14ac:dyDescent="0.3">
      <c r="A527" s="43"/>
      <c r="B527" s="43"/>
      <c r="C527" s="44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spans="1:25" s="60" customFormat="1" ht="24" customHeight="1" x14ac:dyDescent="0.3">
      <c r="A528" s="43"/>
      <c r="B528" s="43"/>
      <c r="C528" s="44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spans="1:25" s="60" customFormat="1" ht="24" customHeight="1" x14ac:dyDescent="0.3">
      <c r="A529" s="43"/>
      <c r="B529" s="43"/>
      <c r="C529" s="44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spans="1:25" s="60" customFormat="1" ht="24" customHeight="1" x14ac:dyDescent="0.3">
      <c r="A530" s="43"/>
      <c r="B530" s="43"/>
      <c r="C530" s="44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5" s="60" customFormat="1" ht="24" customHeight="1" x14ac:dyDescent="0.3">
      <c r="A531" s="43"/>
      <c r="B531" s="43"/>
      <c r="C531" s="44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spans="1:25" s="60" customFormat="1" ht="24" customHeight="1" x14ac:dyDescent="0.3">
      <c r="A532" s="43"/>
      <c r="B532" s="43"/>
      <c r="C532" s="44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spans="1:25" s="60" customFormat="1" ht="24" customHeight="1" x14ac:dyDescent="0.3">
      <c r="A533" s="43"/>
      <c r="B533" s="43"/>
      <c r="C533" s="44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spans="1:25" s="60" customFormat="1" ht="24" customHeight="1" x14ac:dyDescent="0.3">
      <c r="A534" s="43"/>
      <c r="B534" s="43"/>
      <c r="C534" s="44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5" s="60" customFormat="1" ht="24" customHeight="1" x14ac:dyDescent="0.3">
      <c r="A535" s="43"/>
      <c r="B535" s="43"/>
      <c r="C535" s="44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5" s="60" customFormat="1" ht="24" customHeight="1" x14ac:dyDescent="0.3">
      <c r="A536" s="43"/>
      <c r="B536" s="43"/>
      <c r="C536" s="44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spans="1:25" s="60" customFormat="1" ht="24" customHeight="1" x14ac:dyDescent="0.3">
      <c r="A537" s="43"/>
      <c r="B537" s="43"/>
      <c r="C537" s="44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spans="1:25" s="60" customFormat="1" ht="24" customHeight="1" x14ac:dyDescent="0.3">
      <c r="A538" s="43"/>
      <c r="B538" s="43"/>
      <c r="C538" s="44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spans="1:25" s="60" customFormat="1" ht="24" customHeight="1" x14ac:dyDescent="0.3">
      <c r="A539" s="43"/>
      <c r="B539" s="43"/>
      <c r="C539" s="44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spans="1:25" s="60" customFormat="1" ht="24" customHeight="1" x14ac:dyDescent="0.3">
      <c r="A540" s="43"/>
      <c r="B540" s="43"/>
      <c r="C540" s="44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spans="1:25" s="60" customFormat="1" ht="24" customHeight="1" x14ac:dyDescent="0.3">
      <c r="A541" s="43"/>
      <c r="B541" s="43"/>
      <c r="C541" s="44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spans="1:25" s="60" customFormat="1" ht="24" customHeight="1" x14ac:dyDescent="0.3">
      <c r="A542" s="43"/>
      <c r="B542" s="43"/>
      <c r="C542" s="44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5" s="60" customFormat="1" ht="24" customHeight="1" x14ac:dyDescent="0.3">
      <c r="A543" s="43"/>
      <c r="B543" s="43"/>
      <c r="C543" s="44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spans="1:25" s="60" customFormat="1" ht="24" customHeight="1" x14ac:dyDescent="0.3">
      <c r="A544" s="43"/>
      <c r="B544" s="43"/>
      <c r="C544" s="44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spans="1:25" s="60" customFormat="1" ht="24" customHeight="1" x14ac:dyDescent="0.3">
      <c r="A545" s="43"/>
      <c r="B545" s="43"/>
      <c r="C545" s="44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spans="1:25" s="60" customFormat="1" ht="24" customHeight="1" x14ac:dyDescent="0.3">
      <c r="A546" s="43"/>
      <c r="B546" s="43"/>
      <c r="C546" s="44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spans="1:25" s="60" customFormat="1" ht="24" customHeight="1" x14ac:dyDescent="0.3">
      <c r="A547" s="43"/>
      <c r="B547" s="43"/>
      <c r="C547" s="44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spans="1:25" s="60" customFormat="1" ht="24" customHeight="1" x14ac:dyDescent="0.3">
      <c r="A548" s="43"/>
      <c r="B548" s="43"/>
      <c r="C548" s="44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spans="1:25" s="60" customFormat="1" ht="24" customHeight="1" x14ac:dyDescent="0.3">
      <c r="A549" s="43"/>
      <c r="B549" s="43"/>
      <c r="C549" s="44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5" s="60" customFormat="1" ht="24" customHeight="1" x14ac:dyDescent="0.3">
      <c r="A550" s="43"/>
      <c r="B550" s="43"/>
      <c r="C550" s="44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spans="1:25" s="60" customFormat="1" ht="24" customHeight="1" x14ac:dyDescent="0.3">
      <c r="A551" s="43"/>
      <c r="B551" s="43"/>
      <c r="C551" s="44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spans="1:25" s="60" customFormat="1" ht="24" customHeight="1" x14ac:dyDescent="0.3">
      <c r="A552" s="43"/>
      <c r="B552" s="43"/>
      <c r="C552" s="44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spans="1:25" s="60" customFormat="1" ht="24" customHeight="1" x14ac:dyDescent="0.3">
      <c r="A553" s="43"/>
      <c r="B553" s="43"/>
      <c r="C553" s="44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spans="1:25" s="60" customFormat="1" ht="24" customHeight="1" x14ac:dyDescent="0.3">
      <c r="A554" s="43"/>
      <c r="B554" s="43"/>
      <c r="C554" s="44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spans="1:25" s="60" customFormat="1" ht="24" customHeight="1" x14ac:dyDescent="0.3">
      <c r="A555" s="43"/>
      <c r="B555" s="43"/>
      <c r="C555" s="44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spans="1:25" s="60" customFormat="1" ht="24" customHeight="1" x14ac:dyDescent="0.3">
      <c r="A556" s="43"/>
      <c r="B556" s="43"/>
      <c r="C556" s="44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spans="1:25" s="60" customFormat="1" ht="24" customHeight="1" x14ac:dyDescent="0.3">
      <c r="A557" s="43"/>
      <c r="B557" s="43"/>
      <c r="C557" s="44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spans="1:25" s="60" customFormat="1" ht="24" customHeight="1" x14ac:dyDescent="0.3">
      <c r="A558" s="43"/>
      <c r="B558" s="43"/>
      <c r="C558" s="44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spans="1:25" s="60" customFormat="1" ht="24" customHeight="1" x14ac:dyDescent="0.3">
      <c r="A559" s="43"/>
      <c r="B559" s="43"/>
      <c r="C559" s="44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spans="1:25" s="60" customFormat="1" ht="24" customHeight="1" x14ac:dyDescent="0.3">
      <c r="A560" s="43"/>
      <c r="B560" s="43"/>
      <c r="C560" s="44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spans="1:25" s="60" customFormat="1" ht="24" customHeight="1" x14ac:dyDescent="0.3">
      <c r="A561" s="43"/>
      <c r="B561" s="43"/>
      <c r="C561" s="44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spans="1:25" s="60" customFormat="1" ht="24" customHeight="1" x14ac:dyDescent="0.3">
      <c r="A562" s="43"/>
      <c r="B562" s="43"/>
      <c r="C562" s="44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spans="1:25" s="60" customFormat="1" ht="24" customHeight="1" x14ac:dyDescent="0.3">
      <c r="A563" s="43"/>
      <c r="B563" s="43"/>
      <c r="C563" s="44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spans="1:25" s="60" customFormat="1" ht="24" customHeight="1" x14ac:dyDescent="0.3">
      <c r="A564" s="43"/>
      <c r="B564" s="43"/>
      <c r="C564" s="44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spans="1:25" s="60" customFormat="1" ht="24" customHeight="1" x14ac:dyDescent="0.3">
      <c r="A565" s="43"/>
      <c r="B565" s="43"/>
      <c r="C565" s="44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spans="1:25" s="60" customFormat="1" ht="24" customHeight="1" x14ac:dyDescent="0.3">
      <c r="A566" s="43"/>
      <c r="B566" s="43"/>
      <c r="C566" s="44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spans="1:25" s="60" customFormat="1" ht="24" customHeight="1" x14ac:dyDescent="0.3">
      <c r="A567" s="43"/>
      <c r="B567" s="43"/>
      <c r="C567" s="44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spans="1:25" s="60" customFormat="1" ht="24" customHeight="1" x14ac:dyDescent="0.3">
      <c r="A568" s="43"/>
      <c r="B568" s="43"/>
      <c r="C568" s="44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spans="1:25" s="60" customFormat="1" ht="24" customHeight="1" x14ac:dyDescent="0.3">
      <c r="A569" s="43"/>
      <c r="B569" s="43"/>
      <c r="C569" s="44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spans="1:25" s="60" customFormat="1" ht="24" customHeight="1" x14ac:dyDescent="0.3">
      <c r="A570" s="43"/>
      <c r="B570" s="43"/>
      <c r="C570" s="44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spans="1:25" s="60" customFormat="1" ht="24" customHeight="1" x14ac:dyDescent="0.3">
      <c r="A571" s="43"/>
      <c r="B571" s="43"/>
      <c r="C571" s="44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spans="1:25" s="60" customFormat="1" ht="24" customHeight="1" x14ac:dyDescent="0.3">
      <c r="A572" s="43"/>
      <c r="B572" s="43"/>
      <c r="C572" s="44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spans="1:25" s="60" customFormat="1" ht="24" customHeight="1" x14ac:dyDescent="0.3">
      <c r="A573" s="43"/>
      <c r="B573" s="43"/>
      <c r="C573" s="44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spans="1:25" s="60" customFormat="1" ht="24" customHeight="1" x14ac:dyDescent="0.3">
      <c r="A574" s="43"/>
      <c r="B574" s="43"/>
      <c r="C574" s="44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spans="1:25" s="60" customFormat="1" ht="24" customHeight="1" x14ac:dyDescent="0.3">
      <c r="A575" s="43"/>
      <c r="B575" s="43"/>
      <c r="C575" s="44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s="60" customFormat="1" ht="24" customHeight="1" x14ac:dyDescent="0.3">
      <c r="A576" s="43"/>
      <c r="B576" s="43"/>
      <c r="C576" s="44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spans="1:25" s="60" customFormat="1" ht="24" customHeight="1" x14ac:dyDescent="0.3">
      <c r="A577" s="43"/>
      <c r="B577" s="43"/>
      <c r="C577" s="44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spans="1:25" s="60" customFormat="1" ht="24" customHeight="1" x14ac:dyDescent="0.3">
      <c r="A578" s="43"/>
      <c r="B578" s="43"/>
      <c r="C578" s="44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spans="1:25" s="60" customFormat="1" ht="24" customHeight="1" x14ac:dyDescent="0.3">
      <c r="A579" s="43"/>
      <c r="B579" s="43"/>
      <c r="C579" s="44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spans="1:25" s="60" customFormat="1" ht="24" customHeight="1" x14ac:dyDescent="0.3">
      <c r="A580" s="43"/>
      <c r="B580" s="43"/>
      <c r="C580" s="44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spans="1:25" s="60" customFormat="1" ht="24" customHeight="1" x14ac:dyDescent="0.3">
      <c r="A581" s="43"/>
      <c r="B581" s="43"/>
      <c r="C581" s="44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spans="1:25" s="60" customFormat="1" ht="24" customHeight="1" x14ac:dyDescent="0.3">
      <c r="A582" s="43"/>
      <c r="B582" s="43"/>
      <c r="C582" s="44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spans="1:25" s="60" customFormat="1" ht="24" customHeight="1" x14ac:dyDescent="0.3">
      <c r="A583" s="43"/>
      <c r="B583" s="43"/>
      <c r="C583" s="44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spans="1:25" s="60" customFormat="1" ht="24" customHeight="1" x14ac:dyDescent="0.3">
      <c r="A584" s="43"/>
      <c r="B584" s="43"/>
      <c r="C584" s="44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spans="1:25" s="60" customFormat="1" ht="24" customHeight="1" x14ac:dyDescent="0.3">
      <c r="A585" s="43"/>
      <c r="B585" s="43"/>
      <c r="C585" s="44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spans="1:25" s="60" customFormat="1" ht="24" customHeight="1" x14ac:dyDescent="0.3">
      <c r="A586" s="43"/>
      <c r="B586" s="43"/>
      <c r="C586" s="44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spans="1:25" s="60" customFormat="1" ht="24" customHeight="1" x14ac:dyDescent="0.3">
      <c r="A587" s="43"/>
      <c r="B587" s="43"/>
      <c r="C587" s="44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spans="1:25" s="60" customFormat="1" ht="24" customHeight="1" x14ac:dyDescent="0.3">
      <c r="A588" s="43"/>
      <c r="B588" s="43"/>
      <c r="C588" s="44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spans="1:25" s="60" customFormat="1" ht="24" customHeight="1" x14ac:dyDescent="0.3">
      <c r="A589" s="43"/>
      <c r="B589" s="43"/>
      <c r="C589" s="44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spans="1:25" s="60" customFormat="1" ht="24" customHeight="1" x14ac:dyDescent="0.3">
      <c r="A590" s="43"/>
      <c r="B590" s="43"/>
      <c r="C590" s="44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spans="1:25" s="60" customFormat="1" ht="24" customHeight="1" x14ac:dyDescent="0.3">
      <c r="A591" s="43"/>
      <c r="B591" s="43"/>
      <c r="C591" s="44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spans="1:25" s="60" customFormat="1" ht="24" customHeight="1" x14ac:dyDescent="0.3">
      <c r="A592" s="43"/>
      <c r="B592" s="43"/>
      <c r="C592" s="44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spans="1:25" s="60" customFormat="1" ht="24" customHeight="1" x14ac:dyDescent="0.3">
      <c r="A593" s="43"/>
      <c r="B593" s="43"/>
      <c r="C593" s="44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spans="1:25" s="60" customFormat="1" ht="24" customHeight="1" x14ac:dyDescent="0.3">
      <c r="A594" s="43"/>
      <c r="B594" s="43"/>
      <c r="C594" s="44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spans="1:25" s="60" customFormat="1" ht="24" customHeight="1" x14ac:dyDescent="0.3">
      <c r="A595" s="43"/>
      <c r="B595" s="43"/>
      <c r="C595" s="44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spans="1:25" s="60" customFormat="1" ht="24" customHeight="1" x14ac:dyDescent="0.3">
      <c r="A596" s="43"/>
      <c r="B596" s="43"/>
      <c r="C596" s="44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spans="1:25" s="60" customFormat="1" ht="24" customHeight="1" x14ac:dyDescent="0.3">
      <c r="A597" s="43"/>
      <c r="B597" s="43"/>
      <c r="C597" s="44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spans="1:25" s="60" customFormat="1" ht="24" customHeight="1" x14ac:dyDescent="0.3">
      <c r="A598" s="43"/>
      <c r="B598" s="43"/>
      <c r="C598" s="44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spans="1:25" s="60" customFormat="1" ht="24" customHeight="1" x14ac:dyDescent="0.3">
      <c r="A599" s="43"/>
      <c r="B599" s="43"/>
      <c r="C599" s="44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spans="1:25" s="60" customFormat="1" ht="24" customHeight="1" x14ac:dyDescent="0.3">
      <c r="A600" s="43"/>
      <c r="B600" s="43"/>
      <c r="C600" s="44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spans="1:25" s="60" customFormat="1" ht="24" customHeight="1" x14ac:dyDescent="0.3">
      <c r="A601" s="43"/>
      <c r="B601" s="43"/>
      <c r="C601" s="44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spans="1:25" s="60" customFormat="1" ht="24" customHeight="1" x14ac:dyDescent="0.3">
      <c r="A602" s="43"/>
      <c r="B602" s="43"/>
      <c r="C602" s="44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spans="1:25" s="60" customFormat="1" ht="24" customHeight="1" x14ac:dyDescent="0.3">
      <c r="A603" s="43"/>
      <c r="B603" s="43"/>
      <c r="C603" s="44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spans="1:25" s="60" customFormat="1" ht="24" customHeight="1" x14ac:dyDescent="0.3">
      <c r="A604" s="43"/>
      <c r="B604" s="43"/>
      <c r="C604" s="44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spans="1:25" s="60" customFormat="1" ht="24" customHeight="1" x14ac:dyDescent="0.3">
      <c r="A605" s="43"/>
      <c r="B605" s="43"/>
      <c r="C605" s="44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spans="1:25" s="60" customFormat="1" ht="24" customHeight="1" x14ac:dyDescent="0.3">
      <c r="A606" s="43"/>
      <c r="B606" s="43"/>
      <c r="C606" s="44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spans="1:25" s="60" customFormat="1" ht="24" customHeight="1" x14ac:dyDescent="0.3">
      <c r="A607" s="43"/>
      <c r="B607" s="43"/>
      <c r="C607" s="44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spans="1:25" s="60" customFormat="1" ht="24" customHeight="1" x14ac:dyDescent="0.3">
      <c r="A608" s="43"/>
      <c r="B608" s="43"/>
      <c r="C608" s="44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spans="1:25" s="60" customFormat="1" ht="24" customHeight="1" x14ac:dyDescent="0.3">
      <c r="A609" s="43"/>
      <c r="B609" s="43"/>
      <c r="C609" s="44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spans="1:25" s="60" customFormat="1" ht="24" customHeight="1" x14ac:dyDescent="0.3">
      <c r="A610" s="43"/>
      <c r="B610" s="43"/>
      <c r="C610" s="44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spans="1:25" s="60" customFormat="1" ht="24" customHeight="1" x14ac:dyDescent="0.3">
      <c r="A611" s="43"/>
      <c r="B611" s="43"/>
      <c r="C611" s="44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spans="1:25" s="60" customFormat="1" ht="24" customHeight="1" x14ac:dyDescent="0.3">
      <c r="A612" s="43"/>
      <c r="B612" s="43"/>
      <c r="C612" s="44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spans="1:25" s="60" customFormat="1" ht="24" customHeight="1" x14ac:dyDescent="0.3">
      <c r="A613" s="43"/>
      <c r="B613" s="43"/>
      <c r="C613" s="44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spans="1:25" s="60" customFormat="1" ht="24" customHeight="1" x14ac:dyDescent="0.3">
      <c r="A614" s="43"/>
      <c r="B614" s="43"/>
      <c r="C614" s="44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spans="1:25" s="60" customFormat="1" ht="24" customHeight="1" x14ac:dyDescent="0.3">
      <c r="A615" s="43"/>
      <c r="B615" s="43"/>
      <c r="C615" s="44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spans="1:25" s="60" customFormat="1" ht="24" customHeight="1" x14ac:dyDescent="0.3">
      <c r="A616" s="43"/>
      <c r="B616" s="43"/>
      <c r="C616" s="44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spans="1:25" s="60" customFormat="1" ht="24" customHeight="1" x14ac:dyDescent="0.3">
      <c r="A617" s="43"/>
      <c r="B617" s="43"/>
      <c r="C617" s="44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spans="1:25" s="60" customFormat="1" ht="24" customHeight="1" x14ac:dyDescent="0.3">
      <c r="A618" s="43"/>
      <c r="B618" s="43"/>
      <c r="C618" s="44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spans="1:25" s="60" customFormat="1" ht="24" customHeight="1" x14ac:dyDescent="0.3">
      <c r="A619" s="43"/>
      <c r="B619" s="43"/>
      <c r="C619" s="44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5" s="60" customFormat="1" ht="24" customHeight="1" x14ac:dyDescent="0.3">
      <c r="A620" s="43"/>
      <c r="B620" s="43"/>
      <c r="C620" s="44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spans="1:25" s="60" customFormat="1" ht="24" customHeight="1" x14ac:dyDescent="0.3">
      <c r="A621" s="43"/>
      <c r="B621" s="43"/>
      <c r="C621" s="44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spans="1:25" s="60" customFormat="1" ht="24" customHeight="1" x14ac:dyDescent="0.3">
      <c r="A622" s="43"/>
      <c r="B622" s="43"/>
      <c r="C622" s="44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spans="1:25" s="60" customFormat="1" ht="24" customHeight="1" x14ac:dyDescent="0.3">
      <c r="A623" s="43"/>
      <c r="B623" s="43"/>
      <c r="C623" s="44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spans="1:25" s="60" customFormat="1" ht="24" customHeight="1" x14ac:dyDescent="0.3">
      <c r="A624" s="43"/>
      <c r="B624" s="43"/>
      <c r="C624" s="44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spans="1:25" s="60" customFormat="1" ht="24" customHeight="1" x14ac:dyDescent="0.3">
      <c r="A625" s="43"/>
      <c r="B625" s="43"/>
      <c r="C625" s="44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spans="1:25" s="60" customFormat="1" ht="24" customHeight="1" x14ac:dyDescent="0.3">
      <c r="A626" s="43"/>
      <c r="B626" s="43"/>
      <c r="C626" s="44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spans="1:25" s="60" customFormat="1" ht="24" customHeight="1" x14ac:dyDescent="0.3">
      <c r="A627" s="43"/>
      <c r="B627" s="43"/>
      <c r="C627" s="44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spans="1:25" s="60" customFormat="1" ht="24" customHeight="1" x14ac:dyDescent="0.3">
      <c r="A628" s="43"/>
      <c r="B628" s="43"/>
      <c r="C628" s="44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spans="1:25" s="60" customFormat="1" ht="24" customHeight="1" x14ac:dyDescent="0.3">
      <c r="A629" s="43"/>
      <c r="B629" s="43"/>
      <c r="C629" s="44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spans="1:25" s="60" customFormat="1" ht="24" customHeight="1" x14ac:dyDescent="0.3">
      <c r="A630" s="43"/>
      <c r="B630" s="43"/>
      <c r="C630" s="44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spans="1:25" s="60" customFormat="1" ht="24" customHeight="1" x14ac:dyDescent="0.3">
      <c r="A631" s="43"/>
      <c r="B631" s="43"/>
      <c r="C631" s="44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spans="1:25" s="60" customFormat="1" ht="24" customHeight="1" x14ac:dyDescent="0.3">
      <c r="A632" s="43"/>
      <c r="B632" s="43"/>
      <c r="C632" s="44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spans="1:25" s="60" customFormat="1" ht="24" customHeight="1" x14ac:dyDescent="0.3">
      <c r="A633" s="43"/>
      <c r="B633" s="43"/>
      <c r="C633" s="44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spans="1:25" s="60" customFormat="1" ht="24" customHeight="1" x14ac:dyDescent="0.3">
      <c r="A634" s="43"/>
      <c r="B634" s="43"/>
      <c r="C634" s="44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spans="1:25" s="60" customFormat="1" ht="24" customHeight="1" x14ac:dyDescent="0.3">
      <c r="A635" s="43"/>
      <c r="B635" s="43"/>
      <c r="C635" s="44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s="60" customFormat="1" ht="24" customHeight="1" x14ac:dyDescent="0.3">
      <c r="A636" s="43"/>
      <c r="B636" s="43"/>
      <c r="C636" s="44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spans="1:25" s="60" customFormat="1" ht="24" customHeight="1" x14ac:dyDescent="0.3">
      <c r="A637" s="43"/>
      <c r="B637" s="43"/>
      <c r="C637" s="44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spans="1:25" s="60" customFormat="1" ht="24" customHeight="1" x14ac:dyDescent="0.3">
      <c r="A638" s="43"/>
      <c r="B638" s="43"/>
      <c r="C638" s="44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spans="1:25" s="60" customFormat="1" ht="24" customHeight="1" x14ac:dyDescent="0.3">
      <c r="A639" s="43"/>
      <c r="B639" s="43"/>
      <c r="C639" s="44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spans="1:25" s="60" customFormat="1" ht="24" customHeight="1" x14ac:dyDescent="0.3">
      <c r="A640" s="43"/>
      <c r="B640" s="43"/>
      <c r="C640" s="44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spans="1:25" s="60" customFormat="1" ht="24" customHeight="1" x14ac:dyDescent="0.3">
      <c r="A641" s="43"/>
      <c r="B641" s="43"/>
      <c r="C641" s="44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spans="1:25" s="60" customFormat="1" ht="24" customHeight="1" x14ac:dyDescent="0.3">
      <c r="A642" s="43"/>
      <c r="B642" s="43"/>
      <c r="C642" s="44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spans="1:25" s="60" customFormat="1" ht="24" customHeight="1" x14ac:dyDescent="0.3">
      <c r="A643" s="43"/>
      <c r="B643" s="43"/>
      <c r="C643" s="44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spans="1:25" s="60" customFormat="1" ht="24" customHeight="1" x14ac:dyDescent="0.3">
      <c r="A644" s="43"/>
      <c r="B644" s="43"/>
      <c r="C644" s="44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spans="1:25" s="60" customFormat="1" ht="24" customHeight="1" x14ac:dyDescent="0.3">
      <c r="A645" s="43"/>
      <c r="B645" s="43"/>
      <c r="C645" s="44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spans="1:25" s="60" customFormat="1" ht="24" customHeight="1" x14ac:dyDescent="0.3">
      <c r="A646" s="43"/>
      <c r="B646" s="43"/>
      <c r="C646" s="44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spans="1:25" s="60" customFormat="1" ht="24" customHeight="1" x14ac:dyDescent="0.3">
      <c r="A647" s="43"/>
      <c r="B647" s="43"/>
      <c r="C647" s="44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spans="1:25" s="60" customFormat="1" ht="24" customHeight="1" x14ac:dyDescent="0.3">
      <c r="A648" s="43"/>
      <c r="B648" s="43"/>
      <c r="C648" s="44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spans="1:25" s="60" customFormat="1" ht="24" customHeight="1" x14ac:dyDescent="0.3">
      <c r="A649" s="43"/>
      <c r="B649" s="43"/>
      <c r="C649" s="44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spans="1:25" s="60" customFormat="1" ht="24" customHeight="1" x14ac:dyDescent="0.3">
      <c r="A650" s="43"/>
      <c r="B650" s="43"/>
      <c r="C650" s="44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spans="1:25" s="60" customFormat="1" ht="24" customHeight="1" x14ac:dyDescent="0.3">
      <c r="A651" s="43"/>
      <c r="B651" s="43"/>
      <c r="C651" s="44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spans="1:25" s="60" customFormat="1" ht="24" customHeight="1" x14ac:dyDescent="0.3">
      <c r="A652" s="43"/>
      <c r="B652" s="43"/>
      <c r="C652" s="44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spans="1:25" s="60" customFormat="1" ht="24" customHeight="1" x14ac:dyDescent="0.3">
      <c r="A653" s="43"/>
      <c r="B653" s="43"/>
      <c r="C653" s="44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spans="1:25" s="60" customFormat="1" ht="24" customHeight="1" x14ac:dyDescent="0.3">
      <c r="A654" s="43"/>
      <c r="B654" s="43"/>
      <c r="C654" s="44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spans="1:25" s="60" customFormat="1" ht="24" customHeight="1" x14ac:dyDescent="0.3">
      <c r="A655" s="43"/>
      <c r="B655" s="43"/>
      <c r="C655" s="44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spans="1:25" s="60" customFormat="1" ht="24" customHeight="1" x14ac:dyDescent="0.3">
      <c r="A656" s="43"/>
      <c r="B656" s="43"/>
      <c r="C656" s="44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spans="1:25" s="60" customFormat="1" ht="24" customHeight="1" x14ac:dyDescent="0.3">
      <c r="A657" s="43"/>
      <c r="B657" s="43"/>
      <c r="C657" s="44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spans="1:25" s="60" customFormat="1" ht="24" customHeight="1" x14ac:dyDescent="0.3">
      <c r="A658" s="43"/>
      <c r="B658" s="43"/>
      <c r="C658" s="44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spans="1:25" s="60" customFormat="1" ht="24" customHeight="1" x14ac:dyDescent="0.3">
      <c r="A659" s="43"/>
      <c r="B659" s="43"/>
      <c r="C659" s="44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spans="1:25" s="60" customFormat="1" ht="24" customHeight="1" x14ac:dyDescent="0.3">
      <c r="A660" s="43"/>
      <c r="B660" s="43"/>
      <c r="C660" s="44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spans="1:25" s="60" customFormat="1" ht="24" customHeight="1" x14ac:dyDescent="0.3">
      <c r="A661" s="43"/>
      <c r="B661" s="43"/>
      <c r="C661" s="44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spans="1:25" s="60" customFormat="1" ht="24" customHeight="1" x14ac:dyDescent="0.3">
      <c r="A662" s="43"/>
      <c r="B662" s="43"/>
      <c r="C662" s="44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spans="1:25" s="60" customFormat="1" ht="24" customHeight="1" x14ac:dyDescent="0.3">
      <c r="A663" s="43"/>
      <c r="B663" s="43"/>
      <c r="C663" s="44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spans="1:25" s="60" customFormat="1" ht="24" customHeight="1" x14ac:dyDescent="0.3">
      <c r="A664" s="43"/>
      <c r="B664" s="43"/>
      <c r="C664" s="44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spans="1:25" s="60" customFormat="1" ht="24" customHeight="1" x14ac:dyDescent="0.3">
      <c r="A665" s="43"/>
      <c r="B665" s="43"/>
      <c r="C665" s="44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spans="1:25" s="60" customFormat="1" ht="24" customHeight="1" x14ac:dyDescent="0.3">
      <c r="A666" s="43"/>
      <c r="B666" s="43"/>
      <c r="C666" s="44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spans="1:25" s="60" customFormat="1" ht="24" customHeight="1" x14ac:dyDescent="0.3">
      <c r="A667" s="43"/>
      <c r="B667" s="43"/>
      <c r="C667" s="44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spans="1:25" s="60" customFormat="1" ht="24" customHeight="1" x14ac:dyDescent="0.3">
      <c r="A668" s="43"/>
      <c r="B668" s="43"/>
      <c r="C668" s="44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spans="1:25" s="60" customFormat="1" ht="24" customHeight="1" x14ac:dyDescent="0.3">
      <c r="A669" s="43"/>
      <c r="B669" s="43"/>
      <c r="C669" s="44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spans="1:25" s="60" customFormat="1" ht="24" customHeight="1" x14ac:dyDescent="0.3">
      <c r="A670" s="43"/>
      <c r="B670" s="43"/>
      <c r="C670" s="44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spans="1:25" s="60" customFormat="1" ht="24" customHeight="1" x14ac:dyDescent="0.3">
      <c r="A671" s="43"/>
      <c r="B671" s="43"/>
      <c r="C671" s="44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spans="1:25" s="60" customFormat="1" ht="24" customHeight="1" x14ac:dyDescent="0.3">
      <c r="A672" s="43"/>
      <c r="B672" s="43"/>
      <c r="C672" s="44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spans="1:25" s="60" customFormat="1" ht="24" customHeight="1" x14ac:dyDescent="0.3">
      <c r="A673" s="43"/>
      <c r="B673" s="43"/>
      <c r="C673" s="44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spans="1:25" s="60" customFormat="1" ht="24" customHeight="1" x14ac:dyDescent="0.3">
      <c r="A674" s="43"/>
      <c r="B674" s="43"/>
      <c r="C674" s="44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spans="1:25" s="60" customFormat="1" ht="24" customHeight="1" x14ac:dyDescent="0.3">
      <c r="A675" s="43"/>
      <c r="B675" s="43"/>
      <c r="C675" s="44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spans="1:25" s="60" customFormat="1" ht="24" customHeight="1" x14ac:dyDescent="0.3">
      <c r="A676" s="43"/>
      <c r="B676" s="43"/>
      <c r="C676" s="44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spans="1:25" s="60" customFormat="1" ht="24" customHeight="1" x14ac:dyDescent="0.3">
      <c r="A677" s="43"/>
      <c r="B677" s="43"/>
      <c r="C677" s="44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spans="1:25" s="60" customFormat="1" ht="24" customHeight="1" x14ac:dyDescent="0.3">
      <c r="A678" s="43"/>
      <c r="B678" s="43"/>
      <c r="C678" s="44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spans="1:25" s="60" customFormat="1" ht="24" customHeight="1" x14ac:dyDescent="0.3">
      <c r="A679" s="43"/>
      <c r="B679" s="43"/>
      <c r="C679" s="44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spans="1:25" s="60" customFormat="1" ht="24" customHeight="1" x14ac:dyDescent="0.3">
      <c r="A680" s="43"/>
      <c r="B680" s="43"/>
      <c r="C680" s="44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spans="1:25" s="60" customFormat="1" ht="24" customHeight="1" x14ac:dyDescent="0.3">
      <c r="A681" s="43"/>
      <c r="B681" s="43"/>
      <c r="C681" s="44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spans="1:25" s="60" customFormat="1" ht="24" customHeight="1" x14ac:dyDescent="0.3">
      <c r="A682" s="43"/>
      <c r="B682" s="43"/>
      <c r="C682" s="44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spans="1:25" s="60" customFormat="1" ht="24" customHeight="1" x14ac:dyDescent="0.3">
      <c r="A683" s="43"/>
      <c r="B683" s="43"/>
      <c r="C683" s="44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spans="1:25" s="60" customFormat="1" ht="24" customHeight="1" x14ac:dyDescent="0.3">
      <c r="A684" s="43"/>
      <c r="B684" s="43"/>
      <c r="C684" s="44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spans="1:25" s="60" customFormat="1" ht="24" customHeight="1" x14ac:dyDescent="0.3">
      <c r="A685" s="43"/>
      <c r="B685" s="43"/>
      <c r="C685" s="44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spans="1:25" s="60" customFormat="1" ht="24" customHeight="1" x14ac:dyDescent="0.3">
      <c r="A686" s="43"/>
      <c r="B686" s="43"/>
      <c r="C686" s="44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s="60" customFormat="1" ht="24" customHeight="1" x14ac:dyDescent="0.3">
      <c r="A687" s="43"/>
      <c r="B687" s="43"/>
      <c r="C687" s="44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spans="1:25" s="60" customFormat="1" ht="24" customHeight="1" x14ac:dyDescent="0.3">
      <c r="A688" s="43"/>
      <c r="B688" s="43"/>
      <c r="C688" s="44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spans="1:25" s="60" customFormat="1" ht="24" customHeight="1" x14ac:dyDescent="0.3">
      <c r="A689" s="43"/>
      <c r="B689" s="43"/>
      <c r="C689" s="44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spans="1:25" s="60" customFormat="1" ht="24" customHeight="1" x14ac:dyDescent="0.3">
      <c r="A690" s="43"/>
      <c r="B690" s="43"/>
      <c r="C690" s="44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spans="1:25" s="60" customFormat="1" ht="24" customHeight="1" x14ac:dyDescent="0.3">
      <c r="A691" s="43"/>
      <c r="B691" s="43"/>
      <c r="C691" s="44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spans="1:25" s="60" customFormat="1" ht="24" customHeight="1" x14ac:dyDescent="0.3">
      <c r="A692" s="43"/>
      <c r="B692" s="43"/>
      <c r="C692" s="44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spans="1:25" s="60" customFormat="1" ht="24" customHeight="1" x14ac:dyDescent="0.3">
      <c r="A693" s="43"/>
      <c r="B693" s="43"/>
      <c r="C693" s="44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spans="1:25" s="60" customFormat="1" ht="24" customHeight="1" x14ac:dyDescent="0.3">
      <c r="A694" s="43"/>
      <c r="B694" s="43"/>
      <c r="C694" s="44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spans="1:25" s="60" customFormat="1" ht="24" customHeight="1" x14ac:dyDescent="0.3">
      <c r="A695" s="43"/>
      <c r="B695" s="43"/>
      <c r="C695" s="44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spans="1:25" s="60" customFormat="1" ht="24" customHeight="1" x14ac:dyDescent="0.3">
      <c r="A696" s="43"/>
      <c r="B696" s="43"/>
      <c r="C696" s="44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spans="1:25" s="60" customFormat="1" ht="24" customHeight="1" x14ac:dyDescent="0.3">
      <c r="A697" s="43"/>
      <c r="B697" s="43"/>
      <c r="C697" s="44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spans="1:25" s="60" customFormat="1" ht="24" customHeight="1" x14ac:dyDescent="0.3">
      <c r="A698" s="43"/>
      <c r="B698" s="43"/>
      <c r="C698" s="44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spans="1:25" s="60" customFormat="1" ht="24" customHeight="1" x14ac:dyDescent="0.3">
      <c r="A699" s="43"/>
      <c r="B699" s="43"/>
      <c r="C699" s="44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spans="1:25" s="60" customFormat="1" ht="24" customHeight="1" x14ac:dyDescent="0.3">
      <c r="A700" s="43"/>
      <c r="B700" s="43"/>
      <c r="C700" s="44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spans="1:25" s="60" customFormat="1" ht="24" customHeight="1" x14ac:dyDescent="0.3">
      <c r="A701" s="43"/>
      <c r="B701" s="43"/>
      <c r="C701" s="44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spans="1:25" s="60" customFormat="1" ht="24" customHeight="1" x14ac:dyDescent="0.3">
      <c r="A702" s="43"/>
      <c r="B702" s="43"/>
      <c r="C702" s="44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spans="1:25" s="60" customFormat="1" ht="24" customHeight="1" x14ac:dyDescent="0.3">
      <c r="A703" s="43"/>
      <c r="B703" s="43"/>
      <c r="C703" s="44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spans="1:25" s="60" customFormat="1" ht="24" customHeight="1" x14ac:dyDescent="0.3">
      <c r="A704" s="43"/>
      <c r="B704" s="43"/>
      <c r="C704" s="44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spans="1:25" s="60" customFormat="1" ht="24" customHeight="1" x14ac:dyDescent="0.3">
      <c r="A705" s="43"/>
      <c r="B705" s="43"/>
      <c r="C705" s="44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spans="1:25" s="60" customFormat="1" ht="24" customHeight="1" x14ac:dyDescent="0.3">
      <c r="A706" s="43"/>
      <c r="B706" s="43"/>
      <c r="C706" s="44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spans="1:25" s="60" customFormat="1" ht="24" customHeight="1" x14ac:dyDescent="0.3">
      <c r="A707" s="43"/>
      <c r="B707" s="43"/>
      <c r="C707" s="44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spans="1:25" s="60" customFormat="1" ht="24" customHeight="1" x14ac:dyDescent="0.3">
      <c r="A708" s="43"/>
      <c r="B708" s="43"/>
      <c r="C708" s="44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spans="1:25" s="60" customFormat="1" ht="24" customHeight="1" x14ac:dyDescent="0.3">
      <c r="A709" s="43"/>
      <c r="B709" s="43"/>
      <c r="C709" s="44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spans="1:25" s="60" customFormat="1" ht="24" customHeight="1" x14ac:dyDescent="0.3">
      <c r="A710" s="43"/>
      <c r="B710" s="43"/>
      <c r="C710" s="44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spans="1:25" s="60" customFormat="1" ht="24" customHeight="1" x14ac:dyDescent="0.3">
      <c r="A711" s="43"/>
      <c r="B711" s="43"/>
      <c r="C711" s="44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s="60" customFormat="1" ht="24" customHeight="1" x14ac:dyDescent="0.3">
      <c r="A712" s="43"/>
      <c r="B712" s="43"/>
      <c r="C712" s="44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spans="1:25" s="60" customFormat="1" ht="24" customHeight="1" x14ac:dyDescent="0.3">
      <c r="A713" s="43"/>
      <c r="B713" s="43"/>
      <c r="C713" s="44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spans="1:25" s="60" customFormat="1" ht="24" customHeight="1" x14ac:dyDescent="0.3">
      <c r="A714" s="43"/>
      <c r="B714" s="43"/>
      <c r="C714" s="44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spans="1:25" s="60" customFormat="1" ht="24" customHeight="1" x14ac:dyDescent="0.3">
      <c r="A715" s="43"/>
      <c r="B715" s="43"/>
      <c r="C715" s="44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spans="1:25" s="60" customFormat="1" ht="24" customHeight="1" x14ac:dyDescent="0.3">
      <c r="A716" s="43"/>
      <c r="B716" s="43"/>
      <c r="C716" s="44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spans="1:25" s="60" customFormat="1" ht="24" customHeight="1" x14ac:dyDescent="0.3">
      <c r="A717" s="43"/>
      <c r="B717" s="43"/>
      <c r="C717" s="44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spans="1:25" s="60" customFormat="1" ht="24" customHeight="1" x14ac:dyDescent="0.3">
      <c r="A718" s="43"/>
      <c r="B718" s="43"/>
      <c r="C718" s="44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spans="1:25" s="60" customFormat="1" ht="24" customHeight="1" x14ac:dyDescent="0.3">
      <c r="A719" s="43"/>
      <c r="B719" s="43"/>
      <c r="C719" s="44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spans="1:25" s="60" customFormat="1" ht="24" customHeight="1" x14ac:dyDescent="0.3">
      <c r="A720" s="43"/>
      <c r="B720" s="43"/>
      <c r="C720" s="44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spans="1:25" s="60" customFormat="1" ht="24" customHeight="1" x14ac:dyDescent="0.3">
      <c r="A721" s="43"/>
      <c r="B721" s="43"/>
      <c r="C721" s="44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spans="1:25" s="60" customFormat="1" ht="24" customHeight="1" x14ac:dyDescent="0.3">
      <c r="A722" s="43"/>
      <c r="B722" s="43"/>
      <c r="C722" s="44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spans="1:25" s="60" customFormat="1" ht="24" customHeight="1" x14ac:dyDescent="0.3">
      <c r="A723" s="43"/>
      <c r="B723" s="43"/>
      <c r="C723" s="44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spans="1:25" s="60" customFormat="1" ht="24" customHeight="1" x14ac:dyDescent="0.3">
      <c r="A724" s="43"/>
      <c r="B724" s="43"/>
      <c r="C724" s="44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spans="1:25" s="60" customFormat="1" ht="24" customHeight="1" x14ac:dyDescent="0.3">
      <c r="A725" s="43"/>
      <c r="B725" s="43"/>
      <c r="C725" s="44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spans="1:25" s="60" customFormat="1" ht="24" customHeight="1" x14ac:dyDescent="0.3">
      <c r="A726" s="43"/>
      <c r="B726" s="43"/>
      <c r="C726" s="44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spans="1:25" s="60" customFormat="1" ht="24" customHeight="1" x14ac:dyDescent="0.3">
      <c r="A727" s="43"/>
      <c r="B727" s="43"/>
      <c r="C727" s="44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spans="1:25" s="60" customFormat="1" ht="24" customHeight="1" x14ac:dyDescent="0.3">
      <c r="A728" s="43"/>
      <c r="B728" s="43"/>
      <c r="C728" s="44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spans="1:25" s="60" customFormat="1" ht="24" customHeight="1" x14ac:dyDescent="0.3">
      <c r="A729" s="43"/>
      <c r="B729" s="43"/>
      <c r="C729" s="44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spans="1:25" s="60" customFormat="1" ht="24" customHeight="1" x14ac:dyDescent="0.3">
      <c r="A730" s="43"/>
      <c r="B730" s="43"/>
      <c r="C730" s="44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spans="1:25" s="60" customFormat="1" ht="24" customHeight="1" x14ac:dyDescent="0.3">
      <c r="A731" s="43"/>
      <c r="B731" s="43"/>
      <c r="C731" s="44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spans="1:25" s="60" customFormat="1" ht="24" customHeight="1" x14ac:dyDescent="0.3">
      <c r="A732" s="43"/>
      <c r="B732" s="43"/>
      <c r="C732" s="44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spans="1:25" s="60" customFormat="1" ht="24" customHeight="1" x14ac:dyDescent="0.3">
      <c r="A733" s="43"/>
      <c r="B733" s="43"/>
      <c r="C733" s="44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spans="1:25" s="60" customFormat="1" ht="24" customHeight="1" x14ac:dyDescent="0.3">
      <c r="A734" s="43"/>
      <c r="B734" s="43"/>
      <c r="C734" s="44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spans="1:25" s="60" customFormat="1" ht="24" customHeight="1" x14ac:dyDescent="0.3">
      <c r="A735" s="43"/>
      <c r="B735" s="43"/>
      <c r="C735" s="44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spans="1:25" s="60" customFormat="1" ht="24" customHeight="1" x14ac:dyDescent="0.3">
      <c r="A736" s="43"/>
      <c r="B736" s="43"/>
      <c r="C736" s="44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spans="1:25" s="60" customFormat="1" ht="24" customHeight="1" x14ac:dyDescent="0.3">
      <c r="A737" s="43"/>
      <c r="B737" s="43"/>
      <c r="C737" s="44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spans="1:25" s="60" customFormat="1" ht="24" customHeight="1" x14ac:dyDescent="0.3">
      <c r="A738" s="43"/>
      <c r="B738" s="43"/>
      <c r="C738" s="44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spans="1:25" s="60" customFormat="1" ht="24" customHeight="1" x14ac:dyDescent="0.3">
      <c r="A739" s="43"/>
      <c r="B739" s="43"/>
      <c r="C739" s="44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spans="1:25" s="60" customFormat="1" ht="24" customHeight="1" x14ac:dyDescent="0.3">
      <c r="A740" s="43"/>
      <c r="B740" s="43"/>
      <c r="C740" s="44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spans="1:25" s="60" customFormat="1" ht="24" customHeight="1" x14ac:dyDescent="0.3">
      <c r="A741" s="43"/>
      <c r="B741" s="43"/>
      <c r="C741" s="44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spans="1:25" s="60" customFormat="1" ht="24" customHeight="1" x14ac:dyDescent="0.3">
      <c r="A742" s="43"/>
      <c r="B742" s="43"/>
      <c r="C742" s="44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spans="1:25" s="60" customFormat="1" ht="24" customHeight="1" x14ac:dyDescent="0.3">
      <c r="A743" s="43"/>
      <c r="B743" s="43"/>
      <c r="C743" s="44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spans="1:25" s="60" customFormat="1" ht="24" customHeight="1" x14ac:dyDescent="0.3">
      <c r="A744" s="43"/>
      <c r="B744" s="43"/>
      <c r="C744" s="44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spans="1:25" s="60" customFormat="1" ht="24" customHeight="1" x14ac:dyDescent="0.3">
      <c r="A745" s="43"/>
      <c r="B745" s="43"/>
      <c r="C745" s="44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spans="1:25" s="60" customFormat="1" ht="24" customHeight="1" x14ac:dyDescent="0.3">
      <c r="A746" s="43"/>
      <c r="B746" s="43"/>
      <c r="C746" s="44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spans="1:25" s="60" customFormat="1" ht="24" customHeight="1" x14ac:dyDescent="0.3">
      <c r="A747" s="43"/>
      <c r="B747" s="43"/>
      <c r="C747" s="44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spans="1:25" s="60" customFormat="1" ht="24" customHeight="1" x14ac:dyDescent="0.3">
      <c r="A748" s="43"/>
      <c r="B748" s="43"/>
      <c r="C748" s="44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spans="1:25" s="60" customFormat="1" ht="24" customHeight="1" x14ac:dyDescent="0.3">
      <c r="A749" s="43"/>
      <c r="B749" s="43"/>
      <c r="C749" s="44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spans="1:25" s="60" customFormat="1" ht="24" customHeight="1" x14ac:dyDescent="0.3">
      <c r="A750" s="43"/>
      <c r="B750" s="43"/>
      <c r="C750" s="44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spans="1:25" s="60" customFormat="1" ht="24" customHeight="1" x14ac:dyDescent="0.3">
      <c r="A751" s="43"/>
      <c r="B751" s="43"/>
      <c r="C751" s="44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spans="1:25" s="60" customFormat="1" ht="24" customHeight="1" x14ac:dyDescent="0.3">
      <c r="A752" s="43"/>
      <c r="B752" s="43"/>
      <c r="C752" s="44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spans="1:25" s="60" customFormat="1" ht="24" customHeight="1" x14ac:dyDescent="0.3">
      <c r="A753" s="43"/>
      <c r="B753" s="43"/>
      <c r="C753" s="44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spans="1:25" s="60" customFormat="1" ht="24" customHeight="1" x14ac:dyDescent="0.3">
      <c r="A754" s="43"/>
      <c r="B754" s="43"/>
      <c r="C754" s="44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s="60" customFormat="1" ht="24" customHeight="1" x14ac:dyDescent="0.3">
      <c r="A755" s="43"/>
      <c r="B755" s="43"/>
      <c r="C755" s="44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spans="1:25" s="60" customFormat="1" ht="24" customHeight="1" x14ac:dyDescent="0.3">
      <c r="A756" s="43"/>
      <c r="B756" s="43"/>
      <c r="C756" s="44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spans="1:25" s="60" customFormat="1" ht="24" customHeight="1" x14ac:dyDescent="0.3">
      <c r="A757" s="43"/>
      <c r="B757" s="43"/>
      <c r="C757" s="44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spans="1:25" s="60" customFormat="1" ht="24" customHeight="1" x14ac:dyDescent="0.3">
      <c r="A758" s="43"/>
      <c r="B758" s="43"/>
      <c r="C758" s="44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spans="1:25" s="60" customFormat="1" ht="24" customHeight="1" x14ac:dyDescent="0.3">
      <c r="A759" s="43"/>
      <c r="B759" s="43"/>
      <c r="C759" s="44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spans="1:25" s="60" customFormat="1" ht="24" customHeight="1" x14ac:dyDescent="0.3">
      <c r="A760" s="43"/>
      <c r="B760" s="43"/>
      <c r="C760" s="44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spans="1:25" s="60" customFormat="1" ht="24" customHeight="1" x14ac:dyDescent="0.3">
      <c r="A761" s="43"/>
      <c r="B761" s="43"/>
      <c r="C761" s="44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spans="1:25" s="60" customFormat="1" ht="24" customHeight="1" x14ac:dyDescent="0.3">
      <c r="A762" s="43"/>
      <c r="B762" s="43"/>
      <c r="C762" s="44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spans="1:25" s="60" customFormat="1" ht="24" customHeight="1" x14ac:dyDescent="0.3">
      <c r="A763" s="43"/>
      <c r="B763" s="43"/>
      <c r="C763" s="44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spans="1:25" s="60" customFormat="1" ht="24" customHeight="1" x14ac:dyDescent="0.3">
      <c r="A764" s="43"/>
      <c r="B764" s="43"/>
      <c r="C764" s="44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spans="1:25" s="60" customFormat="1" ht="24" customHeight="1" x14ac:dyDescent="0.3">
      <c r="A765" s="43"/>
      <c r="B765" s="43"/>
      <c r="C765" s="44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spans="1:25" s="60" customFormat="1" ht="24" customHeight="1" x14ac:dyDescent="0.3">
      <c r="A766" s="43"/>
      <c r="B766" s="43"/>
      <c r="C766" s="44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spans="1:25" s="60" customFormat="1" ht="24" customHeight="1" x14ac:dyDescent="0.3">
      <c r="A767" s="43"/>
      <c r="B767" s="43"/>
      <c r="C767" s="44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spans="1:25" s="60" customFormat="1" ht="24" customHeight="1" x14ac:dyDescent="0.3">
      <c r="A768" s="43"/>
      <c r="B768" s="43"/>
      <c r="C768" s="44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spans="1:25" s="60" customFormat="1" ht="24" customHeight="1" x14ac:dyDescent="0.3">
      <c r="A769" s="43"/>
      <c r="B769" s="43"/>
      <c r="C769" s="44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spans="1:25" s="60" customFormat="1" ht="24" customHeight="1" x14ac:dyDescent="0.3">
      <c r="A770" s="43"/>
      <c r="B770" s="43"/>
      <c r="C770" s="44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spans="1:25" s="60" customFormat="1" ht="24" customHeight="1" x14ac:dyDescent="0.3">
      <c r="A771" s="43"/>
      <c r="B771" s="43"/>
      <c r="C771" s="44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spans="1:25" s="60" customFormat="1" ht="24" customHeight="1" x14ac:dyDescent="0.3">
      <c r="A772" s="43"/>
      <c r="B772" s="43"/>
      <c r="C772" s="44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spans="1:25" s="60" customFormat="1" ht="24" customHeight="1" x14ac:dyDescent="0.3">
      <c r="A773" s="43"/>
      <c r="B773" s="43"/>
      <c r="C773" s="44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spans="1:25" s="60" customFormat="1" ht="24" customHeight="1" x14ac:dyDescent="0.3">
      <c r="A774" s="43"/>
      <c r="B774" s="43"/>
      <c r="C774" s="44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spans="1:25" s="60" customFormat="1" ht="24" customHeight="1" x14ac:dyDescent="0.3">
      <c r="A775" s="43"/>
      <c r="B775" s="43"/>
      <c r="C775" s="44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spans="1:25" s="60" customFormat="1" ht="24" customHeight="1" x14ac:dyDescent="0.3">
      <c r="A776" s="43"/>
      <c r="B776" s="43"/>
      <c r="C776" s="44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spans="1:25" s="60" customFormat="1" ht="24" customHeight="1" x14ac:dyDescent="0.3">
      <c r="A777" s="43"/>
      <c r="B777" s="43"/>
      <c r="C777" s="44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spans="1:25" s="60" customFormat="1" ht="24" customHeight="1" x14ac:dyDescent="0.3">
      <c r="A778" s="43"/>
      <c r="B778" s="43"/>
      <c r="C778" s="44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spans="1:25" s="60" customFormat="1" ht="24" customHeight="1" x14ac:dyDescent="0.3">
      <c r="A779" s="43"/>
      <c r="B779" s="43"/>
      <c r="C779" s="44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spans="1:25" s="60" customFormat="1" ht="24" customHeight="1" x14ac:dyDescent="0.3">
      <c r="A780" s="43"/>
      <c r="B780" s="43"/>
      <c r="C780" s="44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spans="1:25" s="60" customFormat="1" ht="24" customHeight="1" x14ac:dyDescent="0.3">
      <c r="A781" s="43"/>
      <c r="B781" s="43"/>
      <c r="C781" s="44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spans="1:25" s="60" customFormat="1" ht="24" customHeight="1" x14ac:dyDescent="0.3">
      <c r="A782" s="43"/>
      <c r="B782" s="43"/>
      <c r="C782" s="44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spans="1:25" s="60" customFormat="1" ht="24" customHeight="1" x14ac:dyDescent="0.3">
      <c r="A783" s="43"/>
      <c r="B783" s="43"/>
      <c r="C783" s="44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spans="1:25" s="60" customFormat="1" ht="24" customHeight="1" x14ac:dyDescent="0.3">
      <c r="A784" s="43"/>
      <c r="B784" s="43"/>
      <c r="C784" s="44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spans="1:25" s="60" customFormat="1" ht="24" customHeight="1" x14ac:dyDescent="0.3">
      <c r="A785" s="43"/>
      <c r="B785" s="43"/>
      <c r="C785" s="44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spans="1:25" s="60" customFormat="1" ht="24" customHeight="1" x14ac:dyDescent="0.3">
      <c r="A786" s="43"/>
      <c r="B786" s="43"/>
      <c r="C786" s="44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spans="1:25" s="60" customFormat="1" ht="24" customHeight="1" x14ac:dyDescent="0.3">
      <c r="A787" s="43"/>
      <c r="B787" s="43"/>
      <c r="C787" s="44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spans="1:25" s="60" customFormat="1" ht="24" customHeight="1" x14ac:dyDescent="0.3">
      <c r="A788" s="43"/>
      <c r="B788" s="43"/>
      <c r="C788" s="44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spans="1:25" s="60" customFormat="1" ht="24" customHeight="1" x14ac:dyDescent="0.3">
      <c r="A789" s="43"/>
      <c r="B789" s="43"/>
      <c r="C789" s="44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spans="1:25" s="60" customFormat="1" ht="24" customHeight="1" x14ac:dyDescent="0.3">
      <c r="A790" s="43"/>
      <c r="B790" s="43"/>
      <c r="C790" s="44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spans="1:25" s="60" customFormat="1" ht="24" customHeight="1" x14ac:dyDescent="0.3">
      <c r="A791" s="43"/>
      <c r="B791" s="43"/>
      <c r="C791" s="44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spans="1:25" s="60" customFormat="1" ht="24" customHeight="1" x14ac:dyDescent="0.3">
      <c r="A792" s="43"/>
      <c r="B792" s="43"/>
      <c r="C792" s="44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spans="1:25" s="60" customFormat="1" ht="24" customHeight="1" x14ac:dyDescent="0.3">
      <c r="A793" s="43"/>
      <c r="B793" s="43"/>
      <c r="C793" s="44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spans="1:25" s="60" customFormat="1" ht="24" customHeight="1" x14ac:dyDescent="0.3">
      <c r="A794" s="43"/>
      <c r="B794" s="43"/>
      <c r="C794" s="44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spans="1:25" s="60" customFormat="1" ht="24" customHeight="1" x14ac:dyDescent="0.3">
      <c r="A795" s="43"/>
      <c r="B795" s="43"/>
      <c r="C795" s="44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spans="1:25" s="60" customFormat="1" ht="24" customHeight="1" x14ac:dyDescent="0.3">
      <c r="A796" s="43"/>
      <c r="B796" s="43"/>
      <c r="C796" s="44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spans="1:25" s="60" customFormat="1" ht="24" customHeight="1" x14ac:dyDescent="0.3">
      <c r="A797" s="43"/>
      <c r="B797" s="43"/>
      <c r="C797" s="44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spans="1:25" s="60" customFormat="1" ht="24" customHeight="1" x14ac:dyDescent="0.3">
      <c r="A798" s="43"/>
      <c r="B798" s="43"/>
      <c r="C798" s="44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spans="1:25" s="60" customFormat="1" ht="24" customHeight="1" x14ac:dyDescent="0.3">
      <c r="A799" s="43"/>
      <c r="B799" s="43"/>
      <c r="C799" s="44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spans="1:25" s="60" customFormat="1" ht="24" customHeight="1" x14ac:dyDescent="0.3">
      <c r="A800" s="43"/>
      <c r="B800" s="43"/>
      <c r="C800" s="44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spans="1:25" s="60" customFormat="1" ht="24" customHeight="1" x14ac:dyDescent="0.3">
      <c r="A801" s="43"/>
      <c r="B801" s="43"/>
      <c r="C801" s="44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spans="1:25" s="60" customFormat="1" ht="24" customHeight="1" x14ac:dyDescent="0.3">
      <c r="A802" s="43"/>
      <c r="B802" s="43"/>
      <c r="C802" s="44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spans="1:25" s="60" customFormat="1" ht="24" customHeight="1" x14ac:dyDescent="0.3">
      <c r="A803" s="43"/>
      <c r="B803" s="43"/>
      <c r="C803" s="44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spans="1:25" s="60" customFormat="1" ht="24" customHeight="1" x14ac:dyDescent="0.3">
      <c r="A804" s="43"/>
      <c r="B804" s="43"/>
      <c r="C804" s="44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spans="1:25" s="60" customFormat="1" ht="24" customHeight="1" x14ac:dyDescent="0.3">
      <c r="A805" s="43"/>
      <c r="B805" s="43"/>
      <c r="C805" s="44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spans="1:25" s="60" customFormat="1" ht="24" customHeight="1" x14ac:dyDescent="0.3">
      <c r="A806" s="43"/>
      <c r="B806" s="43"/>
      <c r="C806" s="44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spans="1:25" s="60" customFormat="1" ht="24" customHeight="1" x14ac:dyDescent="0.3">
      <c r="A807" s="43"/>
      <c r="B807" s="43"/>
      <c r="C807" s="44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spans="1:25" s="60" customFormat="1" ht="24" customHeight="1" x14ac:dyDescent="0.3">
      <c r="A808" s="43"/>
      <c r="B808" s="43"/>
      <c r="C808" s="44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spans="1:25" s="60" customFormat="1" ht="24" customHeight="1" x14ac:dyDescent="0.3">
      <c r="A809" s="43"/>
      <c r="B809" s="43"/>
      <c r="C809" s="44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spans="1:25" s="60" customFormat="1" ht="24" customHeight="1" x14ac:dyDescent="0.3">
      <c r="A810" s="43"/>
      <c r="B810" s="43"/>
      <c r="C810" s="44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spans="1:25" s="60" customFormat="1" ht="24" customHeight="1" x14ac:dyDescent="0.3">
      <c r="A811" s="43"/>
      <c r="B811" s="43"/>
      <c r="C811" s="44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spans="1:25" s="60" customFormat="1" ht="24" customHeight="1" x14ac:dyDescent="0.3">
      <c r="A812" s="43"/>
      <c r="B812" s="43"/>
      <c r="C812" s="44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spans="1:25" s="60" customFormat="1" ht="24" customHeight="1" x14ac:dyDescent="0.3">
      <c r="A813" s="43"/>
      <c r="B813" s="43"/>
      <c r="C813" s="44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spans="1:25" s="60" customFormat="1" ht="24" customHeight="1" x14ac:dyDescent="0.3">
      <c r="A814" s="43"/>
      <c r="B814" s="43"/>
      <c r="C814" s="44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spans="1:25" s="60" customFormat="1" ht="24" customHeight="1" x14ac:dyDescent="0.3">
      <c r="A815" s="43"/>
      <c r="B815" s="43"/>
      <c r="C815" s="44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spans="1:25" s="60" customFormat="1" ht="24" customHeight="1" x14ac:dyDescent="0.3">
      <c r="A816" s="43"/>
      <c r="B816" s="43"/>
      <c r="C816" s="44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spans="1:25" s="60" customFormat="1" ht="24" customHeight="1" x14ac:dyDescent="0.3">
      <c r="A817" s="43"/>
      <c r="B817" s="43"/>
      <c r="C817" s="44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spans="1:25" s="60" customFormat="1" ht="24" customHeight="1" x14ac:dyDescent="0.3">
      <c r="A818" s="43"/>
      <c r="B818" s="43"/>
      <c r="C818" s="44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spans="1:25" s="60" customFormat="1" ht="24" customHeight="1" x14ac:dyDescent="0.3">
      <c r="A819" s="43"/>
      <c r="B819" s="43"/>
      <c r="C819" s="44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spans="1:25" s="60" customFormat="1" ht="24" customHeight="1" x14ac:dyDescent="0.3">
      <c r="A820" s="43"/>
      <c r="B820" s="43"/>
      <c r="C820" s="44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spans="1:25" s="60" customFormat="1" ht="24" customHeight="1" x14ac:dyDescent="0.3">
      <c r="A821" s="43"/>
      <c r="B821" s="43"/>
      <c r="C821" s="44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spans="1:25" s="60" customFormat="1" ht="24" customHeight="1" x14ac:dyDescent="0.3">
      <c r="A822" s="43"/>
      <c r="B822" s="43"/>
      <c r="C822" s="44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spans="1:25" s="60" customFormat="1" ht="24" customHeight="1" x14ac:dyDescent="0.3">
      <c r="A823" s="43"/>
      <c r="B823" s="43"/>
      <c r="C823" s="44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spans="1:25" s="60" customFormat="1" ht="24" customHeight="1" x14ac:dyDescent="0.3">
      <c r="A824" s="43"/>
      <c r="B824" s="43"/>
      <c r="C824" s="44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spans="1:25" s="60" customFormat="1" ht="24" customHeight="1" x14ac:dyDescent="0.3">
      <c r="A825" s="43"/>
      <c r="B825" s="43"/>
      <c r="C825" s="44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spans="1:25" s="60" customFormat="1" ht="24" customHeight="1" x14ac:dyDescent="0.3">
      <c r="A826" s="43"/>
      <c r="B826" s="43"/>
      <c r="C826" s="44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spans="1:25" s="60" customFormat="1" ht="24" customHeight="1" x14ac:dyDescent="0.3">
      <c r="A827" s="43"/>
      <c r="B827" s="43"/>
      <c r="C827" s="44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spans="1:25" s="60" customFormat="1" ht="24" customHeight="1" x14ac:dyDescent="0.3">
      <c r="A828" s="43"/>
      <c r="B828" s="43"/>
      <c r="C828" s="44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spans="1:25" s="60" customFormat="1" ht="24" customHeight="1" x14ac:dyDescent="0.3">
      <c r="A829" s="43"/>
      <c r="B829" s="43"/>
      <c r="C829" s="44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spans="1:25" s="60" customFormat="1" ht="24" customHeight="1" x14ac:dyDescent="0.3">
      <c r="A830" s="43"/>
      <c r="B830" s="43"/>
      <c r="C830" s="44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spans="1:25" s="60" customFormat="1" ht="24" customHeight="1" x14ac:dyDescent="0.3">
      <c r="A831" s="43"/>
      <c r="B831" s="43"/>
      <c r="C831" s="44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spans="1:25" s="60" customFormat="1" ht="24" customHeight="1" x14ac:dyDescent="0.3">
      <c r="A832" s="43"/>
      <c r="B832" s="43"/>
      <c r="C832" s="44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spans="1:25" s="60" customFormat="1" ht="24" customHeight="1" x14ac:dyDescent="0.3">
      <c r="A833" s="43"/>
      <c r="B833" s="43"/>
      <c r="C833" s="44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spans="1:25" s="60" customFormat="1" ht="24" customHeight="1" x14ac:dyDescent="0.3">
      <c r="A834" s="43"/>
      <c r="B834" s="43"/>
      <c r="C834" s="44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spans="1:25" s="60" customFormat="1" ht="24" customHeight="1" x14ac:dyDescent="0.3">
      <c r="A835" s="43"/>
      <c r="B835" s="43"/>
      <c r="C835" s="44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spans="1:25" s="60" customFormat="1" ht="24" customHeight="1" x14ac:dyDescent="0.3">
      <c r="A836" s="43"/>
      <c r="B836" s="43"/>
      <c r="C836" s="44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spans="1:25" s="60" customFormat="1" ht="24" customHeight="1" x14ac:dyDescent="0.3">
      <c r="A837" s="43"/>
      <c r="B837" s="43"/>
      <c r="C837" s="44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spans="1:25" s="60" customFormat="1" ht="24" customHeight="1" x14ac:dyDescent="0.3">
      <c r="A838" s="43"/>
      <c r="B838" s="43"/>
      <c r="C838" s="44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spans="1:25" s="60" customFormat="1" ht="24" customHeight="1" x14ac:dyDescent="0.3">
      <c r="A839" s="43"/>
      <c r="B839" s="43"/>
      <c r="C839" s="44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spans="1:25" s="60" customFormat="1" ht="24" customHeight="1" x14ac:dyDescent="0.3">
      <c r="A840" s="43"/>
      <c r="B840" s="43"/>
      <c r="C840" s="44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spans="1:25" s="60" customFormat="1" ht="24" customHeight="1" x14ac:dyDescent="0.3">
      <c r="A841" s="43"/>
      <c r="B841" s="43"/>
      <c r="C841" s="44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spans="1:25" s="60" customFormat="1" ht="24" customHeight="1" x14ac:dyDescent="0.3">
      <c r="A842" s="43"/>
      <c r="B842" s="43"/>
      <c r="C842" s="44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spans="1:25" s="60" customFormat="1" ht="24" customHeight="1" x14ac:dyDescent="0.3">
      <c r="A843" s="43"/>
      <c r="B843" s="43"/>
      <c r="C843" s="44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spans="1:25" s="60" customFormat="1" ht="24" customHeight="1" x14ac:dyDescent="0.3">
      <c r="A844" s="43"/>
      <c r="B844" s="43"/>
      <c r="C844" s="44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spans="1:25" s="60" customFormat="1" ht="24" customHeight="1" x14ac:dyDescent="0.3">
      <c r="A845" s="43"/>
      <c r="B845" s="43"/>
      <c r="C845" s="44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spans="1:25" s="60" customFormat="1" ht="24" customHeight="1" x14ac:dyDescent="0.3">
      <c r="A846" s="43"/>
      <c r="B846" s="43"/>
      <c r="C846" s="44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spans="1:25" s="60" customFormat="1" ht="24" customHeight="1" x14ac:dyDescent="0.3">
      <c r="A847" s="43"/>
      <c r="B847" s="43"/>
      <c r="C847" s="44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spans="1:25" s="60" customFormat="1" ht="24" customHeight="1" x14ac:dyDescent="0.3">
      <c r="A848" s="43"/>
      <c r="B848" s="43"/>
      <c r="C848" s="44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spans="1:25" s="60" customFormat="1" ht="24" customHeight="1" x14ac:dyDescent="0.3">
      <c r="A849" s="43"/>
      <c r="B849" s="43"/>
      <c r="C849" s="44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spans="1:25" s="60" customFormat="1" ht="24" customHeight="1" x14ac:dyDescent="0.3">
      <c r="A850" s="43"/>
      <c r="B850" s="43"/>
      <c r="C850" s="44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spans="1:25" s="60" customFormat="1" ht="24" customHeight="1" x14ac:dyDescent="0.3">
      <c r="A851" s="43"/>
      <c r="B851" s="43"/>
      <c r="C851" s="44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spans="1:25" s="60" customFormat="1" ht="24" customHeight="1" x14ac:dyDescent="0.3">
      <c r="A852" s="43"/>
      <c r="B852" s="43"/>
      <c r="C852" s="44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spans="1:25" s="60" customFormat="1" ht="24" customHeight="1" x14ac:dyDescent="0.3">
      <c r="A853" s="43"/>
      <c r="B853" s="43"/>
      <c r="C853" s="44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spans="1:25" s="60" customFormat="1" ht="24" customHeight="1" x14ac:dyDescent="0.3">
      <c r="A854" s="43"/>
      <c r="B854" s="43"/>
      <c r="C854" s="44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spans="1:25" s="60" customFormat="1" ht="24" customHeight="1" x14ac:dyDescent="0.3">
      <c r="A855" s="43"/>
      <c r="B855" s="43"/>
      <c r="C855" s="44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spans="1:25" s="60" customFormat="1" ht="24" customHeight="1" x14ac:dyDescent="0.3">
      <c r="A856" s="43"/>
      <c r="B856" s="43"/>
      <c r="C856" s="44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spans="1:25" s="60" customFormat="1" ht="24" customHeight="1" x14ac:dyDescent="0.3">
      <c r="A857" s="43"/>
      <c r="B857" s="43"/>
      <c r="C857" s="44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spans="1:25" s="60" customFormat="1" ht="24" customHeight="1" x14ac:dyDescent="0.3">
      <c r="A858" s="43"/>
      <c r="B858" s="43"/>
      <c r="C858" s="44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spans="1:25" s="60" customFormat="1" ht="24" customHeight="1" x14ac:dyDescent="0.3">
      <c r="A859" s="43"/>
      <c r="B859" s="43"/>
      <c r="C859" s="44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spans="1:25" s="60" customFormat="1" ht="24" customHeight="1" x14ac:dyDescent="0.3">
      <c r="A860" s="43"/>
      <c r="B860" s="43"/>
      <c r="C860" s="44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spans="1:25" s="60" customFormat="1" ht="24" customHeight="1" x14ac:dyDescent="0.3">
      <c r="A861" s="43"/>
      <c r="B861" s="43"/>
      <c r="C861" s="44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spans="1:25" s="60" customFormat="1" ht="24" customHeight="1" x14ac:dyDescent="0.3">
      <c r="A862" s="43"/>
      <c r="B862" s="43"/>
      <c r="C862" s="44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spans="1:25" s="60" customFormat="1" ht="24" customHeight="1" x14ac:dyDescent="0.3">
      <c r="A863" s="43"/>
      <c r="B863" s="43"/>
      <c r="C863" s="44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spans="1:25" s="60" customFormat="1" ht="24" customHeight="1" x14ac:dyDescent="0.3">
      <c r="A864" s="43"/>
      <c r="B864" s="43"/>
      <c r="C864" s="44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spans="1:25" s="60" customFormat="1" ht="24" customHeight="1" x14ac:dyDescent="0.3">
      <c r="A865" s="43"/>
      <c r="B865" s="43"/>
      <c r="C865" s="44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spans="1:25" s="60" customFormat="1" ht="24" customHeight="1" x14ac:dyDescent="0.3">
      <c r="A866" s="43"/>
      <c r="B866" s="43"/>
      <c r="C866" s="44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spans="1:25" s="60" customFormat="1" ht="24" customHeight="1" x14ac:dyDescent="0.3">
      <c r="A867" s="43"/>
      <c r="B867" s="43"/>
      <c r="C867" s="44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spans="1:25" s="60" customFormat="1" ht="24" customHeight="1" x14ac:dyDescent="0.3">
      <c r="A868" s="43"/>
      <c r="B868" s="43"/>
      <c r="C868" s="44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spans="1:25" s="60" customFormat="1" ht="24" customHeight="1" x14ac:dyDescent="0.3">
      <c r="A869" s="43"/>
      <c r="B869" s="43"/>
      <c r="C869" s="44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spans="1:25" s="60" customFormat="1" ht="24" customHeight="1" x14ac:dyDescent="0.3">
      <c r="A870" s="43"/>
      <c r="B870" s="43"/>
      <c r="C870" s="44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s="60" customFormat="1" ht="24" customHeight="1" x14ac:dyDescent="0.3">
      <c r="A871" s="43"/>
      <c r="B871" s="43"/>
      <c r="C871" s="44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spans="1:25" s="60" customFormat="1" ht="24" customHeight="1" x14ac:dyDescent="0.3">
      <c r="A872" s="43"/>
      <c r="B872" s="43"/>
      <c r="C872" s="44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spans="1:25" s="60" customFormat="1" ht="24" customHeight="1" x14ac:dyDescent="0.3">
      <c r="A873" s="43"/>
      <c r="B873" s="43"/>
      <c r="C873" s="44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spans="1:25" s="60" customFormat="1" ht="24" customHeight="1" x14ac:dyDescent="0.3">
      <c r="A874" s="43"/>
      <c r="B874" s="43"/>
      <c r="C874" s="44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spans="1:25" s="60" customFormat="1" ht="24" customHeight="1" x14ac:dyDescent="0.3">
      <c r="A875" s="43"/>
      <c r="B875" s="43"/>
      <c r="C875" s="44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spans="1:25" s="60" customFormat="1" ht="24" customHeight="1" x14ac:dyDescent="0.3">
      <c r="A876" s="43"/>
      <c r="B876" s="43"/>
      <c r="C876" s="44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spans="1:25" s="60" customFormat="1" ht="24" customHeight="1" x14ac:dyDescent="0.3">
      <c r="A877" s="43"/>
      <c r="B877" s="43"/>
      <c r="C877" s="44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spans="1:25" s="60" customFormat="1" ht="24" customHeight="1" x14ac:dyDescent="0.3">
      <c r="A878" s="43"/>
      <c r="B878" s="43"/>
      <c r="C878" s="44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spans="1:25" s="60" customFormat="1" ht="24" customHeight="1" x14ac:dyDescent="0.3">
      <c r="A879" s="43"/>
      <c r="B879" s="43"/>
      <c r="C879" s="44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spans="1:25" s="60" customFormat="1" ht="24" customHeight="1" x14ac:dyDescent="0.3">
      <c r="A880" s="43"/>
      <c r="B880" s="43"/>
      <c r="C880" s="44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spans="1:25" s="60" customFormat="1" ht="24" customHeight="1" x14ac:dyDescent="0.3">
      <c r="A881" s="43"/>
      <c r="B881" s="43"/>
      <c r="C881" s="44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spans="1:25" s="60" customFormat="1" ht="24" customHeight="1" x14ac:dyDescent="0.3">
      <c r="A882" s="43"/>
      <c r="B882" s="43"/>
      <c r="C882" s="44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spans="1:25" s="60" customFormat="1" ht="24" customHeight="1" x14ac:dyDescent="0.3">
      <c r="A883" s="43"/>
      <c r="B883" s="43"/>
      <c r="C883" s="44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spans="1:25" s="60" customFormat="1" ht="24" customHeight="1" x14ac:dyDescent="0.3">
      <c r="A884" s="43"/>
      <c r="B884" s="43"/>
      <c r="C884" s="44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spans="1:25" s="60" customFormat="1" ht="24" customHeight="1" x14ac:dyDescent="0.3">
      <c r="A885" s="43"/>
      <c r="B885" s="43"/>
      <c r="C885" s="44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spans="1:25" s="60" customFormat="1" ht="24" customHeight="1" x14ac:dyDescent="0.3">
      <c r="A886" s="43"/>
      <c r="B886" s="43"/>
      <c r="C886" s="44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spans="1:25" s="60" customFormat="1" ht="24" customHeight="1" x14ac:dyDescent="0.3">
      <c r="A887" s="43"/>
      <c r="B887" s="43"/>
      <c r="C887" s="44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spans="1:25" s="60" customFormat="1" ht="24" customHeight="1" x14ac:dyDescent="0.3">
      <c r="A888" s="43"/>
      <c r="B888" s="43"/>
      <c r="C888" s="44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spans="1:25" s="60" customFormat="1" ht="24" customHeight="1" x14ac:dyDescent="0.3">
      <c r="A889" s="43"/>
      <c r="B889" s="43"/>
      <c r="C889" s="44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spans="1:25" s="60" customFormat="1" ht="24" customHeight="1" x14ac:dyDescent="0.3">
      <c r="A890" s="43"/>
      <c r="B890" s="43"/>
      <c r="C890" s="44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spans="1:25" s="60" customFormat="1" ht="24" customHeight="1" x14ac:dyDescent="0.3">
      <c r="A891" s="43"/>
      <c r="B891" s="43"/>
      <c r="C891" s="44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spans="1:25" s="60" customFormat="1" ht="24" customHeight="1" x14ac:dyDescent="0.3">
      <c r="A892" s="43"/>
      <c r="B892" s="43"/>
      <c r="C892" s="44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spans="1:25" s="60" customFormat="1" ht="24" customHeight="1" x14ac:dyDescent="0.3">
      <c r="A893" s="43"/>
      <c r="B893" s="43"/>
      <c r="C893" s="44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spans="1:25" s="60" customFormat="1" ht="24" customHeight="1" x14ac:dyDescent="0.3">
      <c r="A894" s="43"/>
      <c r="B894" s="43"/>
      <c r="C894" s="44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spans="1:25" s="60" customFormat="1" ht="24" customHeight="1" x14ac:dyDescent="0.3">
      <c r="A895" s="43"/>
      <c r="B895" s="43"/>
      <c r="C895" s="44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spans="1:25" s="60" customFormat="1" ht="24" customHeight="1" x14ac:dyDescent="0.3">
      <c r="A896" s="43"/>
      <c r="B896" s="43"/>
      <c r="C896" s="44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spans="1:25" s="60" customFormat="1" ht="24" customHeight="1" x14ac:dyDescent="0.3">
      <c r="A897" s="43"/>
      <c r="B897" s="43"/>
      <c r="C897" s="44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spans="1:25" s="60" customFormat="1" ht="24" customHeight="1" x14ac:dyDescent="0.3">
      <c r="A898" s="43"/>
      <c r="B898" s="43"/>
      <c r="C898" s="44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spans="1:25" s="60" customFormat="1" ht="24" customHeight="1" x14ac:dyDescent="0.3">
      <c r="A899" s="43"/>
      <c r="B899" s="43"/>
      <c r="C899" s="44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spans="1:25" s="60" customFormat="1" ht="24" customHeight="1" x14ac:dyDescent="0.3">
      <c r="A900" s="43"/>
      <c r="B900" s="43"/>
      <c r="C900" s="44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spans="1:25" s="60" customFormat="1" ht="24" customHeight="1" x14ac:dyDescent="0.3">
      <c r="A901" s="43"/>
      <c r="B901" s="43"/>
      <c r="C901" s="44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spans="1:25" s="60" customFormat="1" ht="24" customHeight="1" x14ac:dyDescent="0.3">
      <c r="A902" s="43"/>
      <c r="B902" s="43"/>
      <c r="C902" s="44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spans="1:25" s="60" customFormat="1" ht="24" customHeight="1" x14ac:dyDescent="0.3">
      <c r="A903" s="43"/>
      <c r="B903" s="43"/>
      <c r="C903" s="44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spans="1:25" s="60" customFormat="1" ht="24" customHeight="1" x14ac:dyDescent="0.3">
      <c r="A904" s="43"/>
      <c r="B904" s="43"/>
      <c r="C904" s="44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spans="1:25" s="60" customFormat="1" ht="24" customHeight="1" x14ac:dyDescent="0.3">
      <c r="A905" s="43"/>
      <c r="B905" s="43"/>
      <c r="C905" s="44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spans="1:25" s="60" customFormat="1" ht="24" customHeight="1" x14ac:dyDescent="0.3">
      <c r="A906" s="43"/>
      <c r="B906" s="43"/>
      <c r="C906" s="44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spans="1:25" s="60" customFormat="1" ht="24" customHeight="1" x14ac:dyDescent="0.3">
      <c r="A907" s="43"/>
      <c r="B907" s="43"/>
      <c r="C907" s="44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spans="1:25" s="60" customFormat="1" ht="24" customHeight="1" x14ac:dyDescent="0.3">
      <c r="A908" s="43"/>
      <c r="B908" s="43"/>
      <c r="C908" s="44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spans="1:25" s="60" customFormat="1" ht="24" customHeight="1" x14ac:dyDescent="0.3">
      <c r="A909" s="43"/>
      <c r="B909" s="43"/>
      <c r="C909" s="44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spans="1:25" s="60" customFormat="1" ht="24" customHeight="1" x14ac:dyDescent="0.3">
      <c r="A910" s="43"/>
      <c r="B910" s="43"/>
      <c r="C910" s="44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spans="1:25" s="60" customFormat="1" ht="24" customHeight="1" x14ac:dyDescent="0.3">
      <c r="A911" s="43"/>
      <c r="B911" s="43"/>
      <c r="C911" s="44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spans="1:25" s="60" customFormat="1" ht="24" customHeight="1" x14ac:dyDescent="0.3">
      <c r="A912" s="43"/>
      <c r="B912" s="43"/>
      <c r="C912" s="44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spans="1:25" s="60" customFormat="1" ht="24" customHeight="1" x14ac:dyDescent="0.3">
      <c r="A913" s="43"/>
      <c r="B913" s="43"/>
      <c r="C913" s="44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spans="1:25" s="60" customFormat="1" ht="24" customHeight="1" x14ac:dyDescent="0.3">
      <c r="A914" s="43"/>
      <c r="B914" s="43"/>
      <c r="C914" s="44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spans="1:25" s="60" customFormat="1" ht="24" customHeight="1" x14ac:dyDescent="0.3">
      <c r="A915" s="43"/>
      <c r="B915" s="43"/>
      <c r="C915" s="44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spans="1:25" s="60" customFormat="1" ht="24" customHeight="1" x14ac:dyDescent="0.3">
      <c r="A916" s="43"/>
      <c r="B916" s="43"/>
      <c r="C916" s="44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s="60" customFormat="1" ht="24" customHeight="1" x14ac:dyDescent="0.3">
      <c r="A917" s="43"/>
      <c r="B917" s="43"/>
      <c r="C917" s="44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spans="1:25" s="60" customFormat="1" ht="24" customHeight="1" x14ac:dyDescent="0.3">
      <c r="A918" s="43"/>
      <c r="B918" s="43"/>
      <c r="C918" s="44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spans="1:25" s="60" customFormat="1" ht="24" customHeight="1" x14ac:dyDescent="0.3">
      <c r="A919" s="43"/>
      <c r="B919" s="43"/>
      <c r="C919" s="44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spans="1:25" s="60" customFormat="1" ht="24" customHeight="1" x14ac:dyDescent="0.3">
      <c r="A920" s="43"/>
      <c r="B920" s="43"/>
      <c r="C920" s="44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spans="1:25" s="60" customFormat="1" ht="24" customHeight="1" x14ac:dyDescent="0.3">
      <c r="A921" s="43"/>
      <c r="B921" s="43"/>
      <c r="C921" s="44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spans="1:25" s="60" customFormat="1" ht="24" customHeight="1" x14ac:dyDescent="0.3">
      <c r="A922" s="43"/>
      <c r="B922" s="43"/>
      <c r="C922" s="44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spans="1:25" s="60" customFormat="1" ht="24" customHeight="1" x14ac:dyDescent="0.3">
      <c r="A923" s="43"/>
      <c r="B923" s="43"/>
      <c r="C923" s="44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spans="1:25" s="60" customFormat="1" ht="24" customHeight="1" x14ac:dyDescent="0.3">
      <c r="A924" s="43"/>
      <c r="B924" s="43"/>
      <c r="C924" s="44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spans="1:25" s="60" customFormat="1" ht="24" customHeight="1" x14ac:dyDescent="0.3">
      <c r="A925" s="43"/>
      <c r="B925" s="43"/>
      <c r="C925" s="44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spans="1:25" s="60" customFormat="1" ht="24" customHeight="1" x14ac:dyDescent="0.3">
      <c r="A926" s="43"/>
      <c r="B926" s="43"/>
      <c r="C926" s="44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spans="1:25" s="60" customFormat="1" ht="24" customHeight="1" x14ac:dyDescent="0.3">
      <c r="A927" s="43"/>
      <c r="B927" s="43"/>
      <c r="C927" s="44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spans="1:25" s="60" customFormat="1" ht="24" customHeight="1" x14ac:dyDescent="0.3">
      <c r="A928" s="43"/>
      <c r="B928" s="43"/>
      <c r="C928" s="44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spans="1:25" s="60" customFormat="1" ht="24" customHeight="1" x14ac:dyDescent="0.3">
      <c r="A929" s="43"/>
      <c r="B929" s="43"/>
      <c r="C929" s="44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spans="1:25" s="60" customFormat="1" ht="24" customHeight="1" x14ac:dyDescent="0.3">
      <c r="A930" s="43"/>
      <c r="B930" s="43"/>
      <c r="C930" s="44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spans="1:25" s="60" customFormat="1" ht="24" customHeight="1" x14ac:dyDescent="0.3">
      <c r="A931" s="43"/>
      <c r="B931" s="43"/>
      <c r="C931" s="44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spans="1:25" s="60" customFormat="1" ht="24" customHeight="1" x14ac:dyDescent="0.3">
      <c r="A932" s="43"/>
      <c r="B932" s="43"/>
      <c r="C932" s="44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spans="1:25" s="60" customFormat="1" ht="24" customHeight="1" x14ac:dyDescent="0.3">
      <c r="A933" s="43"/>
      <c r="B933" s="43"/>
      <c r="C933" s="44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spans="1:25" s="60" customFormat="1" ht="24" customHeight="1" x14ac:dyDescent="0.3">
      <c r="A934" s="43"/>
      <c r="B934" s="43"/>
      <c r="C934" s="44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spans="1:25" s="60" customFormat="1" ht="24" customHeight="1" x14ac:dyDescent="0.3">
      <c r="A935" s="43"/>
      <c r="B935" s="43"/>
      <c r="C935" s="44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spans="1:25" s="60" customFormat="1" ht="24" customHeight="1" x14ac:dyDescent="0.3">
      <c r="A936" s="43"/>
      <c r="B936" s="43"/>
      <c r="C936" s="44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spans="1:25" s="60" customFormat="1" ht="24" customHeight="1" x14ac:dyDescent="0.3">
      <c r="A937" s="43"/>
      <c r="B937" s="43"/>
      <c r="C937" s="44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spans="1:25" s="60" customFormat="1" ht="24" customHeight="1" x14ac:dyDescent="0.3">
      <c r="A938" s="43"/>
      <c r="B938" s="43"/>
      <c r="C938" s="44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spans="1:25" s="60" customFormat="1" ht="24" customHeight="1" x14ac:dyDescent="0.3">
      <c r="A939" s="43"/>
      <c r="B939" s="43"/>
      <c r="C939" s="44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spans="1:25" s="60" customFormat="1" ht="24" customHeight="1" x14ac:dyDescent="0.3">
      <c r="A940" s="43"/>
      <c r="B940" s="43"/>
      <c r="C940" s="44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spans="1:25" s="60" customFormat="1" ht="24" customHeight="1" x14ac:dyDescent="0.3">
      <c r="A941" s="43"/>
      <c r="B941" s="43"/>
      <c r="C941" s="44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s="60" customFormat="1" ht="24" customHeight="1" x14ac:dyDescent="0.3">
      <c r="A942" s="43"/>
      <c r="B942" s="43"/>
      <c r="C942" s="44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spans="1:25" s="60" customFormat="1" ht="24" customHeight="1" x14ac:dyDescent="0.3">
      <c r="A943" s="43"/>
      <c r="B943" s="43"/>
      <c r="C943" s="44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spans="1:25" s="60" customFormat="1" ht="24" customHeight="1" x14ac:dyDescent="0.3">
      <c r="A944" s="43"/>
      <c r="B944" s="43"/>
      <c r="C944" s="44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spans="1:25" s="60" customFormat="1" ht="24" customHeight="1" x14ac:dyDescent="0.3">
      <c r="A945" s="43"/>
      <c r="B945" s="43"/>
      <c r="C945" s="44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spans="1:25" s="60" customFormat="1" ht="24" customHeight="1" x14ac:dyDescent="0.3">
      <c r="A946" s="43"/>
      <c r="B946" s="43"/>
      <c r="C946" s="44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spans="1:25" s="60" customFormat="1" ht="24" customHeight="1" x14ac:dyDescent="0.3">
      <c r="A947" s="43"/>
      <c r="B947" s="43"/>
      <c r="C947" s="44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spans="1:25" s="60" customFormat="1" ht="24" customHeight="1" x14ac:dyDescent="0.3">
      <c r="A948" s="43"/>
      <c r="B948" s="43"/>
      <c r="C948" s="44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spans="1:25" s="60" customFormat="1" ht="24" customHeight="1" x14ac:dyDescent="0.3">
      <c r="A949" s="43"/>
      <c r="B949" s="43"/>
      <c r="C949" s="44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spans="1:25" s="60" customFormat="1" ht="24" customHeight="1" x14ac:dyDescent="0.3">
      <c r="A950" s="43"/>
      <c r="B950" s="43"/>
      <c r="C950" s="44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spans="1:25" s="60" customFormat="1" ht="24" customHeight="1" x14ac:dyDescent="0.3">
      <c r="A951" s="43"/>
      <c r="B951" s="43"/>
      <c r="C951" s="44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spans="1:25" s="60" customFormat="1" ht="24" customHeight="1" x14ac:dyDescent="0.3">
      <c r="A952" s="43"/>
      <c r="B952" s="43"/>
      <c r="C952" s="44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spans="1:25" s="60" customFormat="1" ht="24" customHeight="1" x14ac:dyDescent="0.3">
      <c r="A953" s="43"/>
      <c r="B953" s="43"/>
      <c r="C953" s="44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 spans="1:25" s="60" customFormat="1" ht="24" customHeight="1" x14ac:dyDescent="0.3">
      <c r="A954" s="43"/>
      <c r="B954" s="43"/>
      <c r="C954" s="44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 spans="1:25" s="60" customFormat="1" ht="24" customHeight="1" x14ac:dyDescent="0.3">
      <c r="A955" s="43"/>
      <c r="B955" s="43"/>
      <c r="C955" s="44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 spans="1:25" s="60" customFormat="1" ht="24" customHeight="1" x14ac:dyDescent="0.3">
      <c r="A956" s="43"/>
      <c r="B956" s="43"/>
      <c r="C956" s="44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 spans="1:25" s="60" customFormat="1" ht="24" customHeight="1" x14ac:dyDescent="0.3">
      <c r="A957" s="43"/>
      <c r="B957" s="43"/>
      <c r="C957" s="44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 spans="1:25" s="60" customFormat="1" ht="24" customHeight="1" x14ac:dyDescent="0.3">
      <c r="A958" s="43"/>
      <c r="B958" s="43"/>
      <c r="C958" s="44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 spans="1:25" s="60" customFormat="1" ht="24" customHeight="1" x14ac:dyDescent="0.3">
      <c r="A959" s="43"/>
      <c r="B959" s="43"/>
      <c r="C959" s="44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 spans="1:25" s="60" customFormat="1" ht="24" customHeight="1" x14ac:dyDescent="0.3">
      <c r="A960" s="43"/>
      <c r="B960" s="43"/>
      <c r="C960" s="44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 spans="1:25" s="60" customFormat="1" ht="24" customHeight="1" x14ac:dyDescent="0.3">
      <c r="A961" s="43"/>
      <c r="B961" s="43"/>
      <c r="C961" s="44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 spans="1:25" s="60" customFormat="1" ht="24" customHeight="1" x14ac:dyDescent="0.3">
      <c r="A962" s="43"/>
      <c r="B962" s="43"/>
      <c r="C962" s="44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spans="1:25" s="60" customFormat="1" ht="24" customHeight="1" x14ac:dyDescent="0.3">
      <c r="A963" s="43"/>
      <c r="B963" s="43"/>
      <c r="C963" s="44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 spans="1:25" s="60" customFormat="1" ht="24" customHeight="1" x14ac:dyDescent="0.3">
      <c r="A964" s="43"/>
      <c r="B964" s="43"/>
      <c r="C964" s="44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 spans="1:25" s="60" customFormat="1" ht="24" customHeight="1" x14ac:dyDescent="0.3">
      <c r="A965" s="43"/>
      <c r="B965" s="43"/>
      <c r="C965" s="44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 spans="1:25" s="60" customFormat="1" ht="24" customHeight="1" x14ac:dyDescent="0.3">
      <c r="A966" s="43"/>
      <c r="B966" s="43"/>
      <c r="C966" s="44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 spans="1:25" s="60" customFormat="1" ht="24" customHeight="1" x14ac:dyDescent="0.3">
      <c r="A967" s="43"/>
      <c r="B967" s="43"/>
      <c r="C967" s="44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 spans="1:25" s="60" customFormat="1" ht="24" customHeight="1" x14ac:dyDescent="0.3">
      <c r="A968" s="43"/>
      <c r="B968" s="43"/>
      <c r="C968" s="44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 spans="1:25" s="60" customFormat="1" ht="24" customHeight="1" x14ac:dyDescent="0.3">
      <c r="A969" s="43"/>
      <c r="B969" s="43"/>
      <c r="C969" s="44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 spans="1:25" s="60" customFormat="1" ht="24" customHeight="1" x14ac:dyDescent="0.3">
      <c r="A970" s="43"/>
      <c r="B970" s="43"/>
      <c r="C970" s="44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 spans="1:25" s="60" customFormat="1" ht="24" customHeight="1" x14ac:dyDescent="0.3">
      <c r="A971" s="43"/>
      <c r="B971" s="43"/>
      <c r="C971" s="44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 spans="1:25" s="60" customFormat="1" ht="24" customHeight="1" x14ac:dyDescent="0.3">
      <c r="A972" s="43"/>
      <c r="B972" s="43"/>
      <c r="C972" s="44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 spans="1:25" s="60" customFormat="1" ht="24" customHeight="1" x14ac:dyDescent="0.3">
      <c r="A973" s="43"/>
      <c r="B973" s="43"/>
      <c r="C973" s="44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 spans="1:25" s="60" customFormat="1" ht="24" customHeight="1" x14ac:dyDescent="0.3">
      <c r="A974" s="43"/>
      <c r="B974" s="43"/>
      <c r="C974" s="44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 spans="1:25" s="60" customFormat="1" ht="24" customHeight="1" x14ac:dyDescent="0.3">
      <c r="A975" s="43"/>
      <c r="B975" s="43"/>
      <c r="C975" s="44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 spans="1:25" s="60" customFormat="1" ht="24" customHeight="1" x14ac:dyDescent="0.3">
      <c r="A976" s="43"/>
      <c r="B976" s="43"/>
      <c r="C976" s="44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 spans="1:25" s="60" customFormat="1" ht="24" customHeight="1" x14ac:dyDescent="0.3">
      <c r="A977" s="43"/>
      <c r="B977" s="43"/>
      <c r="C977" s="44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</sheetData>
  <autoFilter ref="B3:I25" xr:uid="{00000000-0009-0000-0000-000003000000}"/>
  <mergeCells count="2">
    <mergeCell ref="B1:I2"/>
    <mergeCell ref="B28:J29"/>
  </mergeCells>
  <dataValidations count="1">
    <dataValidation type="list" allowBlank="1" showInputMessage="1" showErrorMessage="1" promptTitle="Alojamento" prompt="Marque SIM para incluir o custo de alojamento (igual ao da aba LBD)." sqref="K4:K25 K31:K52" xr:uid="{31674D01-4182-4B42-8A34-F11DA57A5F31}">
      <formula1>"SIM,NÃO"</formula1>
    </dataValidation>
  </dataValidations>
  <hyperlinks>
    <hyperlink ref="A1" location="PAINEL!A1" tooltip="Voltar ao Painel de Navegação" display="⬅ PAINEL" xr:uid="{7F476F7F-21A6-49B6-A894-623E35FEB227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X100"/>
  <sheetViews>
    <sheetView zoomScale="85" zoomScaleNormal="85" workbookViewId="0">
      <pane ySplit="3" topLeftCell="A10" activePane="bottomLeft" state="frozen"/>
      <selection pane="bottomLeft" activeCell="A21" sqref="A21:XFD21"/>
    </sheetView>
  </sheetViews>
  <sheetFormatPr defaultColWidth="8.5546875" defaultRowHeight="23.4" outlineLevelCol="1" x14ac:dyDescent="0.45"/>
  <cols>
    <col min="1" max="1" width="15" customWidth="1"/>
    <col min="2" max="2" width="10.5546875" customWidth="1"/>
    <col min="3" max="3" width="11" customWidth="1"/>
    <col min="4" max="4" width="12.88671875" customWidth="1"/>
    <col min="5" max="11" width="11" customWidth="1"/>
    <col min="12" max="12" width="16.77734375" customWidth="1"/>
    <col min="13" max="13" width="11" customWidth="1"/>
    <col min="14" max="14" width="16.77734375" customWidth="1"/>
    <col min="15" max="16" width="15" customWidth="1"/>
    <col min="17" max="17" width="14" customWidth="1"/>
    <col min="18" max="18" width="13" customWidth="1"/>
    <col min="19" max="19" width="29.6640625" customWidth="1"/>
    <col min="20" max="21" width="20" customWidth="1"/>
    <col min="22" max="22" width="6" customWidth="1"/>
    <col min="23" max="23" width="14" customWidth="1"/>
    <col min="24" max="29" width="13" customWidth="1"/>
    <col min="30" max="31" width="20" customWidth="1"/>
    <col min="32" max="32" width="6" customWidth="1"/>
    <col min="33" max="33" width="14" customWidth="1"/>
    <col min="34" max="35" width="13" customWidth="1"/>
    <col min="36" max="36" width="27.77734375" customWidth="1"/>
    <col min="37" max="37" width="20" customWidth="1"/>
    <col min="38" max="38" width="6" customWidth="1"/>
    <col min="39" max="40" width="13" customWidth="1"/>
    <col min="41" max="41" width="26" customWidth="1"/>
    <col min="42" max="42" width="15.77734375" customWidth="1"/>
    <col min="43" max="45" width="13" customWidth="1"/>
    <col min="46" max="46" width="26" customWidth="1"/>
    <col min="47" max="47" width="15.77734375" customWidth="1"/>
    <col min="48" max="52" width="13" customWidth="1"/>
    <col min="53" max="53" width="15.109375" customWidth="1"/>
    <col min="54" max="54" width="22" style="77" customWidth="1"/>
    <col min="55" max="56" width="12" customWidth="1"/>
    <col min="57" max="57" width="13" customWidth="1"/>
    <col min="58" max="58" width="8" customWidth="1"/>
    <col min="59" max="59" width="13" customWidth="1"/>
    <col min="60" max="60" width="29.109375" customWidth="1"/>
    <col min="61" max="61" width="12" hidden="1" customWidth="1" outlineLevel="1"/>
    <col min="62" max="62" width="18.21875" hidden="1" customWidth="1" outlineLevel="1"/>
    <col min="63" max="63" width="8.5546875" collapsed="1"/>
  </cols>
  <sheetData>
    <row r="1" spans="1:62" ht="21.75" customHeight="1" x14ac:dyDescent="0.3">
      <c r="A1" s="423" t="s">
        <v>911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3"/>
      <c r="AH1" s="423"/>
      <c r="AI1" s="423"/>
      <c r="AJ1" s="423"/>
      <c r="AK1" s="423"/>
      <c r="AL1" s="423"/>
      <c r="AM1" s="423"/>
      <c r="AN1" s="423"/>
      <c r="AO1" s="423"/>
      <c r="AP1" s="423"/>
      <c r="AQ1" s="423"/>
      <c r="AR1" s="423"/>
      <c r="AS1" s="423"/>
      <c r="AT1" s="423"/>
      <c r="AU1" s="423"/>
      <c r="AV1" s="423"/>
      <c r="AW1" s="423"/>
      <c r="AX1" s="423"/>
      <c r="AY1" s="423"/>
      <c r="AZ1" s="423"/>
      <c r="BA1" s="423"/>
      <c r="BB1" s="423"/>
      <c r="BC1" s="423"/>
      <c r="BD1" s="423"/>
      <c r="BE1" s="423"/>
      <c r="BF1" s="423"/>
      <c r="BG1" s="423"/>
      <c r="BH1" s="423"/>
      <c r="BI1" s="423"/>
      <c r="BJ1" s="423"/>
    </row>
    <row r="2" spans="1:62" ht="15" customHeight="1" x14ac:dyDescent="0.3">
      <c r="A2" s="441" t="s">
        <v>912</v>
      </c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  <c r="AB2" s="441"/>
      <c r="AC2" s="441"/>
      <c r="AD2" s="441"/>
      <c r="AE2" s="441"/>
      <c r="AF2" s="441"/>
      <c r="AG2" s="441"/>
      <c r="AH2" s="441"/>
      <c r="AI2" s="441"/>
      <c r="AJ2" s="441"/>
      <c r="AK2" s="441"/>
      <c r="AL2" s="441"/>
      <c r="AM2" s="441"/>
      <c r="AN2" s="441"/>
      <c r="AO2" s="441"/>
      <c r="AP2" s="441"/>
      <c r="AQ2" s="441"/>
      <c r="AR2" s="441"/>
      <c r="AS2" s="441"/>
      <c r="AT2" s="441"/>
      <c r="AU2" s="441"/>
      <c r="AV2" s="441"/>
      <c r="AW2" s="441"/>
      <c r="AX2" s="441"/>
      <c r="AY2" s="441"/>
      <c r="AZ2" s="441"/>
      <c r="BA2" s="441"/>
      <c r="BB2" s="441"/>
      <c r="BC2" s="441"/>
      <c r="BD2" s="441"/>
      <c r="BE2" s="441"/>
      <c r="BF2" s="441"/>
      <c r="BG2" s="441"/>
      <c r="BH2" s="441"/>
      <c r="BI2" s="441"/>
      <c r="BJ2" s="441"/>
    </row>
    <row r="3" spans="1:62" ht="23.25" customHeight="1" x14ac:dyDescent="0.45">
      <c r="A3" s="358" t="s">
        <v>1757</v>
      </c>
      <c r="C3" s="448" t="s">
        <v>913</v>
      </c>
      <c r="D3" s="448"/>
      <c r="E3" s="448"/>
      <c r="F3" s="448"/>
      <c r="G3" s="448"/>
      <c r="H3" s="448"/>
      <c r="I3" s="448"/>
    </row>
    <row r="4" spans="1:62" s="77" customFormat="1" ht="31.5" customHeight="1" x14ac:dyDescent="0.45">
      <c r="A4" s="442" t="s">
        <v>914</v>
      </c>
      <c r="B4" s="443" t="s">
        <v>10</v>
      </c>
      <c r="C4" s="449" t="s">
        <v>915</v>
      </c>
      <c r="D4" s="449"/>
      <c r="E4" s="449"/>
      <c r="F4" s="449" t="s">
        <v>916</v>
      </c>
      <c r="G4" s="449"/>
      <c r="H4" s="449"/>
      <c r="I4" s="449" t="s">
        <v>917</v>
      </c>
      <c r="J4" s="449"/>
      <c r="K4" s="449"/>
      <c r="L4" s="449" t="s">
        <v>918</v>
      </c>
      <c r="M4" s="449"/>
      <c r="N4" s="449"/>
      <c r="O4" s="446" t="s">
        <v>919</v>
      </c>
      <c r="P4" s="446"/>
      <c r="Q4" s="446"/>
      <c r="R4" s="446"/>
      <c r="S4" s="446"/>
      <c r="T4" s="446" t="s">
        <v>920</v>
      </c>
      <c r="U4" s="446"/>
      <c r="V4" s="446"/>
      <c r="W4" s="446"/>
      <c r="X4" s="446"/>
      <c r="Y4" s="446"/>
      <c r="Z4" s="446" t="s">
        <v>1859</v>
      </c>
      <c r="AA4" s="446"/>
      <c r="AB4" s="446"/>
      <c r="AC4" s="446"/>
      <c r="AD4" s="446" t="s">
        <v>921</v>
      </c>
      <c r="AE4" s="446"/>
      <c r="AF4" s="446"/>
      <c r="AG4" s="446"/>
      <c r="AH4" s="446"/>
      <c r="AI4" s="446"/>
      <c r="AJ4" s="449" t="s">
        <v>922</v>
      </c>
      <c r="AK4" s="449"/>
      <c r="AL4" s="449"/>
      <c r="AM4" s="449"/>
      <c r="AN4" s="449"/>
      <c r="AO4" s="449" t="s">
        <v>923</v>
      </c>
      <c r="AP4" s="449"/>
      <c r="AQ4" s="449"/>
      <c r="AR4" s="449"/>
      <c r="AS4" s="449"/>
      <c r="AT4" s="449" t="s">
        <v>924</v>
      </c>
      <c r="AU4" s="449"/>
      <c r="AV4" s="449"/>
      <c r="AW4" s="449"/>
      <c r="AX4" s="449"/>
      <c r="AY4" s="446" t="s">
        <v>925</v>
      </c>
      <c r="AZ4" s="446"/>
      <c r="BA4" s="446"/>
      <c r="BB4" s="446"/>
      <c r="BC4" s="446" t="s">
        <v>926</v>
      </c>
      <c r="BD4" s="446"/>
      <c r="BE4" s="446"/>
      <c r="BF4" s="446"/>
      <c r="BG4" s="446"/>
      <c r="BH4" s="446"/>
      <c r="BI4" s="446"/>
      <c r="BJ4" s="446"/>
    </row>
    <row r="5" spans="1:62" ht="51" customHeight="1" x14ac:dyDescent="0.3">
      <c r="A5" s="443"/>
      <c r="B5" s="443"/>
      <c r="C5" s="3" t="s">
        <v>927</v>
      </c>
      <c r="D5" s="3" t="s">
        <v>928</v>
      </c>
      <c r="E5" s="3" t="s">
        <v>929</v>
      </c>
      <c r="F5" s="3" t="s">
        <v>930</v>
      </c>
      <c r="G5" s="3" t="s">
        <v>931</v>
      </c>
      <c r="H5" s="3" t="s">
        <v>932</v>
      </c>
      <c r="I5" s="3" t="s">
        <v>933</v>
      </c>
      <c r="J5" s="3" t="s">
        <v>934</v>
      </c>
      <c r="K5" s="3" t="s">
        <v>935</v>
      </c>
      <c r="L5" s="3" t="s">
        <v>936</v>
      </c>
      <c r="M5" s="3" t="s">
        <v>937</v>
      </c>
      <c r="N5" s="3" t="s">
        <v>938</v>
      </c>
      <c r="O5" s="3" t="s">
        <v>939</v>
      </c>
      <c r="P5" s="3" t="s">
        <v>940</v>
      </c>
      <c r="Q5" s="3" t="s">
        <v>941</v>
      </c>
      <c r="R5" s="3" t="s">
        <v>942</v>
      </c>
      <c r="S5" s="3" t="s">
        <v>943</v>
      </c>
      <c r="T5" s="3" t="s">
        <v>939</v>
      </c>
      <c r="U5" s="3" t="s">
        <v>940</v>
      </c>
      <c r="V5" s="3" t="s">
        <v>941</v>
      </c>
      <c r="W5" s="3" t="s">
        <v>942</v>
      </c>
      <c r="X5" s="3" t="s">
        <v>944</v>
      </c>
      <c r="Y5" s="3" t="s">
        <v>945</v>
      </c>
      <c r="Z5" s="3" t="s">
        <v>946</v>
      </c>
      <c r="AA5" s="3" t="s">
        <v>947</v>
      </c>
      <c r="AB5" s="3" t="s">
        <v>948</v>
      </c>
      <c r="AC5" s="3" t="s">
        <v>945</v>
      </c>
      <c r="AD5" s="3" t="s">
        <v>939</v>
      </c>
      <c r="AE5" s="3" t="s">
        <v>940</v>
      </c>
      <c r="AF5" s="3" t="s">
        <v>941</v>
      </c>
      <c r="AG5" s="3" t="s">
        <v>942</v>
      </c>
      <c r="AH5" s="3" t="s">
        <v>944</v>
      </c>
      <c r="AI5" s="3" t="s">
        <v>945</v>
      </c>
      <c r="AJ5" s="3" t="s">
        <v>939</v>
      </c>
      <c r="AK5" s="3" t="s">
        <v>940</v>
      </c>
      <c r="AL5" s="3" t="s">
        <v>941</v>
      </c>
      <c r="AM5" s="3" t="s">
        <v>944</v>
      </c>
      <c r="AN5" s="3" t="s">
        <v>949</v>
      </c>
      <c r="AO5" s="3" t="s">
        <v>939</v>
      </c>
      <c r="AP5" s="3" t="s">
        <v>940</v>
      </c>
      <c r="AQ5" s="3" t="s">
        <v>941</v>
      </c>
      <c r="AR5" s="3" t="s">
        <v>944</v>
      </c>
      <c r="AS5" s="3" t="s">
        <v>949</v>
      </c>
      <c r="AT5" s="3" t="s">
        <v>939</v>
      </c>
      <c r="AU5" s="3" t="s">
        <v>940</v>
      </c>
      <c r="AV5" s="3" t="s">
        <v>941</v>
      </c>
      <c r="AW5" s="3" t="s">
        <v>944</v>
      </c>
      <c r="AX5" s="3" t="s">
        <v>949</v>
      </c>
      <c r="AY5" s="3" t="s">
        <v>950</v>
      </c>
      <c r="AZ5" s="3" t="s">
        <v>878</v>
      </c>
      <c r="BA5" s="78" t="s">
        <v>951</v>
      </c>
      <c r="BB5" s="78" t="s">
        <v>952</v>
      </c>
      <c r="BC5" s="3" t="s">
        <v>953</v>
      </c>
      <c r="BD5" s="3" t="s">
        <v>881</v>
      </c>
      <c r="BE5" s="3" t="s">
        <v>882</v>
      </c>
      <c r="BF5" s="3" t="s">
        <v>954</v>
      </c>
      <c r="BG5" s="3" t="s">
        <v>955</v>
      </c>
      <c r="BH5" s="78" t="s">
        <v>956</v>
      </c>
      <c r="BI5" s="3" t="s">
        <v>957</v>
      </c>
      <c r="BJ5" s="3" t="s">
        <v>958</v>
      </c>
    </row>
    <row r="6" spans="1:62" ht="25.5" customHeight="1" x14ac:dyDescent="0.3">
      <c r="A6" s="79" t="s">
        <v>66</v>
      </c>
      <c r="B6" s="79">
        <v>2</v>
      </c>
      <c r="C6" s="80"/>
      <c r="D6" s="81">
        <f>IFERROR(SUMIFS('PU CAST'!$AI$10:$AI$150,'PU CAST'!$AA$10:$AA$150,"COPO CONICO",'PU CAST'!$AK$10:$AK$150,$B6),0)</f>
        <v>14.760069166666653</v>
      </c>
      <c r="E6" s="82">
        <f t="shared" ref="E6:E27" si="0">C6*D6</f>
        <v>0</v>
      </c>
      <c r="F6" s="80"/>
      <c r="G6" s="81">
        <f>IFERROR(SUMIFS('PU CAST'!$AI$10:$AI$150,'PU CAST'!$AA$10:$AA$150,"DS",'PU CAST'!$AK$10:$AK$150,$B6),0)</f>
        <v>20.733333333333327</v>
      </c>
      <c r="H6" s="82">
        <f t="shared" ref="H6:H27" si="1">F6*G6</f>
        <v>0</v>
      </c>
      <c r="I6" s="80"/>
      <c r="J6" s="81">
        <f>IFERROR(SUMIFS('PU CAST'!$AI$10:$AI$150,'PU CAST'!$AA$10:$AA$150,"DG",'PU CAST'!$AK$10:$AK$150,$B6),0)</f>
        <v>21.173333333333328</v>
      </c>
      <c r="K6" s="82">
        <f t="shared" ref="K6:K27" si="2">I6*J6</f>
        <v>0</v>
      </c>
      <c r="L6" s="83">
        <v>4</v>
      </c>
      <c r="M6" s="81">
        <f>IFERROR(SUMIFS('PU CAST'!$AI$10:$AI$150,'PU CAST'!$AA$10:$AA$150,"DE",'PU CAST'!$AK$10:$AK$150,$B6),0)</f>
        <v>19.43333333333333</v>
      </c>
      <c r="N6" s="82">
        <f t="shared" ref="N6:N27" si="3">L6*M6</f>
        <v>77.73333333333332</v>
      </c>
      <c r="O6" s="4"/>
      <c r="P6" s="4"/>
      <c r="Q6" s="5"/>
      <c r="R6" s="4"/>
      <c r="S6" s="84"/>
      <c r="T6" s="4"/>
      <c r="U6" s="4"/>
      <c r="V6" s="5"/>
      <c r="W6" s="4"/>
      <c r="X6" s="6"/>
      <c r="Y6" s="85">
        <f t="shared" ref="Y6:Y27" si="4">X6*2</f>
        <v>0</v>
      </c>
      <c r="Z6" s="86"/>
      <c r="AA6" s="86"/>
      <c r="AB6" s="6"/>
      <c r="AC6" s="85">
        <f t="shared" ref="AC6:AC27" si="5">AB6*2</f>
        <v>0</v>
      </c>
      <c r="AD6" s="4"/>
      <c r="AE6" s="4"/>
      <c r="AF6" s="5"/>
      <c r="AG6" s="4"/>
      <c r="AH6" s="6"/>
      <c r="AI6" s="85">
        <f t="shared" ref="AI6:AI27" si="6">AH6*2</f>
        <v>0</v>
      </c>
      <c r="AJ6" s="87"/>
      <c r="AK6" s="87"/>
      <c r="AL6" s="88"/>
      <c r="AM6" s="89"/>
      <c r="AN6" s="90"/>
      <c r="AO6" s="89"/>
      <c r="AP6" s="89"/>
      <c r="AQ6" s="89"/>
      <c r="AR6" s="89"/>
      <c r="AS6" s="90"/>
      <c r="AT6" s="89"/>
      <c r="AU6" s="89"/>
      <c r="AV6" s="89"/>
      <c r="AW6" s="89"/>
      <c r="AX6" s="90"/>
      <c r="AY6" s="91">
        <f t="shared" ref="AY6:AY27" si="7">E6+H6+K6+N6</f>
        <v>77.73333333333332</v>
      </c>
      <c r="AZ6" s="91">
        <f t="shared" ref="AZ6:AZ27" si="8">S6+Y6+AC6+AI6</f>
        <v>0</v>
      </c>
      <c r="BA6" s="91">
        <f t="shared" ref="BA6:BA27" si="9">AN6+AS6+AX6</f>
        <v>0</v>
      </c>
      <c r="BB6" s="92">
        <f t="shared" ref="BB6:BB27" si="10">AY6+AZ6+BA6</f>
        <v>77.73333333333332</v>
      </c>
      <c r="BC6" s="6">
        <f>PARÂMETROS!$H$3</f>
        <v>40</v>
      </c>
      <c r="BD6" s="93">
        <v>0.195138888888889</v>
      </c>
      <c r="BE6" s="6">
        <f t="shared" ref="BE6:BE27" si="11">(BD6*BC6)*24</f>
        <v>187.33333333333343</v>
      </c>
      <c r="BF6" s="5">
        <v>1</v>
      </c>
      <c r="BG6" s="90">
        <f t="shared" ref="BG6:BG27" si="12">BE6/BF6</f>
        <v>187.33333333333343</v>
      </c>
      <c r="BH6" s="94">
        <f t="shared" ref="BH6:BH27" si="13">BB6+BG6</f>
        <v>265.06666666666672</v>
      </c>
      <c r="BI6" s="6">
        <v>100</v>
      </c>
      <c r="BJ6" s="95">
        <f t="shared" ref="BJ6:BJ27" si="14">BH6+BI6</f>
        <v>365.06666666666672</v>
      </c>
    </row>
    <row r="7" spans="1:62" ht="25.5" customHeight="1" x14ac:dyDescent="0.3">
      <c r="A7" s="79" t="s">
        <v>66</v>
      </c>
      <c r="B7" s="79">
        <v>3</v>
      </c>
      <c r="C7" s="80"/>
      <c r="D7" s="81">
        <f>IFERROR(SUMIFS('PU CAST'!$AI$10:$AI$150,'PU CAST'!$AA$10:$AA$150,"COPO CONICO",'PU CAST'!$AK$10:$AK$150,$B7),0)</f>
        <v>15.853471666666653</v>
      </c>
      <c r="E7" s="82">
        <f t="shared" si="0"/>
        <v>0</v>
      </c>
      <c r="F7" s="80"/>
      <c r="G7" s="81">
        <f>IFERROR(SUMIFS('PU CAST'!$AI$10:$AI$150,'PU CAST'!$AA$10:$AA$150,"DS",'PU CAST'!$AK$10:$AK$150,$B7),0)</f>
        <v>21.133333333333329</v>
      </c>
      <c r="H7" s="82">
        <f t="shared" si="1"/>
        <v>0</v>
      </c>
      <c r="I7" s="80"/>
      <c r="J7" s="81">
        <f>IFERROR(SUMIFS('PU CAST'!$AI$10:$AI$150,'PU CAST'!$AA$10:$AA$150,"DG",'PU CAST'!$AK$10:$AK$150,$B7),0)</f>
        <v>22.633333333333329</v>
      </c>
      <c r="K7" s="82">
        <f t="shared" si="2"/>
        <v>0</v>
      </c>
      <c r="L7" s="83">
        <v>4</v>
      </c>
      <c r="M7" s="81">
        <f>IFERROR(SUMIFS('PU CAST'!$AI$10:$AI$150,'PU CAST'!$AA$10:$AA$150,"DE",'PU CAST'!$AK$10:$AK$150,$B7),0)</f>
        <v>19.633333333333329</v>
      </c>
      <c r="N7" s="82">
        <f t="shared" si="3"/>
        <v>78.533333333333317</v>
      </c>
      <c r="O7" s="4"/>
      <c r="P7" s="4"/>
      <c r="Q7" s="5"/>
      <c r="R7" s="4"/>
      <c r="S7" s="84"/>
      <c r="T7" s="4"/>
      <c r="U7" s="4"/>
      <c r="V7" s="5"/>
      <c r="W7" s="4"/>
      <c r="X7" s="6"/>
      <c r="Y7" s="85">
        <f t="shared" si="4"/>
        <v>0</v>
      </c>
      <c r="Z7" s="86"/>
      <c r="AA7" s="86"/>
      <c r="AB7" s="6"/>
      <c r="AC7" s="85">
        <f t="shared" si="5"/>
        <v>0</v>
      </c>
      <c r="AD7" s="4"/>
      <c r="AE7" s="4"/>
      <c r="AF7" s="5"/>
      <c r="AG7" s="4"/>
      <c r="AH7" s="6"/>
      <c r="AI7" s="85">
        <f t="shared" si="6"/>
        <v>0</v>
      </c>
      <c r="AJ7" s="87"/>
      <c r="AK7" s="87"/>
      <c r="AL7" s="88"/>
      <c r="AM7" s="89"/>
      <c r="AN7" s="90"/>
      <c r="AO7" s="89"/>
      <c r="AP7" s="89"/>
      <c r="AQ7" s="89"/>
      <c r="AR7" s="89"/>
      <c r="AS7" s="90"/>
      <c r="AT7" s="89"/>
      <c r="AU7" s="89"/>
      <c r="AV7" s="89"/>
      <c r="AW7" s="89"/>
      <c r="AX7" s="90"/>
      <c r="AY7" s="91">
        <f t="shared" si="7"/>
        <v>78.533333333333317</v>
      </c>
      <c r="AZ7" s="91">
        <f t="shared" si="8"/>
        <v>0</v>
      </c>
      <c r="BA7" s="91">
        <f t="shared" si="9"/>
        <v>0</v>
      </c>
      <c r="BB7" s="92">
        <f t="shared" si="10"/>
        <v>78.533333333333317</v>
      </c>
      <c r="BC7" s="6">
        <f>PARÂMETROS!$H$3</f>
        <v>40</v>
      </c>
      <c r="BD7" s="93">
        <v>0.195138888888889</v>
      </c>
      <c r="BE7" s="6">
        <f t="shared" si="11"/>
        <v>187.33333333333343</v>
      </c>
      <c r="BF7" s="5">
        <v>1</v>
      </c>
      <c r="BG7" s="90">
        <f t="shared" si="12"/>
        <v>187.33333333333343</v>
      </c>
      <c r="BH7" s="94">
        <f t="shared" si="13"/>
        <v>265.86666666666673</v>
      </c>
      <c r="BI7" s="6">
        <v>100</v>
      </c>
      <c r="BJ7" s="95">
        <f t="shared" si="14"/>
        <v>365.86666666666673</v>
      </c>
    </row>
    <row r="8" spans="1:62" ht="25.5" customHeight="1" x14ac:dyDescent="0.3">
      <c r="A8" s="79" t="s">
        <v>66</v>
      </c>
      <c r="B8" s="79">
        <v>4</v>
      </c>
      <c r="C8" s="80"/>
      <c r="D8" s="81">
        <f>IFERROR(SUMIFS('PU CAST'!$AI$10:$AI$150,'PU CAST'!$AA$10:$AA$150,"COPO CONICO",'PU CAST'!$AK$10:$AK$150,$B8),0)</f>
        <v>17.311341666666653</v>
      </c>
      <c r="E8" s="82">
        <f t="shared" si="0"/>
        <v>0</v>
      </c>
      <c r="F8" s="80"/>
      <c r="G8" s="81">
        <f>IFERROR(SUMIFS('PU CAST'!$AI$10:$AI$150,'PU CAST'!$AA$10:$AA$150,"DS",'PU CAST'!$AK$10:$AK$150,$B8),0)</f>
        <v>23.333333333333329</v>
      </c>
      <c r="H8" s="82">
        <f t="shared" si="1"/>
        <v>0</v>
      </c>
      <c r="I8" s="80"/>
      <c r="J8" s="81">
        <f>IFERROR(SUMIFS('PU CAST'!$AI$10:$AI$150,'PU CAST'!$AA$10:$AA$150,"DG",'PU CAST'!$AK$10:$AK$150,$B8),0)</f>
        <v>24.053333333333327</v>
      </c>
      <c r="K8" s="82">
        <f t="shared" si="2"/>
        <v>0</v>
      </c>
      <c r="L8" s="83">
        <v>4</v>
      </c>
      <c r="M8" s="81">
        <f>IFERROR(SUMIFS('PU CAST'!$AI$10:$AI$150,'PU CAST'!$AA$10:$AA$150,"DE",'PU CAST'!$AK$10:$AK$150,$B8),0)</f>
        <v>19.833333333333329</v>
      </c>
      <c r="N8" s="82">
        <f t="shared" si="3"/>
        <v>79.333333333333314</v>
      </c>
      <c r="O8" s="4"/>
      <c r="P8" s="4"/>
      <c r="Q8" s="5"/>
      <c r="R8" s="4"/>
      <c r="S8" s="84"/>
      <c r="T8" s="4"/>
      <c r="U8" s="4"/>
      <c r="V8" s="5"/>
      <c r="W8" s="4"/>
      <c r="X8" s="6"/>
      <c r="Y8" s="85">
        <f t="shared" si="4"/>
        <v>0</v>
      </c>
      <c r="Z8" s="86"/>
      <c r="AA8" s="86"/>
      <c r="AB8" s="6"/>
      <c r="AC8" s="85">
        <f t="shared" si="5"/>
        <v>0</v>
      </c>
      <c r="AD8" s="4"/>
      <c r="AE8" s="4"/>
      <c r="AF8" s="5"/>
      <c r="AG8" s="4"/>
      <c r="AH8" s="6"/>
      <c r="AI8" s="85">
        <f t="shared" si="6"/>
        <v>0</v>
      </c>
      <c r="AJ8" s="87"/>
      <c r="AK8" s="87"/>
      <c r="AL8" s="88"/>
      <c r="AM8" s="89"/>
      <c r="AN8" s="90"/>
      <c r="AO8" s="89"/>
      <c r="AP8" s="89"/>
      <c r="AQ8" s="89"/>
      <c r="AR8" s="89"/>
      <c r="AS8" s="90"/>
      <c r="AT8" s="89"/>
      <c r="AU8" s="89"/>
      <c r="AV8" s="89"/>
      <c r="AW8" s="89"/>
      <c r="AX8" s="90"/>
      <c r="AY8" s="91">
        <f t="shared" si="7"/>
        <v>79.333333333333314</v>
      </c>
      <c r="AZ8" s="91">
        <f t="shared" si="8"/>
        <v>0</v>
      </c>
      <c r="BA8" s="91">
        <f t="shared" si="9"/>
        <v>0</v>
      </c>
      <c r="BB8" s="92">
        <f t="shared" si="10"/>
        <v>79.333333333333314</v>
      </c>
      <c r="BC8" s="6">
        <f>PARÂMETROS!$H$3</f>
        <v>40</v>
      </c>
      <c r="BD8" s="93">
        <v>0.195138888888889</v>
      </c>
      <c r="BE8" s="6">
        <f t="shared" si="11"/>
        <v>187.33333333333343</v>
      </c>
      <c r="BF8" s="5">
        <v>1</v>
      </c>
      <c r="BG8" s="90">
        <f t="shared" si="12"/>
        <v>187.33333333333343</v>
      </c>
      <c r="BH8" s="94">
        <f t="shared" si="13"/>
        <v>266.66666666666674</v>
      </c>
      <c r="BI8" s="6">
        <v>100</v>
      </c>
      <c r="BJ8" s="95">
        <f t="shared" si="14"/>
        <v>366.66666666666674</v>
      </c>
    </row>
    <row r="9" spans="1:62" ht="25.5" customHeight="1" x14ac:dyDescent="0.3">
      <c r="A9" s="79" t="s">
        <v>66</v>
      </c>
      <c r="B9" s="79">
        <v>6</v>
      </c>
      <c r="C9" s="80"/>
      <c r="D9" s="81">
        <f>IFERROR(SUMIFS('PU CAST'!$AI$10:$AI$150,'PU CAST'!$AA$10:$AA$150,"COPO CONICO",'PU CAST'!$AK$10:$AK$150,$B9),0)</f>
        <v>151.24536666666654</v>
      </c>
      <c r="E9" s="82">
        <f t="shared" si="0"/>
        <v>0</v>
      </c>
      <c r="F9" s="80"/>
      <c r="G9" s="81">
        <f>IFERROR(SUMIFS('PU CAST'!$AI$10:$AI$150,'PU CAST'!$AA$10:$AA$150,"DS",'PU CAST'!$AK$10:$AK$150,$B9),0)</f>
        <v>28.921045211111103</v>
      </c>
      <c r="H9" s="82">
        <f t="shared" si="1"/>
        <v>0</v>
      </c>
      <c r="I9" s="80"/>
      <c r="J9" s="81">
        <f>IFERROR(SUMIFS('PU CAST'!$AI$10:$AI$150,'PU CAST'!$AA$10:$AA$150,"DG",'PU CAST'!$AK$10:$AK$150,$B9),0)</f>
        <v>28.299859111111104</v>
      </c>
      <c r="K9" s="82">
        <f t="shared" si="2"/>
        <v>0</v>
      </c>
      <c r="L9" s="83">
        <v>4</v>
      </c>
      <c r="M9" s="81">
        <f>IFERROR(SUMIFS('PU CAST'!$AI$10:$AI$150,'PU CAST'!$AA$10:$AA$150,"DE",'PU CAST'!$AK$10:$AK$150,$B9),0)</f>
        <v>23.696106111111103</v>
      </c>
      <c r="N9" s="82">
        <f t="shared" si="3"/>
        <v>94.784424444444412</v>
      </c>
      <c r="O9" s="4" t="s">
        <v>849</v>
      </c>
      <c r="P9" s="4" t="s">
        <v>959</v>
      </c>
      <c r="Q9" s="5">
        <v>1</v>
      </c>
      <c r="R9" s="4" t="s">
        <v>960</v>
      </c>
      <c r="S9" s="84">
        <f>INDEX(PARÂMETROS!$B$83:$B$101,MATCH($B9,PARÂMETROS!$A$83:$A$101,0))</f>
        <v>21.6</v>
      </c>
      <c r="T9" s="4" t="s">
        <v>961</v>
      </c>
      <c r="U9" s="4" t="s">
        <v>962</v>
      </c>
      <c r="V9" s="5">
        <v>1</v>
      </c>
      <c r="W9" s="4" t="s">
        <v>963</v>
      </c>
      <c r="X9" s="68">
        <f>INDEX(PARÂMETROS!$C$83:$C$101,MATCH($B9,PARÂMETROS!$A$83:$A$101,0))</f>
        <v>22</v>
      </c>
      <c r="Y9" s="85">
        <f t="shared" si="4"/>
        <v>44</v>
      </c>
      <c r="Z9" s="86">
        <f t="shared" ref="Z9:Z27" si="15">AA9/2</f>
        <v>0.105</v>
      </c>
      <c r="AA9" s="86">
        <f>2*0.105</f>
        <v>0.21</v>
      </c>
      <c r="AB9" s="6">
        <f>Z9*PARÂMETROS!$E$6</f>
        <v>4.1926499999999995</v>
      </c>
      <c r="AC9" s="85">
        <f t="shared" si="5"/>
        <v>8.3852999999999991</v>
      </c>
      <c r="AD9" s="4" t="s">
        <v>961</v>
      </c>
      <c r="AE9" s="4" t="s">
        <v>962</v>
      </c>
      <c r="AF9" s="5">
        <v>1</v>
      </c>
      <c r="AG9" s="4" t="s">
        <v>963</v>
      </c>
      <c r="AH9" s="68">
        <f>INDEX(PARÂMETROS!$D$83:$D$101,MATCH($B9,PARÂMETROS!$A$83:$A$101,0))</f>
        <v>22</v>
      </c>
      <c r="AI9" s="85">
        <f t="shared" si="6"/>
        <v>44</v>
      </c>
      <c r="AJ9" s="96" t="s">
        <v>964</v>
      </c>
      <c r="AK9" s="96" t="s">
        <v>965</v>
      </c>
      <c r="AL9" s="88">
        <v>12</v>
      </c>
      <c r="AM9" s="97">
        <f>INDEX(PARÂMETROS!$E$83:$E$101,MATCH($B9,PARÂMETROS!$A$83:$A$101,0))</f>
        <v>7</v>
      </c>
      <c r="AN9" s="90">
        <f t="shared" ref="AN9:AN27" si="16">AM9*AL9</f>
        <v>84</v>
      </c>
      <c r="AO9" s="98" t="s">
        <v>966</v>
      </c>
      <c r="AP9" s="98" t="s">
        <v>967</v>
      </c>
      <c r="AQ9" s="88">
        <v>12</v>
      </c>
      <c r="AR9" s="97">
        <f>INDEX(PARÂMETROS!$F$83:$F$101,MATCH($B9,PARÂMETROS!$A$83:$A$101,0))</f>
        <v>0.6</v>
      </c>
      <c r="AS9" s="90">
        <f t="shared" ref="AS9:AS27" si="17">AR9*AQ9</f>
        <v>7.1999999999999993</v>
      </c>
      <c r="AT9" s="98" t="s">
        <v>968</v>
      </c>
      <c r="AU9" s="98" t="s">
        <v>967</v>
      </c>
      <c r="AV9" s="88">
        <v>12</v>
      </c>
      <c r="AW9" s="97">
        <f>INDEX(PARÂMETROS!$G$83:$G$101,MATCH($B9,PARÂMETROS!$A$83:$A$101,0))</f>
        <v>0.8</v>
      </c>
      <c r="AX9" s="90">
        <f t="shared" ref="AX9:AX27" si="18">AW9*AV9</f>
        <v>9.6000000000000014</v>
      </c>
      <c r="AY9" s="91">
        <f t="shared" si="7"/>
        <v>94.784424444444412</v>
      </c>
      <c r="AZ9" s="91">
        <f t="shared" si="8"/>
        <v>117.9853</v>
      </c>
      <c r="BA9" s="91">
        <f t="shared" si="9"/>
        <v>100.80000000000001</v>
      </c>
      <c r="BB9" s="92">
        <f t="shared" si="10"/>
        <v>313.56972444444443</v>
      </c>
      <c r="BC9" s="6">
        <f>PARÂMETROS!$H$3</f>
        <v>40</v>
      </c>
      <c r="BD9" s="93">
        <v>0.195138888888889</v>
      </c>
      <c r="BE9" s="6">
        <f t="shared" si="11"/>
        <v>187.33333333333343</v>
      </c>
      <c r="BF9" s="5">
        <v>1</v>
      </c>
      <c r="BG9" s="90">
        <f t="shared" si="12"/>
        <v>187.33333333333343</v>
      </c>
      <c r="BH9" s="94">
        <f t="shared" si="13"/>
        <v>500.90305777777786</v>
      </c>
      <c r="BI9" s="6">
        <v>100</v>
      </c>
      <c r="BJ9" s="95">
        <f t="shared" si="14"/>
        <v>600.9030577777778</v>
      </c>
    </row>
    <row r="10" spans="1:62" ht="25.5" customHeight="1" x14ac:dyDescent="0.3">
      <c r="A10" s="79" t="s">
        <v>66</v>
      </c>
      <c r="B10" s="79">
        <v>8</v>
      </c>
      <c r="C10" s="80"/>
      <c r="D10" s="81">
        <f>IFERROR(SUMIFS('PU CAST'!$AI$10:$AI$150,'PU CAST'!$AA$10:$AA$150,"COPO CONICO",'PU CAST'!$AK$10:$AK$150,$B10),0)</f>
        <v>165.82406666666654</v>
      </c>
      <c r="E10" s="82">
        <f t="shared" si="0"/>
        <v>0</v>
      </c>
      <c r="F10" s="80"/>
      <c r="G10" s="81">
        <f>IFERROR(SUMIFS('PU CAST'!$AI$10:$AI$150,'PU CAST'!$AA$10:$AA$150,"DS",'PU CAST'!$AK$10:$AK$150,$B10),0)</f>
        <v>38.672908871111105</v>
      </c>
      <c r="H10" s="82">
        <f t="shared" si="1"/>
        <v>0</v>
      </c>
      <c r="I10" s="80"/>
      <c r="J10" s="81">
        <f>IFERROR(SUMIFS('PU CAST'!$AI$10:$AI$150,'PU CAST'!$AA$10:$AA$150,"DG",'PU CAST'!$AK$10:$AK$150,$B10),0)</f>
        <v>34.15918111111111</v>
      </c>
      <c r="K10" s="82">
        <f t="shared" si="2"/>
        <v>0</v>
      </c>
      <c r="L10" s="83">
        <v>4</v>
      </c>
      <c r="M10" s="81">
        <f>IFERROR(SUMIFS('PU CAST'!$AI$10:$AI$150,'PU CAST'!$AA$10:$AA$150,"DE",'PU CAST'!$AK$10:$AK$150,$B10),0)</f>
        <v>26.059530111111105</v>
      </c>
      <c r="N10" s="82">
        <f t="shared" si="3"/>
        <v>104.23812044444442</v>
      </c>
      <c r="O10" s="4" t="s">
        <v>849</v>
      </c>
      <c r="P10" s="4" t="s">
        <v>969</v>
      </c>
      <c r="Q10" s="5">
        <v>1</v>
      </c>
      <c r="R10" s="4" t="s">
        <v>960</v>
      </c>
      <c r="S10" s="84">
        <f>INDEX(PARÂMETROS!$B$83:$B$101,MATCH($B10,PARÂMETROS!$A$83:$A$101,0))</f>
        <v>25.2</v>
      </c>
      <c r="T10" s="4" t="s">
        <v>970</v>
      </c>
      <c r="U10" s="4" t="s">
        <v>971</v>
      </c>
      <c r="V10" s="5">
        <v>1</v>
      </c>
      <c r="W10" s="4" t="s">
        <v>963</v>
      </c>
      <c r="X10" s="68">
        <f>INDEX(PARÂMETROS!$C$83:$C$101,MATCH($B10,PARÂMETROS!$A$83:$A$101,0))</f>
        <v>30</v>
      </c>
      <c r="Y10" s="85">
        <f t="shared" si="4"/>
        <v>60</v>
      </c>
      <c r="Z10" s="86">
        <f t="shared" si="15"/>
        <v>0.20100000000000001</v>
      </c>
      <c r="AA10" s="86">
        <f>2*0.201</f>
        <v>0.40200000000000002</v>
      </c>
      <c r="AB10" s="6">
        <f>Z10*PARÂMETROS!$E$6</f>
        <v>8.0259300000000007</v>
      </c>
      <c r="AC10" s="85">
        <f t="shared" si="5"/>
        <v>16.051860000000001</v>
      </c>
      <c r="AD10" s="4" t="s">
        <v>970</v>
      </c>
      <c r="AE10" s="4" t="s">
        <v>971</v>
      </c>
      <c r="AF10" s="5">
        <v>1</v>
      </c>
      <c r="AG10" s="4" t="s">
        <v>963</v>
      </c>
      <c r="AH10" s="68">
        <f>INDEX(PARÂMETROS!$D$83:$D$101,MATCH($B10,PARÂMETROS!$A$83:$A$101,0))</f>
        <v>30</v>
      </c>
      <c r="AI10" s="85">
        <f t="shared" si="6"/>
        <v>60</v>
      </c>
      <c r="AJ10" s="96" t="s">
        <v>964</v>
      </c>
      <c r="AK10" s="96" t="s">
        <v>972</v>
      </c>
      <c r="AL10" s="88">
        <v>16</v>
      </c>
      <c r="AM10" s="97">
        <f>INDEX(PARÂMETROS!$E$83:$E$101,MATCH($B10,PARÂMETROS!$A$83:$A$101,0))</f>
        <v>8.5</v>
      </c>
      <c r="AN10" s="90">
        <f t="shared" si="16"/>
        <v>136</v>
      </c>
      <c r="AO10" s="98" t="s">
        <v>966</v>
      </c>
      <c r="AP10" s="98" t="s">
        <v>967</v>
      </c>
      <c r="AQ10" s="88">
        <v>16</v>
      </c>
      <c r="AR10" s="97">
        <f>INDEX(PARÂMETROS!$F$83:$F$101,MATCH($B10,PARÂMETROS!$A$83:$A$101,0))</f>
        <v>0.6</v>
      </c>
      <c r="AS10" s="90">
        <f t="shared" si="17"/>
        <v>9.6</v>
      </c>
      <c r="AT10" s="98" t="s">
        <v>968</v>
      </c>
      <c r="AU10" s="98" t="s">
        <v>967</v>
      </c>
      <c r="AV10" s="88">
        <v>16</v>
      </c>
      <c r="AW10" s="97">
        <f>INDEX(PARÂMETROS!$G$83:$G$101,MATCH($B10,PARÂMETROS!$A$83:$A$101,0))</f>
        <v>0.8</v>
      </c>
      <c r="AX10" s="90">
        <f t="shared" si="18"/>
        <v>12.8</v>
      </c>
      <c r="AY10" s="91">
        <f t="shared" si="7"/>
        <v>104.23812044444442</v>
      </c>
      <c r="AZ10" s="91">
        <f t="shared" si="8"/>
        <v>161.25186000000002</v>
      </c>
      <c r="BA10" s="91">
        <f t="shared" si="9"/>
        <v>158.4</v>
      </c>
      <c r="BB10" s="92">
        <f t="shared" si="10"/>
        <v>423.8899804444444</v>
      </c>
      <c r="BC10" s="6">
        <f>PARÂMETROS!$H$3</f>
        <v>40</v>
      </c>
      <c r="BD10" s="93">
        <v>0.195138888888889</v>
      </c>
      <c r="BE10" s="6">
        <f t="shared" si="11"/>
        <v>187.33333333333343</v>
      </c>
      <c r="BF10" s="5">
        <v>1</v>
      </c>
      <c r="BG10" s="90">
        <f t="shared" si="12"/>
        <v>187.33333333333343</v>
      </c>
      <c r="BH10" s="94">
        <f t="shared" si="13"/>
        <v>611.22331377777778</v>
      </c>
      <c r="BI10" s="6">
        <v>100</v>
      </c>
      <c r="BJ10" s="95">
        <f t="shared" si="14"/>
        <v>711.22331377777778</v>
      </c>
    </row>
    <row r="11" spans="1:62" ht="25.5" customHeight="1" x14ac:dyDescent="0.3">
      <c r="A11" s="79" t="s">
        <v>66</v>
      </c>
      <c r="B11" s="79">
        <v>10</v>
      </c>
      <c r="C11" s="80"/>
      <c r="D11" s="81">
        <f>IFERROR(SUMIFS('PU CAST'!$AI$10:$AI$150,'PU CAST'!$AA$10:$AA$150,"COPO CONICO",'PU CAST'!$AK$10:$AK$150,$B11),0)</f>
        <v>191.33679166666656</v>
      </c>
      <c r="E11" s="82">
        <f t="shared" si="0"/>
        <v>0</v>
      </c>
      <c r="F11" s="80">
        <v>4</v>
      </c>
      <c r="G11" s="81">
        <f>IFERROR(SUMIFS('PU CAST'!$AI$10:$AI$150,'PU CAST'!$AA$10:$AA$150,"DS",'PU CAST'!$AK$10:$AK$150,$B11),0)</f>
        <v>54.208345351111106</v>
      </c>
      <c r="H11" s="82">
        <f t="shared" si="1"/>
        <v>216.83338140444442</v>
      </c>
      <c r="I11" s="80">
        <v>2</v>
      </c>
      <c r="J11" s="81">
        <f>IFERROR(SUMIFS('PU CAST'!$AI$10:$AI$150,'PU CAST'!$AA$10:$AA$150,"DG",'PU CAST'!$AK$10:$AK$150,$B11),0)</f>
        <v>43.834448111111108</v>
      </c>
      <c r="K11" s="82">
        <f t="shared" si="2"/>
        <v>87.668896222222216</v>
      </c>
      <c r="L11" s="83">
        <v>4</v>
      </c>
      <c r="M11" s="81">
        <f>IFERROR(SUMIFS('PU CAST'!$AI$10:$AI$150,'PU CAST'!$AA$10:$AA$150,"DE",'PU CAST'!$AK$10:$AK$150,$B11),0)</f>
        <v>27.536670111111103</v>
      </c>
      <c r="N11" s="82">
        <f t="shared" si="3"/>
        <v>110.14668044444441</v>
      </c>
      <c r="O11" s="4" t="s">
        <v>850</v>
      </c>
      <c r="P11" s="4" t="s">
        <v>973</v>
      </c>
      <c r="Q11" s="5">
        <v>1</v>
      </c>
      <c r="R11" s="4" t="s">
        <v>960</v>
      </c>
      <c r="S11" s="84">
        <f>INDEX(PARÂMETROS!$B$83:$B$101,MATCH($B11,PARÂMETROS!$A$83:$A$101,0))</f>
        <v>82.8</v>
      </c>
      <c r="T11" s="4" t="s">
        <v>974</v>
      </c>
      <c r="U11" s="4" t="s">
        <v>975</v>
      </c>
      <c r="V11" s="5">
        <v>1</v>
      </c>
      <c r="W11" s="4" t="s">
        <v>963</v>
      </c>
      <c r="X11" s="68">
        <f>INDEX(PARÂMETROS!$C$83:$C$101,MATCH($B11,PARÂMETROS!$A$83:$A$101,0))</f>
        <v>36</v>
      </c>
      <c r="Y11" s="85">
        <f t="shared" si="4"/>
        <v>72</v>
      </c>
      <c r="Z11" s="86">
        <f t="shared" si="15"/>
        <v>0.26100000000000001</v>
      </c>
      <c r="AA11" s="86">
        <f>2*0.261</f>
        <v>0.52200000000000002</v>
      </c>
      <c r="AB11" s="6">
        <f>Z11*PARÂMETROS!$E$6</f>
        <v>10.42173</v>
      </c>
      <c r="AC11" s="85">
        <f t="shared" si="5"/>
        <v>20.84346</v>
      </c>
      <c r="AD11" s="4" t="s">
        <v>974</v>
      </c>
      <c r="AE11" s="4" t="s">
        <v>975</v>
      </c>
      <c r="AF11" s="5">
        <v>1</v>
      </c>
      <c r="AG11" s="4" t="s">
        <v>963</v>
      </c>
      <c r="AH11" s="68">
        <f>INDEX(PARÂMETROS!$D$83:$D$101,MATCH($B11,PARÂMETROS!$A$83:$A$101,0))</f>
        <v>36</v>
      </c>
      <c r="AI11" s="85">
        <f t="shared" si="6"/>
        <v>72</v>
      </c>
      <c r="AJ11" s="96" t="s">
        <v>964</v>
      </c>
      <c r="AK11" s="96" t="s">
        <v>976</v>
      </c>
      <c r="AL11" s="88">
        <v>16</v>
      </c>
      <c r="AM11" s="97">
        <f>INDEX(PARÂMETROS!$E$83:$E$101,MATCH($B11,PARÂMETROS!$A$83:$A$101,0))</f>
        <v>9.5</v>
      </c>
      <c r="AN11" s="90">
        <f t="shared" si="16"/>
        <v>152</v>
      </c>
      <c r="AO11" s="98" t="s">
        <v>966</v>
      </c>
      <c r="AP11" s="98" t="s">
        <v>967</v>
      </c>
      <c r="AQ11" s="88">
        <v>16</v>
      </c>
      <c r="AR11" s="97">
        <f>INDEX(PARÂMETROS!$F$83:$F$101,MATCH($B11,PARÂMETROS!$A$83:$A$101,0))</f>
        <v>0.6</v>
      </c>
      <c r="AS11" s="90">
        <f t="shared" si="17"/>
        <v>9.6</v>
      </c>
      <c r="AT11" s="98" t="s">
        <v>968</v>
      </c>
      <c r="AU11" s="98" t="s">
        <v>967</v>
      </c>
      <c r="AV11" s="88">
        <v>16</v>
      </c>
      <c r="AW11" s="97">
        <f>INDEX(PARÂMETROS!$G$83:$G$101,MATCH($B11,PARÂMETROS!$A$83:$A$101,0))</f>
        <v>0.8</v>
      </c>
      <c r="AX11" s="90">
        <f t="shared" si="18"/>
        <v>12.8</v>
      </c>
      <c r="AY11" s="91">
        <f t="shared" si="7"/>
        <v>414.64895807111105</v>
      </c>
      <c r="AZ11" s="91">
        <f t="shared" si="8"/>
        <v>247.64346</v>
      </c>
      <c r="BA11" s="91">
        <f t="shared" si="9"/>
        <v>174.4</v>
      </c>
      <c r="BB11" s="92">
        <f t="shared" si="10"/>
        <v>836.69241807111109</v>
      </c>
      <c r="BC11" s="6">
        <f>PARÂMETROS!$H$3</f>
        <v>40</v>
      </c>
      <c r="BD11" s="93">
        <v>0.195138888888889</v>
      </c>
      <c r="BE11" s="6">
        <f t="shared" si="11"/>
        <v>187.33333333333343</v>
      </c>
      <c r="BF11" s="5">
        <v>1</v>
      </c>
      <c r="BG11" s="90">
        <f t="shared" si="12"/>
        <v>187.33333333333343</v>
      </c>
      <c r="BH11" s="94">
        <f t="shared" si="13"/>
        <v>1024.0257514044445</v>
      </c>
      <c r="BI11" s="6">
        <v>120</v>
      </c>
      <c r="BJ11" s="95">
        <f t="shared" si="14"/>
        <v>1144.0257514044445</v>
      </c>
    </row>
    <row r="12" spans="1:62" ht="25.5" customHeight="1" x14ac:dyDescent="0.3">
      <c r="A12" s="79" t="s">
        <v>66</v>
      </c>
      <c r="B12" s="79">
        <v>12</v>
      </c>
      <c r="C12" s="80"/>
      <c r="D12" s="81">
        <f>IFERROR(SUMIFS('PU CAST'!$AI$10:$AI$150,'PU CAST'!$AA$10:$AA$150,"COPO CONICO",'PU CAST'!$AK$10:$AK$150,$B12),0)</f>
        <v>235.07289166666655</v>
      </c>
      <c r="E12" s="82">
        <f t="shared" si="0"/>
        <v>0</v>
      </c>
      <c r="F12" s="80"/>
      <c r="G12" s="81">
        <f>IFERROR(SUMIFS('PU CAST'!$AI$10:$AI$150,'PU CAST'!$AA$10:$AA$150,"DS",'PU CAST'!$AK$10:$AK$150,$B12),0)</f>
        <v>84.22541236666666</v>
      </c>
      <c r="H12" s="82">
        <f t="shared" si="1"/>
        <v>0</v>
      </c>
      <c r="I12" s="80"/>
      <c r="J12" s="81">
        <f>IFERROR(SUMIFS('PU CAST'!$AI$10:$AI$150,'PU CAST'!$AA$10:$AA$150,"DG",'PU CAST'!$AK$10:$AK$150,$B12),0)</f>
        <v>66.773360666666662</v>
      </c>
      <c r="K12" s="82">
        <f t="shared" si="2"/>
        <v>0</v>
      </c>
      <c r="L12" s="83">
        <v>4</v>
      </c>
      <c r="M12" s="81">
        <f>IFERROR(SUMIFS('PU CAST'!$AI$10:$AI$150,'PU CAST'!$AA$10:$AA$150,"DE",'PU CAST'!$AK$10:$AK$150,$B12),0)</f>
        <v>42.055884666666657</v>
      </c>
      <c r="N12" s="82">
        <f t="shared" si="3"/>
        <v>168.22353866666663</v>
      </c>
      <c r="O12" s="4" t="s">
        <v>851</v>
      </c>
      <c r="P12" s="4" t="s">
        <v>977</v>
      </c>
      <c r="Q12" s="5">
        <v>1</v>
      </c>
      <c r="R12" s="4" t="s">
        <v>960</v>
      </c>
      <c r="S12" s="84">
        <f>INDEX(PARÂMETROS!$B$83:$B$101,MATCH($B12,PARÂMETROS!$A$83:$A$101,0))</f>
        <v>127.8</v>
      </c>
      <c r="T12" s="4" t="s">
        <v>978</v>
      </c>
      <c r="U12" s="4" t="s">
        <v>979</v>
      </c>
      <c r="V12" s="5">
        <v>1</v>
      </c>
      <c r="W12" s="4" t="s">
        <v>963</v>
      </c>
      <c r="X12" s="68">
        <f>INDEX(PARÂMETROS!$C$83:$C$101,MATCH($B12,PARÂMETROS!$A$83:$A$101,0))</f>
        <v>48</v>
      </c>
      <c r="Y12" s="85">
        <f t="shared" si="4"/>
        <v>96</v>
      </c>
      <c r="Z12" s="86">
        <f t="shared" si="15"/>
        <v>0.42199999999999999</v>
      </c>
      <c r="AA12" s="86">
        <f>2*0.422</f>
        <v>0.84399999999999997</v>
      </c>
      <c r="AB12" s="6">
        <f>Z12*PARÂMETROS!$E$6</f>
        <v>16.850459999999998</v>
      </c>
      <c r="AC12" s="85">
        <f t="shared" si="5"/>
        <v>33.700919999999996</v>
      </c>
      <c r="AD12" s="4" t="s">
        <v>978</v>
      </c>
      <c r="AE12" s="4" t="s">
        <v>979</v>
      </c>
      <c r="AF12" s="5">
        <v>1</v>
      </c>
      <c r="AG12" s="4" t="s">
        <v>963</v>
      </c>
      <c r="AH12" s="68">
        <f>INDEX(PARÂMETROS!$D$83:$D$101,MATCH($B12,PARÂMETROS!$A$83:$A$101,0))</f>
        <v>48</v>
      </c>
      <c r="AI12" s="85">
        <f t="shared" si="6"/>
        <v>96</v>
      </c>
      <c r="AJ12" s="96" t="s">
        <v>964</v>
      </c>
      <c r="AK12" s="96" t="s">
        <v>980</v>
      </c>
      <c r="AL12" s="88">
        <v>16</v>
      </c>
      <c r="AM12" s="97">
        <f>INDEX(PARÂMETROS!$E$83:$E$101,MATCH($B12,PARÂMETROS!$A$83:$A$101,0))</f>
        <v>10.5</v>
      </c>
      <c r="AN12" s="90">
        <f t="shared" si="16"/>
        <v>168</v>
      </c>
      <c r="AO12" s="98" t="s">
        <v>966</v>
      </c>
      <c r="AP12" s="98" t="s">
        <v>967</v>
      </c>
      <c r="AQ12" s="88">
        <v>16</v>
      </c>
      <c r="AR12" s="97">
        <f>INDEX(PARÂMETROS!$F$83:$F$101,MATCH($B12,PARÂMETROS!$A$83:$A$101,0))</f>
        <v>0.6</v>
      </c>
      <c r="AS12" s="90">
        <f t="shared" si="17"/>
        <v>9.6</v>
      </c>
      <c r="AT12" s="98" t="s">
        <v>968</v>
      </c>
      <c r="AU12" s="98" t="s">
        <v>967</v>
      </c>
      <c r="AV12" s="88">
        <v>16</v>
      </c>
      <c r="AW12" s="97">
        <f>INDEX(PARÂMETROS!$G$83:$G$101,MATCH($B12,PARÂMETROS!$A$83:$A$101,0))</f>
        <v>0.8</v>
      </c>
      <c r="AX12" s="90">
        <f t="shared" si="18"/>
        <v>12.8</v>
      </c>
      <c r="AY12" s="91">
        <f t="shared" si="7"/>
        <v>168.22353866666663</v>
      </c>
      <c r="AZ12" s="91">
        <f t="shared" si="8"/>
        <v>353.50092000000001</v>
      </c>
      <c r="BA12" s="91">
        <f t="shared" si="9"/>
        <v>190.4</v>
      </c>
      <c r="BB12" s="92">
        <f t="shared" si="10"/>
        <v>712.12445866666656</v>
      </c>
      <c r="BC12" s="6">
        <f>PARÂMETROS!$H$3</f>
        <v>40</v>
      </c>
      <c r="BD12" s="93">
        <v>0.195138888888889</v>
      </c>
      <c r="BE12" s="6">
        <f t="shared" si="11"/>
        <v>187.33333333333343</v>
      </c>
      <c r="BF12" s="5">
        <v>1</v>
      </c>
      <c r="BG12" s="90">
        <f t="shared" si="12"/>
        <v>187.33333333333343</v>
      </c>
      <c r="BH12" s="94">
        <f t="shared" si="13"/>
        <v>899.45779199999993</v>
      </c>
      <c r="BI12" s="6">
        <v>120</v>
      </c>
      <c r="BJ12" s="95">
        <f t="shared" si="14"/>
        <v>1019.4577919999999</v>
      </c>
    </row>
    <row r="13" spans="1:62" ht="25.5" customHeight="1" x14ac:dyDescent="0.3">
      <c r="A13" s="79" t="s">
        <v>66</v>
      </c>
      <c r="B13" s="79">
        <v>14</v>
      </c>
      <c r="C13" s="80"/>
      <c r="D13" s="81">
        <f>IFERROR(SUMIFS('PU CAST'!$AI$10:$AI$150,'PU CAST'!$AA$10:$AA$150,"COPO CONICO",'PU CAST'!$AK$10:$AK$150,$B13),0)</f>
        <v>242.36224166666653</v>
      </c>
      <c r="E13" s="82">
        <f t="shared" si="0"/>
        <v>0</v>
      </c>
      <c r="F13" s="80"/>
      <c r="G13" s="81">
        <f>IFERROR(SUMIFS('PU CAST'!$AI$10:$AI$150,'PU CAST'!$AA$10:$AA$150,"DS",'PU CAST'!$AK$10:$AK$150,$B13),0)</f>
        <v>100.56295018666665</v>
      </c>
      <c r="H13" s="82">
        <f t="shared" si="1"/>
        <v>0</v>
      </c>
      <c r="I13" s="80"/>
      <c r="J13" s="81">
        <f>IFERROR(SUMIFS('PU CAST'!$AI$10:$AI$150,'PU CAST'!$AA$10:$AA$150,"DG",'PU CAST'!$AK$10:$AK$150,$B13),0)</f>
        <v>75.463867666666658</v>
      </c>
      <c r="K13" s="82">
        <f t="shared" si="2"/>
        <v>0</v>
      </c>
      <c r="L13" s="83">
        <v>4</v>
      </c>
      <c r="M13" s="81">
        <f>IFERROR(SUMIFS('PU CAST'!$AI$10:$AI$150,'PU CAST'!$AA$10:$AA$150,"DE",'PU CAST'!$AK$10:$AK$150,$B13),0)</f>
        <v>47.693635666666658</v>
      </c>
      <c r="N13" s="82">
        <f t="shared" si="3"/>
        <v>190.77454266666663</v>
      </c>
      <c r="O13" s="4" t="s">
        <v>851</v>
      </c>
      <c r="P13" s="4" t="s">
        <v>981</v>
      </c>
      <c r="Q13" s="5">
        <v>1</v>
      </c>
      <c r="R13" s="4" t="s">
        <v>960</v>
      </c>
      <c r="S13" s="84">
        <f>INDEX(PARÂMETROS!$B$83:$B$101,MATCH($B13,PARÂMETROS!$A$83:$A$101,0))</f>
        <v>142.19999999999999</v>
      </c>
      <c r="T13" s="4" t="s">
        <v>982</v>
      </c>
      <c r="U13" s="4" t="s">
        <v>983</v>
      </c>
      <c r="V13" s="5">
        <v>1</v>
      </c>
      <c r="W13" s="4" t="s">
        <v>963</v>
      </c>
      <c r="X13" s="68">
        <f>INDEX(PARÂMETROS!$C$83:$C$101,MATCH($B13,PARÂMETROS!$A$83:$A$101,0))</f>
        <v>56</v>
      </c>
      <c r="Y13" s="85">
        <f t="shared" si="4"/>
        <v>112</v>
      </c>
      <c r="Z13" s="86">
        <f t="shared" si="15"/>
        <v>0.65100000000000002</v>
      </c>
      <c r="AA13" s="86">
        <f>2*0.651</f>
        <v>1.302</v>
      </c>
      <c r="AB13" s="6">
        <f>Z13*PARÂMETROS!$E$6</f>
        <v>25.994430000000001</v>
      </c>
      <c r="AC13" s="85">
        <f t="shared" si="5"/>
        <v>51.988860000000003</v>
      </c>
      <c r="AD13" s="4" t="s">
        <v>982</v>
      </c>
      <c r="AE13" s="4" t="s">
        <v>983</v>
      </c>
      <c r="AF13" s="5">
        <v>1</v>
      </c>
      <c r="AG13" s="4" t="s">
        <v>963</v>
      </c>
      <c r="AH13" s="68">
        <f>INDEX(PARÂMETROS!$D$83:$D$101,MATCH($B13,PARÂMETROS!$A$83:$A$101,0))</f>
        <v>56</v>
      </c>
      <c r="AI13" s="85">
        <f t="shared" si="6"/>
        <v>112</v>
      </c>
      <c r="AJ13" s="96" t="s">
        <v>964</v>
      </c>
      <c r="AK13" s="96" t="s">
        <v>980</v>
      </c>
      <c r="AL13" s="88">
        <v>16</v>
      </c>
      <c r="AM13" s="97">
        <f>INDEX(PARÂMETROS!$E$83:$E$101,MATCH($B13,PARÂMETROS!$A$83:$A$101,0))</f>
        <v>10.5</v>
      </c>
      <c r="AN13" s="90">
        <f t="shared" si="16"/>
        <v>168</v>
      </c>
      <c r="AO13" s="98" t="s">
        <v>966</v>
      </c>
      <c r="AP13" s="98" t="s">
        <v>967</v>
      </c>
      <c r="AQ13" s="88">
        <v>16</v>
      </c>
      <c r="AR13" s="97">
        <f>INDEX(PARÂMETROS!$F$83:$F$101,MATCH($B13,PARÂMETROS!$A$83:$A$101,0))</f>
        <v>0.6</v>
      </c>
      <c r="AS13" s="90">
        <f t="shared" si="17"/>
        <v>9.6</v>
      </c>
      <c r="AT13" s="98" t="s">
        <v>968</v>
      </c>
      <c r="AU13" s="98" t="s">
        <v>967</v>
      </c>
      <c r="AV13" s="88">
        <v>16</v>
      </c>
      <c r="AW13" s="97">
        <f>INDEX(PARÂMETROS!$G$83:$G$101,MATCH($B13,PARÂMETROS!$A$83:$A$101,0))</f>
        <v>0.8</v>
      </c>
      <c r="AX13" s="90">
        <f t="shared" si="18"/>
        <v>12.8</v>
      </c>
      <c r="AY13" s="91">
        <f t="shared" si="7"/>
        <v>190.77454266666663</v>
      </c>
      <c r="AZ13" s="91">
        <f t="shared" si="8"/>
        <v>418.18885999999998</v>
      </c>
      <c r="BA13" s="91">
        <f t="shared" si="9"/>
        <v>190.4</v>
      </c>
      <c r="BB13" s="92">
        <f t="shared" si="10"/>
        <v>799.36340266666662</v>
      </c>
      <c r="BC13" s="6">
        <f>PARÂMETROS!$H$3</f>
        <v>40</v>
      </c>
      <c r="BD13" s="93">
        <v>0.195138888888889</v>
      </c>
      <c r="BE13" s="6">
        <f t="shared" si="11"/>
        <v>187.33333333333343</v>
      </c>
      <c r="BF13" s="5">
        <v>1</v>
      </c>
      <c r="BG13" s="90">
        <f t="shared" si="12"/>
        <v>187.33333333333343</v>
      </c>
      <c r="BH13" s="94">
        <f t="shared" si="13"/>
        <v>986.6967360000001</v>
      </c>
      <c r="BI13" s="6">
        <v>120</v>
      </c>
      <c r="BJ13" s="95">
        <f t="shared" si="14"/>
        <v>1106.6967360000001</v>
      </c>
    </row>
    <row r="14" spans="1:62" ht="25.5" customHeight="1" x14ac:dyDescent="0.3">
      <c r="A14" s="79" t="s">
        <v>66</v>
      </c>
      <c r="B14" s="79">
        <v>16</v>
      </c>
      <c r="C14" s="80"/>
      <c r="D14" s="81">
        <f>IFERROR(SUMIFS('PU CAST'!$AI$10:$AI$150,'PU CAST'!$AA$10:$AA$150,"COPO CONICO",'PU CAST'!$AK$10:$AK$150,$B14),0)</f>
        <v>348.05781666666655</v>
      </c>
      <c r="E14" s="82">
        <f t="shared" si="0"/>
        <v>0</v>
      </c>
      <c r="F14" s="80"/>
      <c r="G14" s="81">
        <f>IFERROR(SUMIFS('PU CAST'!$AI$10:$AI$150,'PU CAST'!$AA$10:$AA$150,"DS",'PU CAST'!$AK$10:$AK$150,$B14),0)</f>
        <v>139.14824622666666</v>
      </c>
      <c r="H14" s="82">
        <f t="shared" si="1"/>
        <v>0</v>
      </c>
      <c r="I14" s="80"/>
      <c r="J14" s="81">
        <f>IFERROR(SUMIFS('PU CAST'!$AI$10:$AI$150,'PU CAST'!$AA$10:$AA$150,"DG",'PU CAST'!$AK$10:$AK$150,$B14),0)</f>
        <v>105.44980966666667</v>
      </c>
      <c r="K14" s="82">
        <f t="shared" si="2"/>
        <v>0</v>
      </c>
      <c r="L14" s="83">
        <v>4</v>
      </c>
      <c r="M14" s="81">
        <f>IFERROR(SUMIFS('PU CAST'!$AI$10:$AI$150,'PU CAST'!$AA$10:$AA$150,"DE",'PU CAST'!$AK$10:$AK$150,$B14),0)</f>
        <v>56.974998666666657</v>
      </c>
      <c r="N14" s="82">
        <f t="shared" si="3"/>
        <v>227.89999466666663</v>
      </c>
      <c r="O14" s="4" t="s">
        <v>851</v>
      </c>
      <c r="P14" s="4" t="s">
        <v>984</v>
      </c>
      <c r="Q14" s="5">
        <v>1</v>
      </c>
      <c r="R14" s="4" t="s">
        <v>960</v>
      </c>
      <c r="S14" s="84">
        <f>INDEX(PARÂMETROS!$B$83:$B$101,MATCH($B14,PARÂMETROS!$A$83:$A$101,0))</f>
        <v>158.4</v>
      </c>
      <c r="T14" s="4" t="s">
        <v>985</v>
      </c>
      <c r="U14" s="4" t="s">
        <v>986</v>
      </c>
      <c r="V14" s="5">
        <v>1</v>
      </c>
      <c r="W14" s="4" t="s">
        <v>963</v>
      </c>
      <c r="X14" s="68">
        <f>INDEX(PARÂMETROS!$C$83:$C$101,MATCH($B14,PARÂMETROS!$A$83:$A$101,0))</f>
        <v>60</v>
      </c>
      <c r="Y14" s="85">
        <f t="shared" si="4"/>
        <v>120</v>
      </c>
      <c r="Z14" s="86">
        <f t="shared" si="15"/>
        <v>1.028</v>
      </c>
      <c r="AA14" s="86">
        <f>2*1.028</f>
        <v>2.056</v>
      </c>
      <c r="AB14" s="6">
        <f>Z14*PARÂMETROS!$E$6</f>
        <v>41.04804</v>
      </c>
      <c r="AC14" s="85">
        <f t="shared" si="5"/>
        <v>82.096080000000001</v>
      </c>
      <c r="AD14" s="4" t="s">
        <v>985</v>
      </c>
      <c r="AE14" s="4" t="s">
        <v>986</v>
      </c>
      <c r="AF14" s="5">
        <v>1</v>
      </c>
      <c r="AG14" s="4" t="s">
        <v>963</v>
      </c>
      <c r="AH14" s="68">
        <f>INDEX(PARÂMETROS!$D$83:$D$101,MATCH($B14,PARÂMETROS!$A$83:$A$101,0))</f>
        <v>60</v>
      </c>
      <c r="AI14" s="85">
        <f t="shared" si="6"/>
        <v>120</v>
      </c>
      <c r="AJ14" s="96" t="s">
        <v>964</v>
      </c>
      <c r="AK14" s="96" t="s">
        <v>987</v>
      </c>
      <c r="AL14" s="88">
        <v>16</v>
      </c>
      <c r="AM14" s="97">
        <f>INDEX(PARÂMETROS!$E$83:$E$101,MATCH($B14,PARÂMETROS!$A$83:$A$101,0))</f>
        <v>12</v>
      </c>
      <c r="AN14" s="90">
        <f t="shared" si="16"/>
        <v>192</v>
      </c>
      <c r="AO14" s="98" t="s">
        <v>966</v>
      </c>
      <c r="AP14" s="98" t="s">
        <v>967</v>
      </c>
      <c r="AQ14" s="88">
        <v>16</v>
      </c>
      <c r="AR14" s="97">
        <f>INDEX(PARÂMETROS!$F$83:$F$101,MATCH($B14,PARÂMETROS!$A$83:$A$101,0))</f>
        <v>0.6</v>
      </c>
      <c r="AS14" s="90">
        <f t="shared" si="17"/>
        <v>9.6</v>
      </c>
      <c r="AT14" s="98" t="s">
        <v>968</v>
      </c>
      <c r="AU14" s="98" t="s">
        <v>967</v>
      </c>
      <c r="AV14" s="88">
        <v>16</v>
      </c>
      <c r="AW14" s="97">
        <f>INDEX(PARÂMETROS!$G$83:$G$101,MATCH($B14,PARÂMETROS!$A$83:$A$101,0))</f>
        <v>0.8</v>
      </c>
      <c r="AX14" s="90">
        <f t="shared" si="18"/>
        <v>12.8</v>
      </c>
      <c r="AY14" s="91">
        <f t="shared" si="7"/>
        <v>227.89999466666663</v>
      </c>
      <c r="AZ14" s="91">
        <f t="shared" si="8"/>
        <v>480.49608000000001</v>
      </c>
      <c r="BA14" s="91">
        <f t="shared" si="9"/>
        <v>214.4</v>
      </c>
      <c r="BB14" s="92">
        <f t="shared" si="10"/>
        <v>922.79607466666664</v>
      </c>
      <c r="BC14" s="6">
        <f>PARÂMETROS!$H$3</f>
        <v>40</v>
      </c>
      <c r="BD14" s="93">
        <v>0.390277777777778</v>
      </c>
      <c r="BE14" s="6">
        <f t="shared" si="11"/>
        <v>374.66666666666686</v>
      </c>
      <c r="BF14" s="5">
        <v>1</v>
      </c>
      <c r="BG14" s="90">
        <f t="shared" si="12"/>
        <v>374.66666666666686</v>
      </c>
      <c r="BH14" s="94">
        <f t="shared" si="13"/>
        <v>1297.4627413333335</v>
      </c>
      <c r="BI14" s="6">
        <v>120</v>
      </c>
      <c r="BJ14" s="95">
        <f t="shared" si="14"/>
        <v>1417.4627413333335</v>
      </c>
    </row>
    <row r="15" spans="1:62" ht="25.5" customHeight="1" x14ac:dyDescent="0.3">
      <c r="A15" s="79" t="s">
        <v>66</v>
      </c>
      <c r="B15" s="79">
        <v>18</v>
      </c>
      <c r="C15" s="80"/>
      <c r="D15" s="81">
        <f>IFERROR(SUMIFS('PU CAST'!$AI$10:$AI$150,'PU CAST'!$AA$10:$AA$150,"COPO CONICO",'PU CAST'!$AK$10:$AK$150,$B15),0)</f>
        <v>369.92586666666659</v>
      </c>
      <c r="E15" s="82">
        <f t="shared" si="0"/>
        <v>0</v>
      </c>
      <c r="F15" s="80"/>
      <c r="G15" s="81">
        <f>IFERROR(SUMIFS('PU CAST'!$AI$10:$AI$150,'PU CAST'!$AA$10:$AA$150,"DS",'PU CAST'!$AK$10:$AK$150,$B15),0)</f>
        <v>177.60689468666664</v>
      </c>
      <c r="H15" s="82">
        <f t="shared" si="1"/>
        <v>0</v>
      </c>
      <c r="I15" s="80"/>
      <c r="J15" s="81">
        <f>IFERROR(SUMIFS('PU CAST'!$AI$10:$AI$150,'PU CAST'!$AA$10:$AA$150,"DG",'PU CAST'!$AK$10:$AK$150,$B15),0)</f>
        <v>119.90116266666666</v>
      </c>
      <c r="K15" s="82">
        <f t="shared" si="2"/>
        <v>0</v>
      </c>
      <c r="L15" s="83">
        <v>4</v>
      </c>
      <c r="M15" s="81">
        <f>IFERROR(SUMIFS('PU CAST'!$AI$10:$AI$150,'PU CAST'!$AA$10:$AA$150,"DE",'PU CAST'!$AK$10:$AK$150,$B15),0)</f>
        <v>63.400557666666657</v>
      </c>
      <c r="N15" s="82">
        <f t="shared" si="3"/>
        <v>253.60223066666663</v>
      </c>
      <c r="O15" s="4" t="s">
        <v>852</v>
      </c>
      <c r="P15" s="4" t="s">
        <v>988</v>
      </c>
      <c r="Q15" s="5">
        <v>1</v>
      </c>
      <c r="R15" s="4" t="s">
        <v>960</v>
      </c>
      <c r="S15" s="84">
        <f>INDEX(PARÂMETROS!$B$83:$B$101,MATCH($B15,PARÂMETROS!$A$83:$A$101,0))</f>
        <v>319.2</v>
      </c>
      <c r="T15" s="4" t="s">
        <v>989</v>
      </c>
      <c r="U15" s="4" t="s">
        <v>990</v>
      </c>
      <c r="V15" s="5">
        <v>1</v>
      </c>
      <c r="W15" s="4" t="s">
        <v>963</v>
      </c>
      <c r="X15" s="68">
        <f>INDEX(PARÂMETROS!$C$83:$C$101,MATCH($B15,PARÂMETROS!$A$83:$A$101,0))</f>
        <v>82</v>
      </c>
      <c r="Y15" s="85">
        <f t="shared" si="4"/>
        <v>164</v>
      </c>
      <c r="Z15" s="86">
        <f t="shared" si="15"/>
        <v>1.2889999999999999</v>
      </c>
      <c r="AA15" s="86">
        <f>2*1.289</f>
        <v>2.5779999999999998</v>
      </c>
      <c r="AB15" s="6">
        <f>Z15*PARÂMETROS!$E$6</f>
        <v>51.469769999999997</v>
      </c>
      <c r="AC15" s="85">
        <f t="shared" si="5"/>
        <v>102.93953999999999</v>
      </c>
      <c r="AD15" s="4" t="s">
        <v>989</v>
      </c>
      <c r="AE15" s="4" t="s">
        <v>990</v>
      </c>
      <c r="AF15" s="5">
        <v>1</v>
      </c>
      <c r="AG15" s="4" t="s">
        <v>963</v>
      </c>
      <c r="AH15" s="68">
        <f>INDEX(PARÂMETROS!$D$83:$D$101,MATCH($B15,PARÂMETROS!$A$83:$A$101,0))</f>
        <v>82</v>
      </c>
      <c r="AI15" s="85">
        <f t="shared" si="6"/>
        <v>164</v>
      </c>
      <c r="AJ15" s="96" t="s">
        <v>964</v>
      </c>
      <c r="AK15" s="96" t="s">
        <v>991</v>
      </c>
      <c r="AL15" s="88">
        <v>16</v>
      </c>
      <c r="AM15" s="97">
        <f>INDEX(PARÂMETROS!$E$83:$E$101,MATCH($B15,PARÂMETROS!$A$83:$A$101,0))</f>
        <v>13</v>
      </c>
      <c r="AN15" s="90">
        <f t="shared" si="16"/>
        <v>208</v>
      </c>
      <c r="AO15" s="98" t="s">
        <v>966</v>
      </c>
      <c r="AP15" s="98" t="s">
        <v>967</v>
      </c>
      <c r="AQ15" s="88">
        <v>16</v>
      </c>
      <c r="AR15" s="97">
        <f>INDEX(PARÂMETROS!$F$83:$F$101,MATCH($B15,PARÂMETROS!$A$83:$A$101,0))</f>
        <v>0.6</v>
      </c>
      <c r="AS15" s="90">
        <f t="shared" si="17"/>
        <v>9.6</v>
      </c>
      <c r="AT15" s="98" t="s">
        <v>968</v>
      </c>
      <c r="AU15" s="98" t="s">
        <v>967</v>
      </c>
      <c r="AV15" s="88">
        <v>16</v>
      </c>
      <c r="AW15" s="97">
        <f>INDEX(PARÂMETROS!$G$83:$G$101,MATCH($B15,PARÂMETROS!$A$83:$A$101,0))</f>
        <v>0.8</v>
      </c>
      <c r="AX15" s="90">
        <f t="shared" si="18"/>
        <v>12.8</v>
      </c>
      <c r="AY15" s="91">
        <f t="shared" si="7"/>
        <v>253.60223066666663</v>
      </c>
      <c r="AZ15" s="91">
        <f t="shared" si="8"/>
        <v>750.13954000000001</v>
      </c>
      <c r="BA15" s="91">
        <f t="shared" si="9"/>
        <v>230.4</v>
      </c>
      <c r="BB15" s="92">
        <f t="shared" si="10"/>
        <v>1234.1417706666666</v>
      </c>
      <c r="BC15" s="6">
        <f>PARÂMETROS!$H$3</f>
        <v>40</v>
      </c>
      <c r="BD15" s="93">
        <v>0.390277777777778</v>
      </c>
      <c r="BE15" s="6">
        <f t="shared" si="11"/>
        <v>374.66666666666686</v>
      </c>
      <c r="BF15" s="5">
        <v>1</v>
      </c>
      <c r="BG15" s="90">
        <f t="shared" si="12"/>
        <v>374.66666666666686</v>
      </c>
      <c r="BH15" s="94">
        <f t="shared" si="13"/>
        <v>1608.8084373333336</v>
      </c>
      <c r="BI15" s="6">
        <v>120</v>
      </c>
      <c r="BJ15" s="95">
        <f t="shared" si="14"/>
        <v>1728.8084373333336</v>
      </c>
    </row>
    <row r="16" spans="1:62" ht="25.5" customHeight="1" x14ac:dyDescent="0.3">
      <c r="A16" s="79" t="s">
        <v>66</v>
      </c>
      <c r="B16" s="79">
        <v>20</v>
      </c>
      <c r="C16" s="80"/>
      <c r="D16" s="81">
        <f>IFERROR(SUMIFS('PU CAST'!$AI$10:$AI$150,'PU CAST'!$AA$10:$AA$150,"COPO CONICO",'PU CAST'!$AK$10:$AK$150,$B16),0)</f>
        <v>439.1746916666666</v>
      </c>
      <c r="E16" s="82">
        <f t="shared" si="0"/>
        <v>0</v>
      </c>
      <c r="F16" s="80"/>
      <c r="G16" s="81">
        <f>IFERROR(SUMIFS('PU CAST'!$AI$10:$AI$150,'PU CAST'!$AA$10:$AA$150,"DS",'PU CAST'!$AK$10:$AK$150,$B16),0)</f>
        <v>201.66993488666665</v>
      </c>
      <c r="H16" s="82">
        <f t="shared" si="1"/>
        <v>0</v>
      </c>
      <c r="I16" s="80"/>
      <c r="J16" s="81">
        <f>IFERROR(SUMIFS('PU CAST'!$AI$10:$AI$150,'PU CAST'!$AA$10:$AA$150,"DG",'PU CAST'!$AK$10:$AK$150,$B16),0)</f>
        <v>132.21066266666665</v>
      </c>
      <c r="K16" s="82">
        <f t="shared" si="2"/>
        <v>0</v>
      </c>
      <c r="L16" s="83">
        <v>4</v>
      </c>
      <c r="M16" s="81">
        <f>IFERROR(SUMIFS('PU CAST'!$AI$10:$AI$150,'PU CAST'!$AA$10:$AA$150,"DE",'PU CAST'!$AK$10:$AK$150,$B16),0)</f>
        <v>70.195401666666669</v>
      </c>
      <c r="N16" s="82">
        <f t="shared" si="3"/>
        <v>280.78160666666668</v>
      </c>
      <c r="O16" s="4" t="s">
        <v>853</v>
      </c>
      <c r="P16" s="4" t="s">
        <v>992</v>
      </c>
      <c r="Q16" s="5">
        <v>1</v>
      </c>
      <c r="R16" s="4" t="s">
        <v>960</v>
      </c>
      <c r="S16" s="84">
        <f>INDEX(PARÂMETROS!$B$83:$B$101,MATCH($B16,PARÂMETROS!$A$83:$A$101,0))</f>
        <v>524.4</v>
      </c>
      <c r="T16" s="4" t="s">
        <v>993</v>
      </c>
      <c r="U16" s="4" t="s">
        <v>994</v>
      </c>
      <c r="V16" s="5">
        <v>1</v>
      </c>
      <c r="W16" s="4" t="s">
        <v>963</v>
      </c>
      <c r="X16" s="68">
        <f>INDEX(PARÂMETROS!$C$83:$C$101,MATCH($B16,PARÂMETROS!$A$83:$A$101,0))</f>
        <v>113</v>
      </c>
      <c r="Y16" s="85">
        <f t="shared" si="4"/>
        <v>226</v>
      </c>
      <c r="Z16" s="86">
        <f t="shared" si="15"/>
        <v>1.5649999999999999</v>
      </c>
      <c r="AA16" s="86">
        <f>2*1.565</f>
        <v>3.13</v>
      </c>
      <c r="AB16" s="6">
        <f>Z16*PARÂMETROS!$E$6</f>
        <v>62.490449999999996</v>
      </c>
      <c r="AC16" s="85">
        <f t="shared" si="5"/>
        <v>124.98089999999999</v>
      </c>
      <c r="AD16" s="4" t="s">
        <v>993</v>
      </c>
      <c r="AE16" s="4" t="s">
        <v>994</v>
      </c>
      <c r="AF16" s="5">
        <v>1</v>
      </c>
      <c r="AG16" s="4" t="s">
        <v>963</v>
      </c>
      <c r="AH16" s="68">
        <f>INDEX(PARÂMETROS!$D$83:$D$101,MATCH($B16,PARÂMETROS!$A$83:$A$101,0))</f>
        <v>113</v>
      </c>
      <c r="AI16" s="85">
        <f t="shared" si="6"/>
        <v>226</v>
      </c>
      <c r="AJ16" s="96" t="s">
        <v>964</v>
      </c>
      <c r="AK16" s="96" t="s">
        <v>991</v>
      </c>
      <c r="AL16" s="88">
        <v>24</v>
      </c>
      <c r="AM16" s="97">
        <f>INDEX(PARÂMETROS!$E$83:$E$101,MATCH($B16,PARÂMETROS!$A$83:$A$101,0))</f>
        <v>13</v>
      </c>
      <c r="AN16" s="90">
        <f t="shared" si="16"/>
        <v>312</v>
      </c>
      <c r="AO16" s="98" t="s">
        <v>966</v>
      </c>
      <c r="AP16" s="98" t="s">
        <v>967</v>
      </c>
      <c r="AQ16" s="88">
        <v>24</v>
      </c>
      <c r="AR16" s="97">
        <f>INDEX(PARÂMETROS!$F$83:$F$101,MATCH($B16,PARÂMETROS!$A$83:$A$101,0))</f>
        <v>0.6</v>
      </c>
      <c r="AS16" s="90">
        <f t="shared" si="17"/>
        <v>14.399999999999999</v>
      </c>
      <c r="AT16" s="98" t="s">
        <v>968</v>
      </c>
      <c r="AU16" s="98" t="s">
        <v>967</v>
      </c>
      <c r="AV16" s="88">
        <v>24</v>
      </c>
      <c r="AW16" s="97">
        <f>INDEX(PARÂMETROS!$G$83:$G$101,MATCH($B16,PARÂMETROS!$A$83:$A$101,0))</f>
        <v>0.8</v>
      </c>
      <c r="AX16" s="90">
        <f t="shared" si="18"/>
        <v>19.200000000000003</v>
      </c>
      <c r="AY16" s="91">
        <f t="shared" si="7"/>
        <v>280.78160666666668</v>
      </c>
      <c r="AZ16" s="91">
        <f t="shared" si="8"/>
        <v>1101.3809000000001</v>
      </c>
      <c r="BA16" s="91">
        <f t="shared" si="9"/>
        <v>345.59999999999997</v>
      </c>
      <c r="BB16" s="92">
        <f t="shared" si="10"/>
        <v>1727.7625066666667</v>
      </c>
      <c r="BC16" s="6">
        <f>PARÂMETROS!$H$3</f>
        <v>40</v>
      </c>
      <c r="BD16" s="93">
        <v>0.390277777777778</v>
      </c>
      <c r="BE16" s="6">
        <f t="shared" si="11"/>
        <v>374.66666666666686</v>
      </c>
      <c r="BF16" s="5">
        <v>1</v>
      </c>
      <c r="BG16" s="90">
        <f t="shared" si="12"/>
        <v>374.66666666666686</v>
      </c>
      <c r="BH16" s="94">
        <f t="shared" si="13"/>
        <v>2102.4291733333334</v>
      </c>
      <c r="BI16" s="6">
        <v>120</v>
      </c>
      <c r="BJ16" s="95">
        <f t="shared" si="14"/>
        <v>2222.4291733333334</v>
      </c>
    </row>
    <row r="17" spans="1:76" ht="25.5" customHeight="1" x14ac:dyDescent="0.3">
      <c r="A17" s="79" t="s">
        <v>66</v>
      </c>
      <c r="B17" s="79">
        <v>22</v>
      </c>
      <c r="C17" s="80"/>
      <c r="D17" s="81">
        <f>IFERROR(SUMIFS('PU CAST'!$AI$10:$AI$150,'PU CAST'!$AA$10:$AA$150,"COPO CONICO",'PU CAST'!$AK$10:$AK$150,$B17),0)</f>
        <v>570.38299166666661</v>
      </c>
      <c r="E17" s="82">
        <f t="shared" si="0"/>
        <v>0</v>
      </c>
      <c r="F17" s="80"/>
      <c r="G17" s="81">
        <f>IFERROR(SUMIFS('PU CAST'!$AI$10:$AI$150,'PU CAST'!$AA$10:$AA$150,"DS",'PU CAST'!$AK$10:$AK$150,$B17),0)</f>
        <v>244.89897552666665</v>
      </c>
      <c r="H17" s="82">
        <f t="shared" si="1"/>
        <v>0</v>
      </c>
      <c r="I17" s="80"/>
      <c r="J17" s="81">
        <f>IFERROR(SUMIFS('PU CAST'!$AI$10:$AI$150,'PU CAST'!$AA$10:$AA$150,"DG",'PU CAST'!$AK$10:$AK$150,$B17),0)</f>
        <v>167.44045166666666</v>
      </c>
      <c r="K17" s="82">
        <f t="shared" si="2"/>
        <v>0</v>
      </c>
      <c r="L17" s="83">
        <v>4</v>
      </c>
      <c r="M17" s="81">
        <f>IFERROR(SUMIFS('PU CAST'!$AI$10:$AI$150,'PU CAST'!$AA$10:$AA$150,"DE",'PU CAST'!$AK$10:$AK$150,$B17),0)</f>
        <v>95.676066666666657</v>
      </c>
      <c r="N17" s="82">
        <f t="shared" si="3"/>
        <v>382.70426666666663</v>
      </c>
      <c r="O17" s="4" t="s">
        <v>853</v>
      </c>
      <c r="P17" s="4" t="s">
        <v>995</v>
      </c>
      <c r="Q17" s="5">
        <v>1</v>
      </c>
      <c r="R17" s="4" t="s">
        <v>960</v>
      </c>
      <c r="S17" s="84">
        <f>INDEX(PARÂMETROS!$B$83:$B$101,MATCH($B17,PARÂMETROS!$A$83:$A$101,0))</f>
        <v>570</v>
      </c>
      <c r="T17" s="4" t="s">
        <v>996</v>
      </c>
      <c r="U17" s="4" t="s">
        <v>997</v>
      </c>
      <c r="V17" s="5">
        <v>1</v>
      </c>
      <c r="W17" s="4" t="s">
        <v>963</v>
      </c>
      <c r="X17" s="68">
        <f>INDEX(PARÂMETROS!$C$83:$C$101,MATCH($B17,PARÂMETROS!$A$83:$A$101,0))</f>
        <v>152</v>
      </c>
      <c r="Y17" s="85">
        <f t="shared" si="4"/>
        <v>304</v>
      </c>
      <c r="Z17" s="86">
        <f t="shared" si="15"/>
        <v>2.6</v>
      </c>
      <c r="AA17" s="86">
        <f>2*2.6</f>
        <v>5.2</v>
      </c>
      <c r="AB17" s="6">
        <f>Z17*PARÂMETROS!$E$6</f>
        <v>103.818</v>
      </c>
      <c r="AC17" s="85">
        <f t="shared" si="5"/>
        <v>207.636</v>
      </c>
      <c r="AD17" s="4" t="s">
        <v>996</v>
      </c>
      <c r="AE17" s="4" t="s">
        <v>997</v>
      </c>
      <c r="AF17" s="5">
        <v>1</v>
      </c>
      <c r="AG17" s="4" t="s">
        <v>963</v>
      </c>
      <c r="AH17" s="68">
        <f>INDEX(PARÂMETROS!$D$83:$D$101,MATCH($B17,PARÂMETROS!$A$83:$A$101,0))</f>
        <v>152</v>
      </c>
      <c r="AI17" s="85">
        <f t="shared" si="6"/>
        <v>304</v>
      </c>
      <c r="AJ17" s="96" t="s">
        <v>964</v>
      </c>
      <c r="AK17" s="96" t="s">
        <v>991</v>
      </c>
      <c r="AL17" s="88">
        <v>28</v>
      </c>
      <c r="AM17" s="97">
        <f>INDEX(PARÂMETROS!$E$83:$E$101,MATCH($B17,PARÂMETROS!$A$83:$A$101,0))</f>
        <v>13</v>
      </c>
      <c r="AN17" s="90">
        <f t="shared" si="16"/>
        <v>364</v>
      </c>
      <c r="AO17" s="98" t="s">
        <v>966</v>
      </c>
      <c r="AP17" s="98" t="s">
        <v>967</v>
      </c>
      <c r="AQ17" s="88">
        <v>28</v>
      </c>
      <c r="AR17" s="97">
        <f>INDEX(PARÂMETROS!$F$83:$F$101,MATCH($B17,PARÂMETROS!$A$83:$A$101,0))</f>
        <v>0.6</v>
      </c>
      <c r="AS17" s="90">
        <f t="shared" si="17"/>
        <v>16.8</v>
      </c>
      <c r="AT17" s="98" t="s">
        <v>968</v>
      </c>
      <c r="AU17" s="98" t="s">
        <v>967</v>
      </c>
      <c r="AV17" s="88">
        <v>28</v>
      </c>
      <c r="AW17" s="97">
        <f>INDEX(PARÂMETROS!$G$83:$G$101,MATCH($B17,PARÂMETROS!$A$83:$A$101,0))</f>
        <v>0.8</v>
      </c>
      <c r="AX17" s="90">
        <f t="shared" si="18"/>
        <v>22.400000000000002</v>
      </c>
      <c r="AY17" s="91">
        <f t="shared" si="7"/>
        <v>382.70426666666663</v>
      </c>
      <c r="AZ17" s="91">
        <f t="shared" si="8"/>
        <v>1385.636</v>
      </c>
      <c r="BA17" s="91">
        <f t="shared" si="9"/>
        <v>403.2</v>
      </c>
      <c r="BB17" s="92">
        <f t="shared" si="10"/>
        <v>2171.5402666666664</v>
      </c>
      <c r="BC17" s="6">
        <f>PARÂMETROS!$H$3</f>
        <v>40</v>
      </c>
      <c r="BD17" s="93">
        <v>0.390277777777778</v>
      </c>
      <c r="BE17" s="6">
        <f t="shared" si="11"/>
        <v>374.66666666666686</v>
      </c>
      <c r="BF17" s="5">
        <v>1</v>
      </c>
      <c r="BG17" s="90">
        <f t="shared" si="12"/>
        <v>374.66666666666686</v>
      </c>
      <c r="BH17" s="94">
        <f t="shared" si="13"/>
        <v>2546.2069333333334</v>
      </c>
      <c r="BI17" s="6">
        <v>120</v>
      </c>
      <c r="BJ17" s="95">
        <f t="shared" si="14"/>
        <v>2666.2069333333334</v>
      </c>
    </row>
    <row r="18" spans="1:76" ht="25.5" customHeight="1" x14ac:dyDescent="0.3">
      <c r="A18" s="79" t="s">
        <v>66</v>
      </c>
      <c r="B18" s="79">
        <v>24</v>
      </c>
      <c r="C18" s="80"/>
      <c r="D18" s="81">
        <f>IFERROR(SUMIFS('PU CAST'!$AI$10:$AI$150,'PU CAST'!$AA$10:$AA$150,"COPO CONICO",'PU CAST'!$AK$10:$AK$150,$B18),0)</f>
        <v>581.31701666666652</v>
      </c>
      <c r="E18" s="82">
        <f t="shared" si="0"/>
        <v>0</v>
      </c>
      <c r="F18" s="80"/>
      <c r="G18" s="81">
        <f>IFERROR(SUMIFS('PU CAST'!$AI$10:$AI$150,'PU CAST'!$AA$10:$AA$150,"DS",'PU CAST'!$AK$10:$AK$150,$B18),0)</f>
        <v>332.20137400666658</v>
      </c>
      <c r="H18" s="82">
        <f t="shared" si="1"/>
        <v>0</v>
      </c>
      <c r="I18" s="80"/>
      <c r="J18" s="81">
        <f>IFERROR(SUMIFS('PU CAST'!$AI$10:$AI$150,'PU CAST'!$AA$10:$AA$150,"DG",'PU CAST'!$AK$10:$AK$150,$B18),0)</f>
        <v>288.66386166666666</v>
      </c>
      <c r="K18" s="82">
        <f t="shared" si="2"/>
        <v>0</v>
      </c>
      <c r="L18" s="83">
        <v>4</v>
      </c>
      <c r="M18" s="81">
        <f>IFERROR(SUMIFS('PU CAST'!$AI$10:$AI$150,'PU CAST'!$AA$10:$AA$150,"DE",'PU CAST'!$AK$10:$AK$150,$B18),0)</f>
        <v>101.01838966666666</v>
      </c>
      <c r="N18" s="82">
        <f t="shared" si="3"/>
        <v>404.07355866666666</v>
      </c>
      <c r="O18" s="4" t="s">
        <v>853</v>
      </c>
      <c r="P18" s="4" t="s">
        <v>998</v>
      </c>
      <c r="Q18" s="5">
        <v>1</v>
      </c>
      <c r="R18" s="4" t="s">
        <v>960</v>
      </c>
      <c r="S18" s="84">
        <f>INDEX(PARÂMETROS!$B$83:$B$101,MATCH($B18,PARÂMETROS!$A$83:$A$101,0))</f>
        <v>609.9</v>
      </c>
      <c r="T18" s="4" t="s">
        <v>999</v>
      </c>
      <c r="U18" s="4" t="s">
        <v>997</v>
      </c>
      <c r="V18" s="5">
        <v>1</v>
      </c>
      <c r="W18" s="4" t="s">
        <v>963</v>
      </c>
      <c r="X18" s="68">
        <f>INDEX(PARÂMETROS!$C$83:$C$101,MATCH($B18,PARÂMETROS!$A$83:$A$101,0))</f>
        <v>155</v>
      </c>
      <c r="Y18" s="85">
        <f t="shared" si="4"/>
        <v>310</v>
      </c>
      <c r="Z18" s="86">
        <f t="shared" si="15"/>
        <v>2.8170000000000002</v>
      </c>
      <c r="AA18" s="86">
        <f>2*2.817</f>
        <v>5.6340000000000003</v>
      </c>
      <c r="AB18" s="6">
        <f>Z18*PARÂMETROS!$E$6</f>
        <v>112.48281</v>
      </c>
      <c r="AC18" s="85">
        <f t="shared" si="5"/>
        <v>224.96562</v>
      </c>
      <c r="AD18" s="4" t="s">
        <v>999</v>
      </c>
      <c r="AE18" s="4" t="s">
        <v>997</v>
      </c>
      <c r="AF18" s="5">
        <v>1</v>
      </c>
      <c r="AG18" s="4" t="s">
        <v>963</v>
      </c>
      <c r="AH18" s="68">
        <f>INDEX(PARÂMETROS!$D$83:$D$101,MATCH($B18,PARÂMETROS!$A$83:$A$101,0))</f>
        <v>155</v>
      </c>
      <c r="AI18" s="85">
        <f t="shared" si="6"/>
        <v>310</v>
      </c>
      <c r="AJ18" s="96" t="s">
        <v>964</v>
      </c>
      <c r="AK18" s="96" t="s">
        <v>1000</v>
      </c>
      <c r="AL18" s="88">
        <v>32</v>
      </c>
      <c r="AM18" s="97">
        <f>INDEX(PARÂMETROS!$E$83:$E$101,MATCH($B18,PARÂMETROS!$A$83:$A$101,0))</f>
        <v>14.5</v>
      </c>
      <c r="AN18" s="90">
        <f t="shared" si="16"/>
        <v>464</v>
      </c>
      <c r="AO18" s="98" t="s">
        <v>966</v>
      </c>
      <c r="AP18" s="98" t="s">
        <v>967</v>
      </c>
      <c r="AQ18" s="88">
        <v>32</v>
      </c>
      <c r="AR18" s="97">
        <f>INDEX(PARÂMETROS!$F$83:$F$101,MATCH($B18,PARÂMETROS!$A$83:$A$101,0))</f>
        <v>0.6</v>
      </c>
      <c r="AS18" s="90">
        <f t="shared" si="17"/>
        <v>19.2</v>
      </c>
      <c r="AT18" s="98" t="s">
        <v>968</v>
      </c>
      <c r="AU18" s="98" t="s">
        <v>967</v>
      </c>
      <c r="AV18" s="88">
        <v>32</v>
      </c>
      <c r="AW18" s="97">
        <f>INDEX(PARÂMETROS!$G$83:$G$101,MATCH($B18,PARÂMETROS!$A$83:$A$101,0))</f>
        <v>0.8</v>
      </c>
      <c r="AX18" s="90">
        <f t="shared" si="18"/>
        <v>25.6</v>
      </c>
      <c r="AY18" s="91">
        <f t="shared" si="7"/>
        <v>404.07355866666666</v>
      </c>
      <c r="AZ18" s="91">
        <f t="shared" si="8"/>
        <v>1454.86562</v>
      </c>
      <c r="BA18" s="91">
        <f t="shared" si="9"/>
        <v>508.8</v>
      </c>
      <c r="BB18" s="92">
        <f t="shared" si="10"/>
        <v>2367.7391786666667</v>
      </c>
      <c r="BC18" s="6">
        <f>PARÂMETROS!$H$3</f>
        <v>40</v>
      </c>
      <c r="BD18" s="93">
        <v>0.390277777777778</v>
      </c>
      <c r="BE18" s="6">
        <f t="shared" si="11"/>
        <v>374.66666666666686</v>
      </c>
      <c r="BF18" s="5">
        <v>1</v>
      </c>
      <c r="BG18" s="90">
        <f t="shared" si="12"/>
        <v>374.66666666666686</v>
      </c>
      <c r="BH18" s="94">
        <f t="shared" si="13"/>
        <v>2742.4058453333337</v>
      </c>
      <c r="BI18" s="6">
        <v>120</v>
      </c>
      <c r="BJ18" s="95">
        <f t="shared" si="14"/>
        <v>2862.4058453333337</v>
      </c>
    </row>
    <row r="19" spans="1:76" ht="25.5" customHeight="1" x14ac:dyDescent="0.3">
      <c r="A19" s="79" t="s">
        <v>66</v>
      </c>
      <c r="B19" s="79">
        <v>26</v>
      </c>
      <c r="C19" s="80"/>
      <c r="D19" s="81">
        <f>IFERROR(SUMIFS('PU CAST'!$AI$10:$AI$150,'PU CAST'!$AA$10:$AA$150,"COPO CONICO",'PU CAST'!$AK$10:$AK$150,$B19),0)</f>
        <v>883.82504166666661</v>
      </c>
      <c r="E19" s="82">
        <f t="shared" si="0"/>
        <v>0</v>
      </c>
      <c r="F19" s="80"/>
      <c r="G19" s="81">
        <f>IFERROR(SUMIFS('PU CAST'!$AI$10:$AI$150,'PU CAST'!$AA$10:$AA$150,"DS",'PU CAST'!$AK$10:$AK$150,$B19),0)</f>
        <v>396.58056050666664</v>
      </c>
      <c r="H19" s="82">
        <f t="shared" si="1"/>
        <v>0</v>
      </c>
      <c r="I19" s="80"/>
      <c r="J19" s="81">
        <f>IFERROR(SUMIFS('PU CAST'!$AI$10:$AI$150,'PU CAST'!$AA$10:$AA$150,"DG",'PU CAST'!$AK$10:$AK$150,$B19),0)</f>
        <v>372.5182686666667</v>
      </c>
      <c r="K19" s="82">
        <f t="shared" si="2"/>
        <v>0</v>
      </c>
      <c r="L19" s="83">
        <v>4</v>
      </c>
      <c r="M19" s="81">
        <f>IFERROR(SUMIFS('PU CAST'!$AI$10:$AI$150,'PU CAST'!$AA$10:$AA$150,"DE",'PU CAST'!$AK$10:$AK$150,$B19),0)</f>
        <v>101.01838966666666</v>
      </c>
      <c r="N19" s="82">
        <f t="shared" si="3"/>
        <v>404.07355866666666</v>
      </c>
      <c r="O19" s="4" t="s">
        <v>853</v>
      </c>
      <c r="P19" s="4" t="s">
        <v>1001</v>
      </c>
      <c r="Q19" s="5">
        <v>1</v>
      </c>
      <c r="R19" s="4" t="s">
        <v>960</v>
      </c>
      <c r="S19" s="84">
        <f>INDEX(PARÂMETROS!$B$83:$B$101,MATCH($B19,PARÂMETROS!$A$83:$A$101,0))</f>
        <v>653.6</v>
      </c>
      <c r="T19" s="4" t="s">
        <v>1002</v>
      </c>
      <c r="U19" s="4" t="s">
        <v>1003</v>
      </c>
      <c r="V19" s="5">
        <v>1</v>
      </c>
      <c r="W19" s="4" t="s">
        <v>963</v>
      </c>
      <c r="X19" s="68">
        <f>INDEX(PARÂMETROS!$C$83:$C$101,MATCH($B19,PARÂMETROS!$A$83:$A$101,0))</f>
        <v>167</v>
      </c>
      <c r="Y19" s="85">
        <f t="shared" si="4"/>
        <v>334</v>
      </c>
      <c r="Z19" s="86">
        <f t="shared" si="15"/>
        <v>2.8170000000000002</v>
      </c>
      <c r="AA19" s="86">
        <f>2*2.817</f>
        <v>5.6340000000000003</v>
      </c>
      <c r="AB19" s="6">
        <f>Z19*PARÂMETROS!$E$6</f>
        <v>112.48281</v>
      </c>
      <c r="AC19" s="85">
        <f t="shared" si="5"/>
        <v>224.96562</v>
      </c>
      <c r="AD19" s="4" t="s">
        <v>1002</v>
      </c>
      <c r="AE19" s="4" t="s">
        <v>1003</v>
      </c>
      <c r="AF19" s="5">
        <v>1</v>
      </c>
      <c r="AG19" s="4" t="s">
        <v>963</v>
      </c>
      <c r="AH19" s="68">
        <f>INDEX(PARÂMETROS!$D$83:$D$101,MATCH($B19,PARÂMETROS!$A$83:$A$101,0))</f>
        <v>167</v>
      </c>
      <c r="AI19" s="85">
        <f t="shared" si="6"/>
        <v>334</v>
      </c>
      <c r="AJ19" s="96" t="s">
        <v>964</v>
      </c>
      <c r="AK19" s="96" t="s">
        <v>1000</v>
      </c>
      <c r="AL19" s="88">
        <v>32</v>
      </c>
      <c r="AM19" s="97">
        <f>INDEX(PARÂMETROS!$E$83:$E$101,MATCH($B19,PARÂMETROS!$A$83:$A$101,0))</f>
        <v>14.5</v>
      </c>
      <c r="AN19" s="90">
        <f t="shared" si="16"/>
        <v>464</v>
      </c>
      <c r="AO19" s="98" t="s">
        <v>966</v>
      </c>
      <c r="AP19" s="98" t="s">
        <v>967</v>
      </c>
      <c r="AQ19" s="88">
        <v>32</v>
      </c>
      <c r="AR19" s="97">
        <f>INDEX(PARÂMETROS!$F$83:$F$101,MATCH($B19,PARÂMETROS!$A$83:$A$101,0))</f>
        <v>0.6</v>
      </c>
      <c r="AS19" s="90">
        <f t="shared" si="17"/>
        <v>19.2</v>
      </c>
      <c r="AT19" s="98" t="s">
        <v>968</v>
      </c>
      <c r="AU19" s="98" t="s">
        <v>967</v>
      </c>
      <c r="AV19" s="88">
        <v>32</v>
      </c>
      <c r="AW19" s="97">
        <f>INDEX(PARÂMETROS!$G$83:$G$101,MATCH($B19,PARÂMETROS!$A$83:$A$101,0))</f>
        <v>0.8</v>
      </c>
      <c r="AX19" s="90">
        <f t="shared" si="18"/>
        <v>25.6</v>
      </c>
      <c r="AY19" s="91">
        <f t="shared" si="7"/>
        <v>404.07355866666666</v>
      </c>
      <c r="AZ19" s="91">
        <f t="shared" si="8"/>
        <v>1546.5656200000001</v>
      </c>
      <c r="BA19" s="91">
        <f t="shared" si="9"/>
        <v>508.8</v>
      </c>
      <c r="BB19" s="92">
        <f t="shared" si="10"/>
        <v>2459.439178666667</v>
      </c>
      <c r="BC19" s="6">
        <f>PARÂMETROS!$H$3</f>
        <v>40</v>
      </c>
      <c r="BD19" s="93">
        <v>0.390277777777778</v>
      </c>
      <c r="BE19" s="6">
        <f t="shared" si="11"/>
        <v>374.66666666666686</v>
      </c>
      <c r="BF19" s="5">
        <v>1</v>
      </c>
      <c r="BG19" s="90">
        <f t="shared" si="12"/>
        <v>374.66666666666686</v>
      </c>
      <c r="BH19" s="94">
        <f t="shared" si="13"/>
        <v>2834.1058453333339</v>
      </c>
      <c r="BI19" s="6">
        <v>120</v>
      </c>
      <c r="BJ19" s="95">
        <f t="shared" si="14"/>
        <v>2954.1058453333339</v>
      </c>
    </row>
    <row r="20" spans="1:76" ht="25.5" customHeight="1" x14ac:dyDescent="0.3">
      <c r="A20" s="79" t="s">
        <v>66</v>
      </c>
      <c r="B20" s="79">
        <v>28</v>
      </c>
      <c r="C20" s="80"/>
      <c r="D20" s="81">
        <f>IFERROR(SUMIFS('PU CAST'!$AI$10:$AI$150,'PU CAST'!$AA$10:$AA$150,"COPO CONICO",'PU CAST'!$AK$10:$AK$150,$B20),0)</f>
        <v>1047.8354166666668</v>
      </c>
      <c r="E20" s="82">
        <f t="shared" si="0"/>
        <v>0</v>
      </c>
      <c r="F20" s="80"/>
      <c r="G20" s="81">
        <f>IFERROR(SUMIFS('PU CAST'!$AI$10:$AI$150,'PU CAST'!$AA$10:$AA$150,"DS",'PU CAST'!$AK$10:$AK$150,$B20),0)</f>
        <v>449.81475996666666</v>
      </c>
      <c r="H20" s="82">
        <f t="shared" si="1"/>
        <v>0</v>
      </c>
      <c r="I20" s="80"/>
      <c r="J20" s="81">
        <f>IFERROR(SUMIFS('PU CAST'!$AI$10:$AI$150,'PU CAST'!$AA$10:$AA$150,"DG",'PU CAST'!$AK$10:$AK$150,$B20),0)</f>
        <v>488.30657766666673</v>
      </c>
      <c r="K20" s="82">
        <f t="shared" si="2"/>
        <v>0</v>
      </c>
      <c r="L20" s="83">
        <v>4</v>
      </c>
      <c r="M20" s="81">
        <f>IFERROR(SUMIFS('PU CAST'!$AI$10:$AI$150,'PU CAST'!$AA$10:$AA$150,"DE",'PU CAST'!$AK$10:$AK$150,$B20),0)</f>
        <v>112.41698666666665</v>
      </c>
      <c r="N20" s="82">
        <f t="shared" si="3"/>
        <v>449.66794666666658</v>
      </c>
      <c r="O20" s="4" t="s">
        <v>854</v>
      </c>
      <c r="P20" s="4" t="s">
        <v>1004</v>
      </c>
      <c r="Q20" s="5">
        <v>1</v>
      </c>
      <c r="R20" s="4" t="s">
        <v>960</v>
      </c>
      <c r="S20" s="84">
        <f>INDEX(PARÂMETROS!$B$83:$B$101,MATCH($B20,PARÂMETROS!$A$83:$A$101,0))</f>
        <v>1820</v>
      </c>
      <c r="T20" s="4" t="s">
        <v>1005</v>
      </c>
      <c r="U20" s="4" t="s">
        <v>1006</v>
      </c>
      <c r="V20" s="5">
        <v>1</v>
      </c>
      <c r="W20" s="4" t="s">
        <v>963</v>
      </c>
      <c r="X20" s="68">
        <f>INDEX(PARÂMETROS!$C$83:$C$101,MATCH($B20,PARÂMETROS!$A$83:$A$101,0))</f>
        <v>174</v>
      </c>
      <c r="Y20" s="85">
        <f t="shared" si="4"/>
        <v>348</v>
      </c>
      <c r="Z20" s="86">
        <f t="shared" si="15"/>
        <v>3.28</v>
      </c>
      <c r="AA20" s="86">
        <f>2*3.28</f>
        <v>6.56</v>
      </c>
      <c r="AB20" s="6">
        <f>Z20*PARÂMETROS!$E$6</f>
        <v>130.97039999999998</v>
      </c>
      <c r="AC20" s="85">
        <f t="shared" si="5"/>
        <v>261.94079999999997</v>
      </c>
      <c r="AD20" s="4" t="s">
        <v>1005</v>
      </c>
      <c r="AE20" s="4" t="s">
        <v>1006</v>
      </c>
      <c r="AF20" s="5">
        <v>1</v>
      </c>
      <c r="AG20" s="4" t="s">
        <v>963</v>
      </c>
      <c r="AH20" s="68">
        <f>INDEX(PARÂMETROS!$D$83:$D$101,MATCH($B20,PARÂMETROS!$A$83:$A$101,0))</f>
        <v>174</v>
      </c>
      <c r="AI20" s="85">
        <f t="shared" si="6"/>
        <v>348</v>
      </c>
      <c r="AJ20" s="96" t="s">
        <v>964</v>
      </c>
      <c r="AK20" s="96" t="s">
        <v>1007</v>
      </c>
      <c r="AL20" s="88">
        <v>32</v>
      </c>
      <c r="AM20" s="97">
        <f>INDEX(PARÂMETROS!$E$83:$E$101,MATCH($B20,PARÂMETROS!$A$83:$A$101,0))</f>
        <v>16.5</v>
      </c>
      <c r="AN20" s="90">
        <f t="shared" si="16"/>
        <v>528</v>
      </c>
      <c r="AO20" s="98" t="s">
        <v>966</v>
      </c>
      <c r="AP20" s="98" t="s">
        <v>967</v>
      </c>
      <c r="AQ20" s="88">
        <v>32</v>
      </c>
      <c r="AR20" s="97">
        <f>INDEX(PARÂMETROS!$F$83:$F$101,MATCH($B20,PARÂMETROS!$A$83:$A$101,0))</f>
        <v>0.6</v>
      </c>
      <c r="AS20" s="90">
        <f t="shared" si="17"/>
        <v>19.2</v>
      </c>
      <c r="AT20" s="98" t="s">
        <v>968</v>
      </c>
      <c r="AU20" s="98" t="s">
        <v>967</v>
      </c>
      <c r="AV20" s="88">
        <v>32</v>
      </c>
      <c r="AW20" s="97">
        <f>INDEX(PARÂMETROS!$G$83:$G$101,MATCH($B20,PARÂMETROS!$A$83:$A$101,0))</f>
        <v>0.8</v>
      </c>
      <c r="AX20" s="90">
        <f t="shared" si="18"/>
        <v>25.6</v>
      </c>
      <c r="AY20" s="91">
        <f t="shared" si="7"/>
        <v>449.66794666666658</v>
      </c>
      <c r="AZ20" s="91">
        <f t="shared" si="8"/>
        <v>2777.9407999999999</v>
      </c>
      <c r="BA20" s="91">
        <f t="shared" si="9"/>
        <v>572.80000000000007</v>
      </c>
      <c r="BB20" s="92">
        <f t="shared" si="10"/>
        <v>3800.4087466666665</v>
      </c>
      <c r="BC20" s="6">
        <f>PARÂMETROS!$H$3</f>
        <v>40</v>
      </c>
      <c r="BD20" s="93">
        <v>0.390277777777778</v>
      </c>
      <c r="BE20" s="6">
        <f t="shared" si="11"/>
        <v>374.66666666666686</v>
      </c>
      <c r="BF20" s="5">
        <v>1</v>
      </c>
      <c r="BG20" s="90">
        <f t="shared" si="12"/>
        <v>374.66666666666686</v>
      </c>
      <c r="BH20" s="94">
        <f t="shared" si="13"/>
        <v>4175.075413333333</v>
      </c>
      <c r="BI20" s="6">
        <v>120</v>
      </c>
      <c r="BJ20" s="95">
        <f t="shared" si="14"/>
        <v>4295.075413333333</v>
      </c>
    </row>
    <row r="21" spans="1:76" ht="25.5" customHeight="1" x14ac:dyDescent="0.3">
      <c r="A21" s="79" t="s">
        <v>66</v>
      </c>
      <c r="B21" s="79">
        <v>30</v>
      </c>
      <c r="C21" s="80"/>
      <c r="D21" s="99">
        <f>IFERROR(SUMIFS('PU CAST'!$AI$10:$AI$150,'PU CAST'!$AA$10:$AA$150,"COPO CONICO",'PU CAST'!$AK$10:$AK$150,$B21),0)</f>
        <v>1193.6224166666666</v>
      </c>
      <c r="E21" s="82">
        <f t="shared" si="0"/>
        <v>0</v>
      </c>
      <c r="F21" s="80">
        <v>4</v>
      </c>
      <c r="G21" s="81">
        <f>IFERROR(SUMIFS('PU CAST'!$AI$10:$AI$150,'PU CAST'!$AA$10:$AA$150,"DS",'PU CAST'!$AK$10:$AK$150,$B21),0)</f>
        <v>557.59662221333338</v>
      </c>
      <c r="H21" s="82">
        <f t="shared" si="1"/>
        <v>2230.3864888533335</v>
      </c>
      <c r="I21" s="80">
        <v>2</v>
      </c>
      <c r="J21" s="81">
        <f>IFERROR(SUMIFS('PU CAST'!$AI$10:$AI$150,'PU CAST'!$AA$10:$AA$150,"DG",'PU CAST'!$AK$10:$AK$150,$B21),0)</f>
        <v>606.13522933333343</v>
      </c>
      <c r="K21" s="82">
        <f t="shared" si="2"/>
        <v>1212.2704586666669</v>
      </c>
      <c r="L21" s="83">
        <v>4</v>
      </c>
      <c r="M21" s="81">
        <f>IFERROR(SUMIFS('PU CAST'!$AI$10:$AI$150,'PU CAST'!$AA$10:$AA$150,"DE",'PU CAST'!$AK$10:$AK$150,$B21),0)</f>
        <v>144.0836533333333</v>
      </c>
      <c r="N21" s="82">
        <f t="shared" si="3"/>
        <v>576.33461333333321</v>
      </c>
      <c r="O21" s="4" t="s">
        <v>854</v>
      </c>
      <c r="P21" s="4" t="s">
        <v>1008</v>
      </c>
      <c r="Q21" s="5">
        <v>1</v>
      </c>
      <c r="R21" s="4" t="s">
        <v>960</v>
      </c>
      <c r="S21" s="84">
        <f>INDEX(PARÂMETROS!$B$83:$B$101,MATCH($B21,PARÂMETROS!$A$83:$A$101,0))</f>
        <v>1925</v>
      </c>
      <c r="T21" s="4" t="s">
        <v>1009</v>
      </c>
      <c r="U21" s="4" t="s">
        <v>1006</v>
      </c>
      <c r="V21" s="5">
        <v>1</v>
      </c>
      <c r="W21" s="4" t="s">
        <v>963</v>
      </c>
      <c r="X21" s="68">
        <f>INDEX(PARÂMETROS!$C$83:$C$101,MATCH($B21,PARÂMETROS!$A$83:$A$101,0))</f>
        <v>174</v>
      </c>
      <c r="Y21" s="85">
        <f t="shared" si="4"/>
        <v>348</v>
      </c>
      <c r="Z21" s="86">
        <f t="shared" si="15"/>
        <v>3.28</v>
      </c>
      <c r="AA21" s="86">
        <f>2*3.28</f>
        <v>6.56</v>
      </c>
      <c r="AB21" s="6">
        <f>Z21*PARÂMETROS!$E$6</f>
        <v>130.97039999999998</v>
      </c>
      <c r="AC21" s="85">
        <f t="shared" si="5"/>
        <v>261.94079999999997</v>
      </c>
      <c r="AD21" s="4" t="s">
        <v>1009</v>
      </c>
      <c r="AE21" s="4" t="s">
        <v>1006</v>
      </c>
      <c r="AF21" s="5">
        <v>1</v>
      </c>
      <c r="AG21" s="4" t="s">
        <v>963</v>
      </c>
      <c r="AH21" s="68">
        <f>INDEX(PARÂMETROS!$D$83:$D$101,MATCH($B21,PARÂMETROS!$A$83:$A$101,0))</f>
        <v>174</v>
      </c>
      <c r="AI21" s="85">
        <f t="shared" si="6"/>
        <v>348</v>
      </c>
      <c r="AJ21" s="96" t="s">
        <v>964</v>
      </c>
      <c r="AK21" s="96" t="s">
        <v>1007</v>
      </c>
      <c r="AL21" s="88">
        <v>32</v>
      </c>
      <c r="AM21" s="97">
        <f>INDEX(PARÂMETROS!$E$83:$E$101,MATCH($B21,PARÂMETROS!$A$83:$A$101,0))</f>
        <v>16.5</v>
      </c>
      <c r="AN21" s="90">
        <f t="shared" si="16"/>
        <v>528</v>
      </c>
      <c r="AO21" s="98" t="s">
        <v>966</v>
      </c>
      <c r="AP21" s="98" t="s">
        <v>967</v>
      </c>
      <c r="AQ21" s="88">
        <v>32</v>
      </c>
      <c r="AR21" s="97">
        <f>INDEX(PARÂMETROS!$F$83:$F$101,MATCH($B21,PARÂMETROS!$A$83:$A$101,0))</f>
        <v>0.6</v>
      </c>
      <c r="AS21" s="90">
        <f t="shared" si="17"/>
        <v>19.2</v>
      </c>
      <c r="AT21" s="98" t="s">
        <v>968</v>
      </c>
      <c r="AU21" s="98" t="s">
        <v>967</v>
      </c>
      <c r="AV21" s="88">
        <v>32</v>
      </c>
      <c r="AW21" s="97">
        <f>INDEX(PARÂMETROS!$G$83:$G$101,MATCH($B21,PARÂMETROS!$A$83:$A$101,0))</f>
        <v>0.8</v>
      </c>
      <c r="AX21" s="90">
        <f t="shared" si="18"/>
        <v>25.6</v>
      </c>
      <c r="AY21" s="91">
        <f t="shared" si="7"/>
        <v>4018.9915608533338</v>
      </c>
      <c r="AZ21" s="91">
        <f t="shared" si="8"/>
        <v>2882.9407999999999</v>
      </c>
      <c r="BA21" s="91">
        <f t="shared" si="9"/>
        <v>572.80000000000007</v>
      </c>
      <c r="BB21" s="92">
        <f t="shared" si="10"/>
        <v>7474.7323608533343</v>
      </c>
      <c r="BC21" s="6">
        <f>PARÂMETROS!$H$3</f>
        <v>40</v>
      </c>
      <c r="BD21" s="93">
        <v>0.390277777777778</v>
      </c>
      <c r="BE21" s="6">
        <f t="shared" si="11"/>
        <v>374.66666666666686</v>
      </c>
      <c r="BF21" s="5">
        <v>1</v>
      </c>
      <c r="BG21" s="90">
        <f t="shared" si="12"/>
        <v>374.66666666666686</v>
      </c>
      <c r="BH21" s="94">
        <f t="shared" si="13"/>
        <v>7849.3990275200013</v>
      </c>
      <c r="BI21" s="6">
        <v>120</v>
      </c>
      <c r="BJ21" s="95">
        <f t="shared" si="14"/>
        <v>7969.3990275200013</v>
      </c>
    </row>
    <row r="22" spans="1:76" ht="25.5" customHeight="1" x14ac:dyDescent="0.3">
      <c r="A22" s="79" t="s">
        <v>66</v>
      </c>
      <c r="B22" s="79">
        <v>32</v>
      </c>
      <c r="C22" s="80"/>
      <c r="D22" s="99">
        <f>IFERROR(SUMIFS('PU CAST'!$AI$10:$AI$150,'PU CAST'!$AA$10:$AA$150,"COPO CONICO",'PU CAST'!$AK$10:$AK$150,$B22),0)</f>
        <v>2323.4716666666668</v>
      </c>
      <c r="E22" s="82">
        <f t="shared" si="0"/>
        <v>0</v>
      </c>
      <c r="F22" s="80"/>
      <c r="G22" s="81">
        <f>IFERROR(SUMIFS('PU CAST'!$AI$10:$AI$150,'PU CAST'!$AA$10:$AA$150,"DS",'PU CAST'!$AK$10:$AK$150,$B22),0)</f>
        <v>624.60273536666625</v>
      </c>
      <c r="H22" s="82">
        <f t="shared" si="1"/>
        <v>0</v>
      </c>
      <c r="I22" s="80"/>
      <c r="J22" s="81">
        <f>IFERROR(SUMIFS('PU CAST'!$AI$10:$AI$150,'PU CAST'!$AA$10:$AA$150,"DG",'PU CAST'!$AK$10:$AK$150,$B22),0)</f>
        <v>642.29869266666628</v>
      </c>
      <c r="K22" s="82">
        <f t="shared" si="2"/>
        <v>0</v>
      </c>
      <c r="L22" s="83">
        <v>4</v>
      </c>
      <c r="M22" s="81">
        <f>IFERROR(SUMIFS('PU CAST'!$AI$10:$AI$150,'PU CAST'!$AA$10:$AA$150,"DE",'PU CAST'!$AK$10:$AK$150,$B22),0)</f>
        <v>239.93748833333333</v>
      </c>
      <c r="N22" s="82">
        <f t="shared" si="3"/>
        <v>959.74995333333334</v>
      </c>
      <c r="O22" s="4" t="s">
        <v>854</v>
      </c>
      <c r="P22" s="4" t="s">
        <v>1010</v>
      </c>
      <c r="Q22" s="5">
        <v>1</v>
      </c>
      <c r="R22" s="4" t="s">
        <v>960</v>
      </c>
      <c r="S22" s="84">
        <f>INDEX(PARÂMETROS!$B$83:$B$101,MATCH($B22,PARÂMETROS!$A$83:$A$101,0))</f>
        <v>2030</v>
      </c>
      <c r="T22" s="4" t="s">
        <v>1011</v>
      </c>
      <c r="U22" s="4" t="s">
        <v>1012</v>
      </c>
      <c r="V22" s="5">
        <v>1</v>
      </c>
      <c r="W22" s="4" t="s">
        <v>963</v>
      </c>
      <c r="X22" s="68">
        <f>INDEX(PARÂMETROS!$C$83:$C$101,MATCH($B22,PARÂMETROS!$A$83:$A$101,0))</f>
        <v>268</v>
      </c>
      <c r="Y22" s="85">
        <f t="shared" si="4"/>
        <v>536</v>
      </c>
      <c r="Z22" s="86">
        <f t="shared" si="15"/>
        <v>4.7450000000000001</v>
      </c>
      <c r="AA22" s="86">
        <f>2*4.745</f>
        <v>9.49</v>
      </c>
      <c r="AB22" s="6">
        <f>Z22*PARÂMETROS!$E$6</f>
        <v>189.46785</v>
      </c>
      <c r="AC22" s="85">
        <f t="shared" si="5"/>
        <v>378.9357</v>
      </c>
      <c r="AD22" s="4" t="s">
        <v>1011</v>
      </c>
      <c r="AE22" s="4" t="s">
        <v>1012</v>
      </c>
      <c r="AF22" s="5">
        <v>1</v>
      </c>
      <c r="AG22" s="4" t="s">
        <v>963</v>
      </c>
      <c r="AH22" s="68">
        <f>INDEX(PARÂMETROS!$D$83:$D$101,MATCH($B22,PARÂMETROS!$A$83:$A$101,0))</f>
        <v>268</v>
      </c>
      <c r="AI22" s="85">
        <f t="shared" si="6"/>
        <v>536</v>
      </c>
      <c r="AJ22" s="96" t="s">
        <v>964</v>
      </c>
      <c r="AK22" s="96" t="s">
        <v>1013</v>
      </c>
      <c r="AL22" s="88">
        <v>32</v>
      </c>
      <c r="AM22" s="97">
        <f>INDEX(PARÂMETROS!$E$83:$E$101,MATCH($B22,PARÂMETROS!$A$83:$A$101,0))</f>
        <v>17.5</v>
      </c>
      <c r="AN22" s="90">
        <f t="shared" si="16"/>
        <v>560</v>
      </c>
      <c r="AO22" s="98" t="s">
        <v>966</v>
      </c>
      <c r="AP22" s="98" t="s">
        <v>967</v>
      </c>
      <c r="AQ22" s="88">
        <v>32</v>
      </c>
      <c r="AR22" s="97">
        <f>INDEX(PARÂMETROS!$F$83:$F$101,MATCH($B22,PARÂMETROS!$A$83:$A$101,0))</f>
        <v>0.6</v>
      </c>
      <c r="AS22" s="90">
        <f t="shared" si="17"/>
        <v>19.2</v>
      </c>
      <c r="AT22" s="98" t="s">
        <v>968</v>
      </c>
      <c r="AU22" s="98" t="s">
        <v>967</v>
      </c>
      <c r="AV22" s="88">
        <v>32</v>
      </c>
      <c r="AW22" s="97">
        <f>INDEX(PARÂMETROS!$G$83:$G$101,MATCH($B22,PARÂMETROS!$A$83:$A$101,0))</f>
        <v>0.8</v>
      </c>
      <c r="AX22" s="90">
        <f t="shared" si="18"/>
        <v>25.6</v>
      </c>
      <c r="AY22" s="91">
        <f t="shared" si="7"/>
        <v>959.74995333333334</v>
      </c>
      <c r="AZ22" s="91">
        <f t="shared" si="8"/>
        <v>3480.9357</v>
      </c>
      <c r="BA22" s="91">
        <f t="shared" si="9"/>
        <v>604.80000000000007</v>
      </c>
      <c r="BB22" s="92">
        <f t="shared" si="10"/>
        <v>5045.4856533333332</v>
      </c>
      <c r="BC22" s="6">
        <f>PARÂMETROS!$H$3</f>
        <v>40</v>
      </c>
      <c r="BD22" s="93">
        <v>0.390277777777778</v>
      </c>
      <c r="BE22" s="6">
        <f t="shared" si="11"/>
        <v>374.66666666666686</v>
      </c>
      <c r="BF22" s="5">
        <v>1</v>
      </c>
      <c r="BG22" s="90">
        <f t="shared" si="12"/>
        <v>374.66666666666686</v>
      </c>
      <c r="BH22" s="94">
        <f t="shared" si="13"/>
        <v>5420.1523200000001</v>
      </c>
      <c r="BI22" s="6">
        <v>120</v>
      </c>
      <c r="BJ22" s="95">
        <f t="shared" si="14"/>
        <v>5540.1523200000001</v>
      </c>
    </row>
    <row r="23" spans="1:76" ht="25.5" customHeight="1" x14ac:dyDescent="0.3">
      <c r="A23" s="79" t="s">
        <v>66</v>
      </c>
      <c r="B23" s="79">
        <v>34</v>
      </c>
      <c r="C23" s="80"/>
      <c r="D23" s="99">
        <f>IFERROR(SUMIFS('PU CAST'!$AI$10:$AI$150,'PU CAST'!$AA$10:$AA$150,"COPO CONICO",'PU CAST'!$AK$10:$AK$150,$B23),0)</f>
        <v>2287.0249166666667</v>
      </c>
      <c r="E23" s="82">
        <f t="shared" si="0"/>
        <v>0</v>
      </c>
      <c r="F23" s="80"/>
      <c r="G23" s="81">
        <f>IFERROR(SUMIFS('PU CAST'!$AI$10:$AI$150,'PU CAST'!$AA$10:$AA$150,"DS",'PU CAST'!$AK$10:$AK$150,$B23),0)</f>
        <v>711.22968008666612</v>
      </c>
      <c r="H23" s="82">
        <f t="shared" si="1"/>
        <v>0</v>
      </c>
      <c r="I23" s="80"/>
      <c r="J23" s="81">
        <f>IFERROR(SUMIFS('PU CAST'!$AI$10:$AI$150,'PU CAST'!$AA$10:$AA$150,"DG",'PU CAST'!$AK$10:$AK$150,$B23),0)</f>
        <v>738.80755966666629</v>
      </c>
      <c r="K23" s="82">
        <f t="shared" si="2"/>
        <v>0</v>
      </c>
      <c r="L23" s="83">
        <v>4</v>
      </c>
      <c r="M23" s="81">
        <f>IFERROR(SUMIFS('PU CAST'!$AI$10:$AI$150,'PU CAST'!$AA$10:$AA$150,"DE",'PU CAST'!$AK$10:$AK$150,$B23),0)</f>
        <v>239.93748833333333</v>
      </c>
      <c r="N23" s="82">
        <f t="shared" si="3"/>
        <v>959.74995333333334</v>
      </c>
      <c r="O23" s="4" t="s">
        <v>854</v>
      </c>
      <c r="P23" s="4" t="s">
        <v>1014</v>
      </c>
      <c r="Q23" s="5">
        <v>1</v>
      </c>
      <c r="R23" s="4" t="s">
        <v>960</v>
      </c>
      <c r="S23" s="84">
        <f>INDEX(PARÂMETROS!$B$83:$B$101,MATCH($B23,PARÂMETROS!$A$83:$A$101,0))</f>
        <v>2135</v>
      </c>
      <c r="T23" s="4" t="s">
        <v>1015</v>
      </c>
      <c r="U23" s="4" t="s">
        <v>1012</v>
      </c>
      <c r="V23" s="5">
        <v>1</v>
      </c>
      <c r="W23" s="4" t="s">
        <v>963</v>
      </c>
      <c r="X23" s="68">
        <f>INDEX(PARÂMETROS!$C$83:$C$101,MATCH($B23,PARÂMETROS!$A$83:$A$101,0))</f>
        <v>268</v>
      </c>
      <c r="Y23" s="85">
        <f t="shared" si="4"/>
        <v>536</v>
      </c>
      <c r="Z23" s="86">
        <f t="shared" si="15"/>
        <v>4.7450000000000001</v>
      </c>
      <c r="AA23" s="86">
        <f>2*4.745</f>
        <v>9.49</v>
      </c>
      <c r="AB23" s="6">
        <f>Z23*PARÂMETROS!$E$6</f>
        <v>189.46785</v>
      </c>
      <c r="AC23" s="85">
        <f t="shared" si="5"/>
        <v>378.9357</v>
      </c>
      <c r="AD23" s="4" t="s">
        <v>1015</v>
      </c>
      <c r="AE23" s="4" t="s">
        <v>1012</v>
      </c>
      <c r="AF23" s="5">
        <v>1</v>
      </c>
      <c r="AG23" s="4" t="s">
        <v>963</v>
      </c>
      <c r="AH23" s="68">
        <f>INDEX(PARÂMETROS!$D$83:$D$101,MATCH($B23,PARÂMETROS!$A$83:$A$101,0))</f>
        <v>268</v>
      </c>
      <c r="AI23" s="85">
        <f t="shared" si="6"/>
        <v>536</v>
      </c>
      <c r="AJ23" s="96" t="s">
        <v>964</v>
      </c>
      <c r="AK23" s="96" t="s">
        <v>1013</v>
      </c>
      <c r="AL23" s="88">
        <v>32</v>
      </c>
      <c r="AM23" s="97">
        <f>INDEX(PARÂMETROS!$E$83:$E$101,MATCH($B23,PARÂMETROS!$A$83:$A$101,0))</f>
        <v>17.5</v>
      </c>
      <c r="AN23" s="90">
        <f t="shared" si="16"/>
        <v>560</v>
      </c>
      <c r="AO23" s="98" t="s">
        <v>966</v>
      </c>
      <c r="AP23" s="98" t="s">
        <v>967</v>
      </c>
      <c r="AQ23" s="88">
        <v>32</v>
      </c>
      <c r="AR23" s="97">
        <f>INDEX(PARÂMETROS!$F$83:$F$101,MATCH($B23,PARÂMETROS!$A$83:$A$101,0))</f>
        <v>0.6</v>
      </c>
      <c r="AS23" s="90">
        <f t="shared" si="17"/>
        <v>19.2</v>
      </c>
      <c r="AT23" s="98" t="s">
        <v>968</v>
      </c>
      <c r="AU23" s="98" t="s">
        <v>967</v>
      </c>
      <c r="AV23" s="88">
        <v>32</v>
      </c>
      <c r="AW23" s="97">
        <f>INDEX(PARÂMETROS!$G$83:$G$101,MATCH($B23,PARÂMETROS!$A$83:$A$101,0))</f>
        <v>0.8</v>
      </c>
      <c r="AX23" s="90">
        <f t="shared" si="18"/>
        <v>25.6</v>
      </c>
      <c r="AY23" s="91">
        <f t="shared" si="7"/>
        <v>959.74995333333334</v>
      </c>
      <c r="AZ23" s="91">
        <f t="shared" si="8"/>
        <v>3585.9357</v>
      </c>
      <c r="BA23" s="91">
        <f t="shared" si="9"/>
        <v>604.80000000000007</v>
      </c>
      <c r="BB23" s="92">
        <f t="shared" si="10"/>
        <v>5150.4856533333332</v>
      </c>
      <c r="BC23" s="6">
        <f>PARÂMETROS!$H$3</f>
        <v>40</v>
      </c>
      <c r="BD23" s="93">
        <v>0.390277777777778</v>
      </c>
      <c r="BE23" s="6">
        <f t="shared" si="11"/>
        <v>374.66666666666686</v>
      </c>
      <c r="BF23" s="5">
        <v>1</v>
      </c>
      <c r="BG23" s="90">
        <f t="shared" si="12"/>
        <v>374.66666666666686</v>
      </c>
      <c r="BH23" s="94">
        <f t="shared" si="13"/>
        <v>5525.1523200000001</v>
      </c>
      <c r="BI23" s="6">
        <v>120</v>
      </c>
      <c r="BJ23" s="95">
        <f t="shared" si="14"/>
        <v>5645.1523200000001</v>
      </c>
    </row>
    <row r="24" spans="1:76" ht="25.5" customHeight="1" x14ac:dyDescent="0.3">
      <c r="A24" s="79" t="s">
        <v>66</v>
      </c>
      <c r="B24" s="79">
        <v>36</v>
      </c>
      <c r="C24" s="80"/>
      <c r="D24" s="99">
        <f>IFERROR(SUMIFS('PU CAST'!$AI$10:$AI$150,'PU CAST'!$AA$10:$AA$150,"COPO CONICO",'PU CAST'!$AK$10:$AK$150,$B24),0)</f>
        <v>2104.7911666666669</v>
      </c>
      <c r="E24" s="82">
        <f t="shared" si="0"/>
        <v>0</v>
      </c>
      <c r="F24" s="80"/>
      <c r="G24" s="81">
        <f>IFERROR(SUMIFS('PU CAST'!$AI$10:$AI$150,'PU CAST'!$AA$10:$AA$150,"DS",'PU CAST'!$AK$10:$AK$150,$B24),0)</f>
        <v>943.07918320666613</v>
      </c>
      <c r="H24" s="82">
        <f t="shared" si="1"/>
        <v>0</v>
      </c>
      <c r="I24" s="80"/>
      <c r="J24" s="81">
        <f>IFERROR(SUMIFS('PU CAST'!$AI$10:$AI$150,'PU CAST'!$AA$10:$AA$150,"DG",'PU CAST'!$AK$10:$AK$150,$B24),0)</f>
        <v>808.59318466666628</v>
      </c>
      <c r="K24" s="82">
        <f t="shared" si="2"/>
        <v>0</v>
      </c>
      <c r="L24" s="83">
        <v>4</v>
      </c>
      <c r="M24" s="81">
        <f>IFERROR(SUMIFS('PU CAST'!$AI$10:$AI$150,'PU CAST'!$AA$10:$AA$150,"DE",'PU CAST'!$AK$10:$AK$150,$B24),0)</f>
        <v>441.77612533333331</v>
      </c>
      <c r="N24" s="82">
        <f t="shared" si="3"/>
        <v>1767.1045013333332</v>
      </c>
      <c r="O24" s="4" t="s">
        <v>855</v>
      </c>
      <c r="P24" s="4" t="s">
        <v>1016</v>
      </c>
      <c r="Q24" s="5">
        <v>1</v>
      </c>
      <c r="R24" s="4" t="s">
        <v>1017</v>
      </c>
      <c r="S24" s="84">
        <f>INDEX(PARÂMETROS!$B$83:$B$101,MATCH($B24,PARÂMETROS!$A$83:$A$101,0))</f>
        <v>1256.52</v>
      </c>
      <c r="T24" s="4" t="s">
        <v>1018</v>
      </c>
      <c r="U24" s="4" t="s">
        <v>1019</v>
      </c>
      <c r="V24" s="5">
        <v>1</v>
      </c>
      <c r="W24" s="4" t="s">
        <v>963</v>
      </c>
      <c r="X24" s="68">
        <f>INDEX(PARÂMETROS!$C$83:$C$101,MATCH($B24,PARÂMETROS!$A$83:$A$101,0))</f>
        <v>460</v>
      </c>
      <c r="Y24" s="85">
        <f t="shared" si="4"/>
        <v>920</v>
      </c>
      <c r="Z24" s="86">
        <f t="shared" si="15"/>
        <v>10.167999999999999</v>
      </c>
      <c r="AA24" s="86">
        <f>2*10.168</f>
        <v>20.335999999999999</v>
      </c>
      <c r="AB24" s="6">
        <f>Z24*PARÂMETROS!$E$6</f>
        <v>406.00823999999994</v>
      </c>
      <c r="AC24" s="85">
        <f t="shared" si="5"/>
        <v>812.01647999999989</v>
      </c>
      <c r="AD24" s="4" t="s">
        <v>1018</v>
      </c>
      <c r="AE24" s="4" t="s">
        <v>1019</v>
      </c>
      <c r="AF24" s="5">
        <v>1</v>
      </c>
      <c r="AG24" s="4" t="s">
        <v>963</v>
      </c>
      <c r="AH24" s="68">
        <f>INDEX(PARÂMETROS!$D$83:$D$101,MATCH($B24,PARÂMETROS!$A$83:$A$101,0))</f>
        <v>460</v>
      </c>
      <c r="AI24" s="85">
        <f t="shared" si="6"/>
        <v>920</v>
      </c>
      <c r="AJ24" s="96" t="s">
        <v>964</v>
      </c>
      <c r="AK24" s="96" t="s">
        <v>1020</v>
      </c>
      <c r="AL24" s="88">
        <v>48</v>
      </c>
      <c r="AM24" s="97">
        <f>INDEX(PARÂMETROS!$E$83:$E$101,MATCH($B24,PARÂMETROS!$A$83:$A$101,0))</f>
        <v>20.5</v>
      </c>
      <c r="AN24" s="90">
        <f t="shared" si="16"/>
        <v>984</v>
      </c>
      <c r="AO24" s="98" t="s">
        <v>966</v>
      </c>
      <c r="AP24" s="98" t="s">
        <v>967</v>
      </c>
      <c r="AQ24" s="88">
        <v>48</v>
      </c>
      <c r="AR24" s="97">
        <f>INDEX(PARÂMETROS!$F$83:$F$101,MATCH($B24,PARÂMETROS!$A$83:$A$101,0))</f>
        <v>0.6</v>
      </c>
      <c r="AS24" s="90">
        <f t="shared" si="17"/>
        <v>28.799999999999997</v>
      </c>
      <c r="AT24" s="98" t="s">
        <v>968</v>
      </c>
      <c r="AU24" s="98" t="s">
        <v>967</v>
      </c>
      <c r="AV24" s="88">
        <v>48</v>
      </c>
      <c r="AW24" s="97">
        <f>INDEX(PARÂMETROS!$G$83:$G$101,MATCH($B24,PARÂMETROS!$A$83:$A$101,0))</f>
        <v>0.8</v>
      </c>
      <c r="AX24" s="90">
        <f t="shared" si="18"/>
        <v>38.400000000000006</v>
      </c>
      <c r="AY24" s="91">
        <f t="shared" si="7"/>
        <v>1767.1045013333332</v>
      </c>
      <c r="AZ24" s="91">
        <f t="shared" si="8"/>
        <v>3908.5364799999998</v>
      </c>
      <c r="BA24" s="91">
        <f t="shared" si="9"/>
        <v>1051.2</v>
      </c>
      <c r="BB24" s="92">
        <f t="shared" si="10"/>
        <v>6726.8409813333328</v>
      </c>
      <c r="BC24" s="6">
        <f>PARÂMETROS!$H$3</f>
        <v>40</v>
      </c>
      <c r="BD24" s="93">
        <v>0.390277777777778</v>
      </c>
      <c r="BE24" s="6">
        <f t="shared" si="11"/>
        <v>374.66666666666686</v>
      </c>
      <c r="BF24" s="5">
        <v>1</v>
      </c>
      <c r="BG24" s="90">
        <f t="shared" si="12"/>
        <v>374.66666666666686</v>
      </c>
      <c r="BH24" s="94">
        <f t="shared" si="13"/>
        <v>7101.5076479999998</v>
      </c>
      <c r="BI24" s="6">
        <v>120</v>
      </c>
      <c r="BJ24" s="95">
        <f t="shared" si="14"/>
        <v>7221.5076479999998</v>
      </c>
    </row>
    <row r="25" spans="1:76" ht="25.5" customHeight="1" x14ac:dyDescent="0.3">
      <c r="A25" s="79" t="s">
        <v>66</v>
      </c>
      <c r="B25" s="79">
        <v>38</v>
      </c>
      <c r="C25" s="80"/>
      <c r="D25" s="81">
        <f>IFERROR(SUMIFS('PU CAST'!$AI$10:$AI$150,'PU CAST'!$AA$10:$AA$150,"COPO CONICO",'PU CAST'!$AK$10:$AK$150,$B25),0)</f>
        <v>2323.4716666666668</v>
      </c>
      <c r="E25" s="82">
        <f t="shared" si="0"/>
        <v>0</v>
      </c>
      <c r="F25" s="80"/>
      <c r="G25" s="81">
        <f>IFERROR(SUMIFS('PU CAST'!$AI$10:$AI$150,'PU CAST'!$AA$10:$AA$150,"DS",'PU CAST'!$AK$10:$AK$150,$B25),0)</f>
        <v>1079.0986841266663</v>
      </c>
      <c r="H25" s="82">
        <f t="shared" si="1"/>
        <v>0</v>
      </c>
      <c r="I25" s="80"/>
      <c r="J25" s="81">
        <f>IFERROR(SUMIFS('PU CAST'!$AI$10:$AI$150,'PU CAST'!$AA$10:$AA$150,"DG",'PU CAST'!$AK$10:$AK$150,$B25),0)</f>
        <v>986.38834766666628</v>
      </c>
      <c r="K25" s="82">
        <f t="shared" si="2"/>
        <v>0</v>
      </c>
      <c r="L25" s="83">
        <v>4</v>
      </c>
      <c r="M25" s="81">
        <f>IFERROR(SUMIFS('PU CAST'!$AI$10:$AI$150,'PU CAST'!$AA$10:$AA$150,"DE",'PU CAST'!$AK$10:$AK$150,$B25),0)</f>
        <v>441.77612533333331</v>
      </c>
      <c r="N25" s="82">
        <f t="shared" si="3"/>
        <v>1767.1045013333332</v>
      </c>
      <c r="O25" s="4" t="s">
        <v>855</v>
      </c>
      <c r="P25" s="4" t="s">
        <v>1021</v>
      </c>
      <c r="Q25" s="5">
        <v>1</v>
      </c>
      <c r="R25" s="4" t="s">
        <v>1017</v>
      </c>
      <c r="S25" s="84">
        <f>INDEX(PARÂMETROS!$B$83:$B$101,MATCH($B25,PARÂMETROS!$A$83:$A$101,0))</f>
        <v>1315.72</v>
      </c>
      <c r="T25" s="4" t="s">
        <v>1022</v>
      </c>
      <c r="U25" s="4" t="s">
        <v>1019</v>
      </c>
      <c r="V25" s="5">
        <v>1</v>
      </c>
      <c r="W25" s="4" t="s">
        <v>963</v>
      </c>
      <c r="X25" s="68">
        <f>INDEX(PARÂMETROS!$C$83:$C$101,MATCH($B25,PARÂMETROS!$A$83:$A$101,0))</f>
        <v>460</v>
      </c>
      <c r="Y25" s="85">
        <f t="shared" si="4"/>
        <v>920</v>
      </c>
      <c r="Z25" s="86">
        <f t="shared" si="15"/>
        <v>10.167999999999999</v>
      </c>
      <c r="AA25" s="86">
        <f>2*10.168</f>
        <v>20.335999999999999</v>
      </c>
      <c r="AB25" s="6">
        <f>Z25*PARÂMETROS!$E$6</f>
        <v>406.00823999999994</v>
      </c>
      <c r="AC25" s="85">
        <f t="shared" si="5"/>
        <v>812.01647999999989</v>
      </c>
      <c r="AD25" s="4" t="s">
        <v>1022</v>
      </c>
      <c r="AE25" s="4" t="s">
        <v>1019</v>
      </c>
      <c r="AF25" s="5">
        <v>1</v>
      </c>
      <c r="AG25" s="4" t="s">
        <v>963</v>
      </c>
      <c r="AH25" s="68">
        <f>INDEX(PARÂMETROS!$D$83:$D$101,MATCH($B25,PARÂMETROS!$A$83:$A$101,0))</f>
        <v>460</v>
      </c>
      <c r="AI25" s="85">
        <f t="shared" si="6"/>
        <v>920</v>
      </c>
      <c r="AJ25" s="96" t="s">
        <v>964</v>
      </c>
      <c r="AK25" s="96" t="s">
        <v>1020</v>
      </c>
      <c r="AL25" s="88">
        <v>48</v>
      </c>
      <c r="AM25" s="97">
        <f>INDEX(PARÂMETROS!$E$83:$E$101,MATCH($B25,PARÂMETROS!$A$83:$A$101,0))</f>
        <v>20.5</v>
      </c>
      <c r="AN25" s="90">
        <f t="shared" si="16"/>
        <v>984</v>
      </c>
      <c r="AO25" s="98" t="s">
        <v>966</v>
      </c>
      <c r="AP25" s="98" t="s">
        <v>967</v>
      </c>
      <c r="AQ25" s="88">
        <v>48</v>
      </c>
      <c r="AR25" s="97">
        <f>INDEX(PARÂMETROS!$F$83:$F$101,MATCH($B25,PARÂMETROS!$A$83:$A$101,0))</f>
        <v>0.6</v>
      </c>
      <c r="AS25" s="90">
        <f t="shared" si="17"/>
        <v>28.799999999999997</v>
      </c>
      <c r="AT25" s="98" t="s">
        <v>968</v>
      </c>
      <c r="AU25" s="98" t="s">
        <v>967</v>
      </c>
      <c r="AV25" s="88">
        <v>48</v>
      </c>
      <c r="AW25" s="97">
        <f>INDEX(PARÂMETROS!$G$83:$G$101,MATCH($B25,PARÂMETROS!$A$83:$A$101,0))</f>
        <v>0.8</v>
      </c>
      <c r="AX25" s="90">
        <f t="shared" si="18"/>
        <v>38.400000000000006</v>
      </c>
      <c r="AY25" s="91">
        <f t="shared" si="7"/>
        <v>1767.1045013333332</v>
      </c>
      <c r="AZ25" s="91">
        <f t="shared" si="8"/>
        <v>3967.73648</v>
      </c>
      <c r="BA25" s="91">
        <f t="shared" si="9"/>
        <v>1051.2</v>
      </c>
      <c r="BB25" s="92">
        <f t="shared" si="10"/>
        <v>6786.0409813333326</v>
      </c>
      <c r="BC25" s="6">
        <f>PARÂMETROS!$H$3</f>
        <v>40</v>
      </c>
      <c r="BD25" s="93">
        <v>0.390277777777778</v>
      </c>
      <c r="BE25" s="6">
        <f t="shared" si="11"/>
        <v>374.66666666666686</v>
      </c>
      <c r="BF25" s="5">
        <v>1</v>
      </c>
      <c r="BG25" s="90">
        <f t="shared" si="12"/>
        <v>374.66666666666686</v>
      </c>
      <c r="BH25" s="94">
        <f t="shared" si="13"/>
        <v>7160.7076479999996</v>
      </c>
      <c r="BI25" s="6">
        <v>120</v>
      </c>
      <c r="BJ25" s="95">
        <f t="shared" si="14"/>
        <v>7280.7076479999996</v>
      </c>
    </row>
    <row r="26" spans="1:76" ht="25.5" customHeight="1" x14ac:dyDescent="0.3">
      <c r="A26" s="79" t="s">
        <v>66</v>
      </c>
      <c r="B26" s="79">
        <v>40</v>
      </c>
      <c r="C26" s="80"/>
      <c r="D26" s="81">
        <f>IFERROR(SUMIFS('PU CAST'!$AI$10:$AI$150,'PU CAST'!$AA$10:$AA$150,"COPO CONICO",'PU CAST'!$AK$10:$AK$150,$B26),0)</f>
        <v>2287.0249166666667</v>
      </c>
      <c r="E26" s="82">
        <f t="shared" si="0"/>
        <v>0</v>
      </c>
      <c r="F26" s="80"/>
      <c r="G26" s="81">
        <f>IFERROR(SUMIFS('PU CAST'!$AI$10:$AI$150,'PU CAST'!$AA$10:$AA$150,"DS",'PU CAST'!$AK$10:$AK$150,$B26),0)</f>
        <v>1146.5174125466663</v>
      </c>
      <c r="H26" s="82">
        <f t="shared" si="1"/>
        <v>0</v>
      </c>
      <c r="I26" s="80"/>
      <c r="J26" s="81">
        <f>IFERROR(SUMIFS('PU CAST'!$AI$10:$AI$150,'PU CAST'!$AA$10:$AA$150,"DG",'PU CAST'!$AK$10:$AK$150,$B26),0)</f>
        <v>1157.5585286666662</v>
      </c>
      <c r="K26" s="82">
        <f t="shared" si="2"/>
        <v>0</v>
      </c>
      <c r="L26" s="83">
        <v>4</v>
      </c>
      <c r="M26" s="81">
        <f>IFERROR(SUMIFS('PU CAST'!$AI$10:$AI$150,'PU CAST'!$AA$10:$AA$150,"DE",'PU CAST'!$AK$10:$AK$150,$B26),0)</f>
        <v>523.3973923333333</v>
      </c>
      <c r="N26" s="82">
        <f t="shared" si="3"/>
        <v>2093.5895693333332</v>
      </c>
      <c r="O26" s="4" t="s">
        <v>855</v>
      </c>
      <c r="P26" s="4" t="s">
        <v>1023</v>
      </c>
      <c r="Q26" s="5">
        <v>1</v>
      </c>
      <c r="R26" s="4" t="s">
        <v>1017</v>
      </c>
      <c r="S26" s="84">
        <f>INDEX(PARÂMETROS!$B$83:$B$101,MATCH($B26,PARÂMETROS!$A$83:$A$101,0))</f>
        <v>1385.28</v>
      </c>
      <c r="T26" s="4" t="s">
        <v>1024</v>
      </c>
      <c r="U26" s="4" t="s">
        <v>1025</v>
      </c>
      <c r="V26" s="5">
        <v>1</v>
      </c>
      <c r="W26" s="4" t="s">
        <v>963</v>
      </c>
      <c r="X26" s="68">
        <f>INDEX(PARÂMETROS!$C$83:$C$101,MATCH($B26,PARÂMETROS!$A$83:$A$101,0))</f>
        <v>508</v>
      </c>
      <c r="Y26" s="85">
        <f t="shared" si="4"/>
        <v>1016</v>
      </c>
      <c r="Z26" s="86">
        <f t="shared" si="15"/>
        <v>12.361000000000001</v>
      </c>
      <c r="AA26" s="86">
        <f>2*12.361</f>
        <v>24.722000000000001</v>
      </c>
      <c r="AB26" s="6">
        <f>Z26*PARÂMETROS!$E$6</f>
        <v>493.57473000000005</v>
      </c>
      <c r="AC26" s="85">
        <f t="shared" si="5"/>
        <v>987.14946000000009</v>
      </c>
      <c r="AD26" s="4" t="s">
        <v>1024</v>
      </c>
      <c r="AE26" s="4" t="s">
        <v>1025</v>
      </c>
      <c r="AF26" s="5">
        <v>1</v>
      </c>
      <c r="AG26" s="4" t="s">
        <v>963</v>
      </c>
      <c r="AH26" s="68">
        <f>INDEX(PARÂMETROS!$D$83:$D$101,MATCH($B26,PARÂMETROS!$A$83:$A$101,0))</f>
        <v>508</v>
      </c>
      <c r="AI26" s="85">
        <f t="shared" si="6"/>
        <v>1016</v>
      </c>
      <c r="AJ26" s="96" t="s">
        <v>964</v>
      </c>
      <c r="AK26" s="96" t="s">
        <v>1026</v>
      </c>
      <c r="AL26" s="88">
        <v>48</v>
      </c>
      <c r="AM26" s="97">
        <f>INDEX(PARÂMETROS!$E$83:$E$101,MATCH($B26,PARÂMETROS!$A$83:$A$101,0))</f>
        <v>22.5</v>
      </c>
      <c r="AN26" s="90">
        <f t="shared" si="16"/>
        <v>1080</v>
      </c>
      <c r="AO26" s="98" t="s">
        <v>966</v>
      </c>
      <c r="AP26" s="98" t="s">
        <v>967</v>
      </c>
      <c r="AQ26" s="88">
        <v>48</v>
      </c>
      <c r="AR26" s="97">
        <f>INDEX(PARÂMETROS!$F$83:$F$101,MATCH($B26,PARÂMETROS!$A$83:$A$101,0))</f>
        <v>0.6</v>
      </c>
      <c r="AS26" s="90">
        <f t="shared" si="17"/>
        <v>28.799999999999997</v>
      </c>
      <c r="AT26" s="98" t="s">
        <v>968</v>
      </c>
      <c r="AU26" s="98" t="s">
        <v>967</v>
      </c>
      <c r="AV26" s="88">
        <v>48</v>
      </c>
      <c r="AW26" s="97">
        <f>INDEX(PARÂMETROS!$G$83:$G$101,MATCH($B26,PARÂMETROS!$A$83:$A$101,0))</f>
        <v>0.8</v>
      </c>
      <c r="AX26" s="90">
        <f t="shared" si="18"/>
        <v>38.400000000000006</v>
      </c>
      <c r="AY26" s="91">
        <f t="shared" si="7"/>
        <v>2093.5895693333332</v>
      </c>
      <c r="AZ26" s="91">
        <f t="shared" si="8"/>
        <v>4404.4294599999994</v>
      </c>
      <c r="BA26" s="91">
        <f t="shared" si="9"/>
        <v>1147.2</v>
      </c>
      <c r="BB26" s="92">
        <f t="shared" si="10"/>
        <v>7645.2190293333324</v>
      </c>
      <c r="BC26" s="6">
        <f>PARÂMETROS!$H$3</f>
        <v>40</v>
      </c>
      <c r="BD26" s="93">
        <v>0.390277777777778</v>
      </c>
      <c r="BE26" s="6">
        <f t="shared" si="11"/>
        <v>374.66666666666686</v>
      </c>
      <c r="BF26" s="5">
        <v>1</v>
      </c>
      <c r="BG26" s="90">
        <f t="shared" si="12"/>
        <v>374.66666666666686</v>
      </c>
      <c r="BH26" s="94">
        <f t="shared" si="13"/>
        <v>8019.8856959999994</v>
      </c>
      <c r="BI26" s="6">
        <v>120</v>
      </c>
      <c r="BJ26" s="95">
        <f t="shared" si="14"/>
        <v>8139.8856959999994</v>
      </c>
    </row>
    <row r="27" spans="1:76" ht="25.5" customHeight="1" x14ac:dyDescent="0.3">
      <c r="A27" s="79" t="s">
        <v>66</v>
      </c>
      <c r="B27" s="79">
        <v>42</v>
      </c>
      <c r="C27" s="80"/>
      <c r="D27" s="81">
        <f>IFERROR(SUMIFS('PU CAST'!$AI$10:$AI$150,'PU CAST'!$AA$10:$AA$150,"COPO CONICO",'PU CAST'!$AK$10:$AK$150,$B27),0)</f>
        <v>2104.7911666666669</v>
      </c>
      <c r="E27" s="82">
        <f t="shared" si="0"/>
        <v>0</v>
      </c>
      <c r="F27" s="80"/>
      <c r="G27" s="81">
        <f>IFERROR(SUMIFS('PU CAST'!$AI$10:$AI$150,'PU CAST'!$AA$10:$AA$150,"DS",'PU CAST'!$AK$10:$AK$150,$B27),0)</f>
        <v>1276.1623186066663</v>
      </c>
      <c r="H27" s="82">
        <f t="shared" si="1"/>
        <v>0</v>
      </c>
      <c r="I27" s="80"/>
      <c r="J27" s="81">
        <f>IFERROR(SUMIFS('PU CAST'!$AI$10:$AI$150,'PU CAST'!$AA$10:$AA$150,"DG",'PU CAST'!$AK$10:$AK$150,$B27),0)</f>
        <v>1476.4509206666662</v>
      </c>
      <c r="K27" s="82">
        <f t="shared" si="2"/>
        <v>0</v>
      </c>
      <c r="L27" s="83">
        <v>4</v>
      </c>
      <c r="M27" s="81">
        <f>IFERROR(SUMIFS('PU CAST'!$AI$10:$AI$150,'PU CAST'!$AA$10:$AA$150,"DE",'PU CAST'!$AK$10:$AK$150,$B27),0)</f>
        <v>574.53629833333332</v>
      </c>
      <c r="N27" s="82">
        <f t="shared" si="3"/>
        <v>2298.1451933333333</v>
      </c>
      <c r="O27" s="4" t="s">
        <v>855</v>
      </c>
      <c r="P27" s="4" t="s">
        <v>1027</v>
      </c>
      <c r="Q27" s="5">
        <v>1</v>
      </c>
      <c r="R27" s="4" t="s">
        <v>1017</v>
      </c>
      <c r="S27" s="84">
        <f>INDEX(PARÂMETROS!$B$83:$B$101,MATCH($B27,PARÂMETROS!$A$83:$A$101,0))</f>
        <v>1438.56</v>
      </c>
      <c r="T27" s="4" t="s">
        <v>1028</v>
      </c>
      <c r="U27" s="4" t="s">
        <v>1025</v>
      </c>
      <c r="V27" s="5">
        <v>1</v>
      </c>
      <c r="W27" s="4" t="s">
        <v>963</v>
      </c>
      <c r="X27" s="68">
        <f>INDEX(PARÂMETROS!$C$83:$C$101,MATCH($B27,PARÂMETROS!$A$83:$A$101,0))</f>
        <v>508</v>
      </c>
      <c r="Y27" s="85">
        <f t="shared" si="4"/>
        <v>1016</v>
      </c>
      <c r="Z27" s="86">
        <f t="shared" si="15"/>
        <v>13.734999999999999</v>
      </c>
      <c r="AA27" s="86">
        <f>2*13.735</f>
        <v>27.47</v>
      </c>
      <c r="AB27" s="6">
        <f>Z27*PARÂMETROS!$E$6</f>
        <v>548.43854999999996</v>
      </c>
      <c r="AC27" s="85">
        <f t="shared" si="5"/>
        <v>1096.8770999999999</v>
      </c>
      <c r="AD27" s="4" t="s">
        <v>1028</v>
      </c>
      <c r="AE27" s="4" t="s">
        <v>1025</v>
      </c>
      <c r="AF27" s="5">
        <v>1</v>
      </c>
      <c r="AG27" s="4" t="s">
        <v>963</v>
      </c>
      <c r="AH27" s="68">
        <f>INDEX(PARÂMETROS!$D$83:$D$101,MATCH($B27,PARÂMETROS!$A$83:$A$101,0))</f>
        <v>508</v>
      </c>
      <c r="AI27" s="85">
        <f t="shared" si="6"/>
        <v>1016</v>
      </c>
      <c r="AJ27" s="96" t="s">
        <v>964</v>
      </c>
      <c r="AK27" s="96" t="s">
        <v>1029</v>
      </c>
      <c r="AL27" s="88">
        <v>48</v>
      </c>
      <c r="AM27" s="97">
        <f>INDEX(PARÂMETROS!$E$83:$E$101,MATCH($B27,PARÂMETROS!$A$83:$A$101,0))</f>
        <v>24.5</v>
      </c>
      <c r="AN27" s="90">
        <f t="shared" si="16"/>
        <v>1176</v>
      </c>
      <c r="AO27" s="98" t="s">
        <v>966</v>
      </c>
      <c r="AP27" s="98" t="s">
        <v>967</v>
      </c>
      <c r="AQ27" s="88">
        <v>48</v>
      </c>
      <c r="AR27" s="97">
        <f>INDEX(PARÂMETROS!$F$83:$F$101,MATCH($B27,PARÂMETROS!$A$83:$A$101,0))</f>
        <v>0.6</v>
      </c>
      <c r="AS27" s="90">
        <f t="shared" si="17"/>
        <v>28.799999999999997</v>
      </c>
      <c r="AT27" s="98" t="s">
        <v>968</v>
      </c>
      <c r="AU27" s="98" t="s">
        <v>967</v>
      </c>
      <c r="AV27" s="88">
        <v>48</v>
      </c>
      <c r="AW27" s="97">
        <f>INDEX(PARÂMETROS!$G$83:$G$101,MATCH($B27,PARÂMETROS!$A$83:$A$101,0))</f>
        <v>0.8</v>
      </c>
      <c r="AX27" s="90">
        <f t="shared" si="18"/>
        <v>38.400000000000006</v>
      </c>
      <c r="AY27" s="91">
        <f t="shared" si="7"/>
        <v>2298.1451933333333</v>
      </c>
      <c r="AZ27" s="91">
        <f t="shared" si="8"/>
        <v>4567.4371000000001</v>
      </c>
      <c r="BA27" s="91">
        <f t="shared" si="9"/>
        <v>1243.2</v>
      </c>
      <c r="BB27" s="92">
        <f t="shared" si="10"/>
        <v>8108.7822933333327</v>
      </c>
      <c r="BC27" s="6">
        <f>PARÂMETROS!$H$3</f>
        <v>40</v>
      </c>
      <c r="BD27" s="93">
        <v>0.390277777777778</v>
      </c>
      <c r="BE27" s="6">
        <f t="shared" si="11"/>
        <v>374.66666666666686</v>
      </c>
      <c r="BF27" s="5">
        <v>1</v>
      </c>
      <c r="BG27" s="90">
        <f t="shared" si="12"/>
        <v>374.66666666666686</v>
      </c>
      <c r="BH27" s="94">
        <f t="shared" si="13"/>
        <v>8483.4489599999997</v>
      </c>
      <c r="BI27" s="6">
        <v>120</v>
      </c>
      <c r="BJ27" s="95">
        <f t="shared" si="14"/>
        <v>8603.4489599999997</v>
      </c>
    </row>
    <row r="28" spans="1:76" ht="25.5" customHeight="1" x14ac:dyDescent="0.3">
      <c r="A28" s="100"/>
      <c r="B28" s="100"/>
      <c r="C28" s="101"/>
      <c r="D28" s="102"/>
      <c r="E28" s="102"/>
      <c r="F28" s="101"/>
      <c r="G28" s="102"/>
      <c r="H28" s="102"/>
      <c r="I28" s="101"/>
      <c r="J28" s="102"/>
      <c r="K28" s="103"/>
      <c r="L28" s="101"/>
      <c r="M28" s="102"/>
      <c r="N28" s="102"/>
      <c r="O28" s="104"/>
      <c r="P28" s="104"/>
      <c r="Q28" s="100"/>
      <c r="R28" s="104"/>
      <c r="S28" s="105"/>
      <c r="T28" s="104"/>
      <c r="U28" s="104"/>
      <c r="V28" s="100"/>
      <c r="W28" s="104"/>
      <c r="X28" s="106"/>
      <c r="Y28" s="107"/>
      <c r="Z28" s="108"/>
      <c r="AA28" s="108"/>
      <c r="AB28" s="109"/>
      <c r="AC28" s="107"/>
      <c r="AD28" s="104"/>
      <c r="AE28" s="104"/>
      <c r="AF28" s="100"/>
      <c r="AG28" s="104"/>
      <c r="AH28" s="106"/>
      <c r="AI28" s="107"/>
      <c r="AJ28" s="110"/>
      <c r="AK28" s="110"/>
      <c r="AL28" s="100"/>
      <c r="AM28" s="106"/>
      <c r="AN28" s="111"/>
      <c r="AO28" s="112"/>
      <c r="AP28" s="112"/>
      <c r="AQ28" s="100"/>
      <c r="AR28" s="106"/>
      <c r="AS28" s="111"/>
      <c r="AT28" s="112"/>
      <c r="AU28" s="112"/>
      <c r="AV28" s="100"/>
      <c r="AW28" s="106"/>
      <c r="AX28" s="111"/>
      <c r="AY28" s="113"/>
      <c r="AZ28" s="113"/>
      <c r="BA28" s="113"/>
      <c r="BB28" s="114"/>
      <c r="BC28" s="109"/>
      <c r="BD28" s="115"/>
      <c r="BE28" s="109"/>
      <c r="BF28" s="100"/>
      <c r="BG28" s="111"/>
      <c r="BH28" s="116"/>
      <c r="BI28" s="109"/>
      <c r="BJ28" s="117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</row>
    <row r="29" spans="1:76" ht="23.25" customHeight="1" x14ac:dyDescent="0.4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118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</row>
    <row r="30" spans="1:76" s="23" customFormat="1" ht="14.25" customHeight="1" x14ac:dyDescent="0.45">
      <c r="N30" s="447" t="s">
        <v>1030</v>
      </c>
      <c r="O30" s="447"/>
      <c r="P30" s="447"/>
      <c r="Q30" s="447"/>
      <c r="R30" s="447"/>
      <c r="S30" s="447"/>
      <c r="BB30" s="118"/>
    </row>
    <row r="31" spans="1:76" ht="19.5" customHeight="1" x14ac:dyDescent="0.45">
      <c r="A31" s="439" t="s">
        <v>1031</v>
      </c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23"/>
      <c r="N31" s="447"/>
      <c r="O31" s="447"/>
      <c r="P31" s="447"/>
      <c r="Q31" s="447"/>
      <c r="R31" s="447"/>
      <c r="S31" s="447"/>
    </row>
    <row r="32" spans="1:76" ht="42.75" customHeight="1" x14ac:dyDescent="0.45">
      <c r="A32" s="3" t="s">
        <v>914</v>
      </c>
      <c r="B32" s="3" t="s">
        <v>10</v>
      </c>
      <c r="C32" s="3" t="s">
        <v>1032</v>
      </c>
      <c r="D32" s="3" t="s">
        <v>1033</v>
      </c>
      <c r="E32" s="3" t="s">
        <v>1034</v>
      </c>
      <c r="F32" s="3" t="s">
        <v>1035</v>
      </c>
      <c r="G32" s="3" t="s">
        <v>1036</v>
      </c>
      <c r="H32" s="3" t="s">
        <v>1037</v>
      </c>
      <c r="I32" s="3" t="s">
        <v>1038</v>
      </c>
      <c r="J32" s="3" t="s">
        <v>1039</v>
      </c>
      <c r="K32" s="3" t="s">
        <v>1040</v>
      </c>
      <c r="L32" s="3" t="s">
        <v>1041</v>
      </c>
      <c r="M32" s="3" t="s">
        <v>1042</v>
      </c>
      <c r="N32" s="3" t="s">
        <v>1043</v>
      </c>
      <c r="O32" s="3" t="s">
        <v>1044</v>
      </c>
      <c r="P32" s="3" t="s">
        <v>1045</v>
      </c>
      <c r="Q32" s="3" t="s">
        <v>1046</v>
      </c>
      <c r="R32" s="3" t="s">
        <v>1047</v>
      </c>
      <c r="S32" s="119" t="s">
        <v>1048</v>
      </c>
    </row>
    <row r="33" spans="1:19" ht="23.25" customHeight="1" x14ac:dyDescent="0.45">
      <c r="A33" s="79" t="s">
        <v>66</v>
      </c>
      <c r="B33" s="79">
        <v>2</v>
      </c>
      <c r="C33" s="120" t="s">
        <v>1049</v>
      </c>
      <c r="D33" s="6">
        <f>IF(C33="SIM",IFERROR(INDEX(ELC_MG_PC!$J$4:$J$25,MATCH($B33,ELC_MG_PC!$C$4:$C$25,0)),0)+IFERROR(INDEX($B$78:$B$100,MATCH("DN"&amp;$B33,$A$78:$A$100,0)),0),0)</f>
        <v>0</v>
      </c>
      <c r="E33" s="120" t="s">
        <v>1049</v>
      </c>
      <c r="F33" s="6">
        <f>IF(E33="SIM",IFERROR(INDEX(ELC_MG_PC!$J$26:$J$47,MATCH($B33,ELC_MG_PC!$C$26:$C$47,0)),0)+IFERROR(INDEX($B$78:$B$100,MATCH("DN"&amp;$B33,$A$78:$A$100,0)),0),0)</f>
        <v>0</v>
      </c>
      <c r="G33" s="120" t="s">
        <v>1049</v>
      </c>
      <c r="H33" s="6">
        <f>IF(G33="SIM",IFERROR(INDEX(ELC_MG_PC!$J$48:$J$69,MATCH($B33,ELC_MG_PC!$C$48:$C$69,0)),0),0)</f>
        <v>0</v>
      </c>
      <c r="I33" s="120" t="s">
        <v>1049</v>
      </c>
      <c r="J33" s="6">
        <f>IF(I33="SIM",IFERROR(INDEX(ELC_MG_PC!$J$70:$J$91,MATCH($B33,ELC_MG_PC!$C$70:$C$91,0)),0),0)</f>
        <v>0</v>
      </c>
      <c r="K33" s="120" t="s">
        <v>1049</v>
      </c>
      <c r="L33" s="6">
        <f t="shared" ref="L33:L54" si="19">IF(K33="SIM",BI6,0)</f>
        <v>0</v>
      </c>
      <c r="M33" s="91">
        <f t="shared" ref="M33:M54" si="20">D33+F33+H33+J33+L33</f>
        <v>0</v>
      </c>
      <c r="N33" s="121">
        <f t="shared" ref="N33:N54" si="21">R33+M33</f>
        <v>265.06666666666672</v>
      </c>
      <c r="O33" s="5">
        <f t="shared" ref="O33:O54" si="22">(C33="SIM")+(E33="SIM")+(G33="SIM")+(I33="SIM")</f>
        <v>0</v>
      </c>
      <c r="P33" s="6">
        <f>IFERROR(INDEX('PU CAST'!$T$54:$T$75,MATCH($B33,'PU CAST'!$S$54:$S$75,0)),0)</f>
        <v>0</v>
      </c>
      <c r="Q33" s="6">
        <f t="shared" ref="Q33:Q54" si="23">O33*P33</f>
        <v>0</v>
      </c>
      <c r="R33" s="122">
        <f t="shared" ref="R33:R54" si="24">BH6</f>
        <v>265.06666666666672</v>
      </c>
      <c r="S33" s="92">
        <f t="shared" ref="S33:S54" si="25">Q33+N33</f>
        <v>265.06666666666672</v>
      </c>
    </row>
    <row r="34" spans="1:19" ht="23.25" customHeight="1" x14ac:dyDescent="0.45">
      <c r="A34" s="79" t="s">
        <v>66</v>
      </c>
      <c r="B34" s="79">
        <v>3</v>
      </c>
      <c r="C34" s="120" t="s">
        <v>1049</v>
      </c>
      <c r="D34" s="6">
        <f>IF(C34="SIM",IFERROR(INDEX(ELC_MG_PC!$J$4:$J$25,MATCH($B34,ELC_MG_PC!$C$4:$C$25,0)),0)+IFERROR(INDEX($B$78:$B$100,MATCH("DN"&amp;$B34,$A$78:$A$100,0)),0),0)</f>
        <v>0</v>
      </c>
      <c r="E34" s="120" t="s">
        <v>1049</v>
      </c>
      <c r="F34" s="6">
        <f>IF(E34="SIM",IFERROR(INDEX(ELC_MG_PC!$J$26:$J$47,MATCH($B34,ELC_MG_PC!$C$26:$C$47,0)),0)+IFERROR(INDEX($B$78:$B$100,MATCH("DN"&amp;$B34,$A$78:$A$100,0)),0),0)</f>
        <v>0</v>
      </c>
      <c r="G34" s="120" t="s">
        <v>1049</v>
      </c>
      <c r="H34" s="6">
        <f>IF(G34="SIM",IFERROR(INDEX(ELC_MG_PC!$J$48:$J$69,MATCH($B34,ELC_MG_PC!$C$48:$C$69,0)),0),0)</f>
        <v>0</v>
      </c>
      <c r="I34" s="120" t="s">
        <v>1049</v>
      </c>
      <c r="J34" s="6">
        <f>IF(I34="SIM",IFERROR(INDEX(ELC_MG_PC!$J$70:$J$91,MATCH($B34,ELC_MG_PC!$C$70:$C$91,0)),0),0)</f>
        <v>0</v>
      </c>
      <c r="K34" s="120" t="s">
        <v>1049</v>
      </c>
      <c r="L34" s="6">
        <f t="shared" si="19"/>
        <v>0</v>
      </c>
      <c r="M34" s="91">
        <f t="shared" si="20"/>
        <v>0</v>
      </c>
      <c r="N34" s="121">
        <f t="shared" si="21"/>
        <v>265.86666666666673</v>
      </c>
      <c r="O34" s="5">
        <f t="shared" si="22"/>
        <v>0</v>
      </c>
      <c r="P34" s="6">
        <f>IFERROR(INDEX('PU CAST'!$T$54:$T$75,MATCH($B34,'PU CAST'!$S$54:$S$75,0)),0)</f>
        <v>0</v>
      </c>
      <c r="Q34" s="6">
        <f t="shared" si="23"/>
        <v>0</v>
      </c>
      <c r="R34" s="122">
        <f t="shared" si="24"/>
        <v>265.86666666666673</v>
      </c>
      <c r="S34" s="92">
        <f t="shared" si="25"/>
        <v>265.86666666666673</v>
      </c>
    </row>
    <row r="35" spans="1:19" ht="23.25" customHeight="1" x14ac:dyDescent="0.45">
      <c r="A35" s="79" t="s">
        <v>66</v>
      </c>
      <c r="B35" s="79">
        <v>4</v>
      </c>
      <c r="C35" s="120" t="s">
        <v>1049</v>
      </c>
      <c r="D35" s="6">
        <f>IF(C35="SIM",IFERROR(INDEX(ELC_MG_PC!$J$4:$J$25,MATCH($B35,ELC_MG_PC!$C$4:$C$25,0)),0)+IFERROR(INDEX($B$78:$B$100,MATCH("DN"&amp;$B35,$A$78:$A$100,0)),0),0)</f>
        <v>0</v>
      </c>
      <c r="E35" s="120" t="s">
        <v>1049</v>
      </c>
      <c r="F35" s="6">
        <f>IF(E35="SIM",IFERROR(INDEX(ELC_MG_PC!$J$26:$J$47,MATCH($B35,ELC_MG_PC!$C$26:$C$47,0)),0)+IFERROR(INDEX($B$78:$B$100,MATCH("DN"&amp;$B35,$A$78:$A$100,0)),0),0)</f>
        <v>0</v>
      </c>
      <c r="G35" s="120" t="s">
        <v>1049</v>
      </c>
      <c r="H35" s="6">
        <f>IF(G35="SIM",IFERROR(INDEX(ELC_MG_PC!$J$48:$J$69,MATCH($B35,ELC_MG_PC!$C$48:$C$69,0)),0),0)</f>
        <v>0</v>
      </c>
      <c r="I35" s="120" t="s">
        <v>1049</v>
      </c>
      <c r="J35" s="6">
        <f>IF(I35="SIM",IFERROR(INDEX(ELC_MG_PC!$J$70:$J$91,MATCH($B35,ELC_MG_PC!$C$70:$C$91,0)),0),0)</f>
        <v>0</v>
      </c>
      <c r="K35" s="120" t="s">
        <v>1049</v>
      </c>
      <c r="L35" s="6">
        <f t="shared" si="19"/>
        <v>0</v>
      </c>
      <c r="M35" s="91">
        <f t="shared" si="20"/>
        <v>0</v>
      </c>
      <c r="N35" s="121">
        <f t="shared" si="21"/>
        <v>266.66666666666674</v>
      </c>
      <c r="O35" s="5">
        <f t="shared" si="22"/>
        <v>0</v>
      </c>
      <c r="P35" s="6">
        <f>IFERROR(INDEX('PU CAST'!$T$54:$T$75,MATCH($B35,'PU CAST'!$S$54:$S$75,0)),0)</f>
        <v>0</v>
      </c>
      <c r="Q35" s="6">
        <f t="shared" si="23"/>
        <v>0</v>
      </c>
      <c r="R35" s="122">
        <f t="shared" si="24"/>
        <v>266.66666666666674</v>
      </c>
      <c r="S35" s="92">
        <f t="shared" si="25"/>
        <v>266.66666666666674</v>
      </c>
    </row>
    <row r="36" spans="1:19" ht="23.25" customHeight="1" x14ac:dyDescent="0.45">
      <c r="A36" s="79" t="s">
        <v>66</v>
      </c>
      <c r="B36" s="79">
        <v>6</v>
      </c>
      <c r="C36" s="120" t="s">
        <v>1049</v>
      </c>
      <c r="D36" s="6">
        <f>IF(C36="SIM",IFERROR(INDEX(ELC_MG_PC!$J$4:$J$25,MATCH($B36,ELC_MG_PC!$C$4:$C$25,0)),0)+IFERROR(INDEX($B$78:$B$100,MATCH("DN"&amp;$B36,$A$78:$A$100,0)),0),0)</f>
        <v>0</v>
      </c>
      <c r="E36" s="120" t="s">
        <v>1049</v>
      </c>
      <c r="F36" s="6">
        <f>IF(E36="SIM",IFERROR(INDEX(ELC_MG_PC!$J$26:$J$47,MATCH($B36,ELC_MG_PC!$C$26:$C$47,0)),0)+IFERROR(INDEX($B$78:$B$100,MATCH("DN"&amp;$B36,$A$78:$A$100,0)),0),0)</f>
        <v>0</v>
      </c>
      <c r="G36" s="120" t="s">
        <v>1049</v>
      </c>
      <c r="H36" s="6">
        <f>IF(G36="SIM",IFERROR(INDEX(ELC_MG_PC!$J$48:$J$69,MATCH($B36,ELC_MG_PC!$C$48:$C$69,0)),0),0)</f>
        <v>0</v>
      </c>
      <c r="I36" s="120" t="s">
        <v>1049</v>
      </c>
      <c r="J36" s="6">
        <f>IF(I36="SIM",IFERROR(INDEX(ELC_MG_PC!$J$70:$J$91,MATCH($B36,ELC_MG_PC!$C$70:$C$91,0)),0),0)</f>
        <v>0</v>
      </c>
      <c r="K36" s="120" t="s">
        <v>1049</v>
      </c>
      <c r="L36" s="6">
        <f t="shared" si="19"/>
        <v>0</v>
      </c>
      <c r="M36" s="91">
        <f t="shared" si="20"/>
        <v>0</v>
      </c>
      <c r="N36" s="121">
        <f t="shared" si="21"/>
        <v>500.90305777777786</v>
      </c>
      <c r="O36" s="5">
        <f t="shared" si="22"/>
        <v>0</v>
      </c>
      <c r="P36" s="6">
        <f>IFERROR(INDEX('PU CAST'!$T$54:$T$75,MATCH($B36,'PU CAST'!$S$54:$S$75,0)),0)</f>
        <v>2.5849950000000002</v>
      </c>
      <c r="Q36" s="6">
        <f t="shared" si="23"/>
        <v>0</v>
      </c>
      <c r="R36" s="122">
        <f t="shared" si="24"/>
        <v>500.90305777777786</v>
      </c>
      <c r="S36" s="92">
        <f t="shared" si="25"/>
        <v>500.90305777777786</v>
      </c>
    </row>
    <row r="37" spans="1:19" ht="23.25" customHeight="1" x14ac:dyDescent="0.45">
      <c r="A37" s="79" t="s">
        <v>66</v>
      </c>
      <c r="B37" s="79">
        <v>8</v>
      </c>
      <c r="C37" s="120" t="s">
        <v>1049</v>
      </c>
      <c r="D37" s="6">
        <f>IF(C37="SIM",IFERROR(INDEX(ELC_MG_PC!$J$4:$J$25,MATCH($B37,ELC_MG_PC!$C$4:$C$25,0)),0)+IFERROR(INDEX($B$78:$B$100,MATCH("DN"&amp;$B37,$A$78:$A$100,0)),0),0)</f>
        <v>0</v>
      </c>
      <c r="E37" s="120" t="s">
        <v>1049</v>
      </c>
      <c r="F37" s="6">
        <f>IF(E37="SIM",IFERROR(INDEX(ELC_MG_PC!$J$26:$J$47,MATCH($B37,ELC_MG_PC!$C$26:$C$47,0)),0)+IFERROR(INDEX($B$78:$B$100,MATCH("DN"&amp;$B37,$A$78:$A$100,0)),0),0)</f>
        <v>0</v>
      </c>
      <c r="G37" s="120" t="s">
        <v>1049</v>
      </c>
      <c r="H37" s="6">
        <f>IF(G37="SIM",IFERROR(INDEX(ELC_MG_PC!$J$48:$J$69,MATCH($B37,ELC_MG_PC!$C$48:$C$69,0)),0),0)</f>
        <v>0</v>
      </c>
      <c r="I37" s="120" t="s">
        <v>1049</v>
      </c>
      <c r="J37" s="6">
        <f>IF(I37="SIM",IFERROR(INDEX(ELC_MG_PC!$J$70:$J$91,MATCH($B37,ELC_MG_PC!$C$70:$C$91,0)),0),0)</f>
        <v>0</v>
      </c>
      <c r="K37" s="120" t="s">
        <v>1049</v>
      </c>
      <c r="L37" s="6">
        <f t="shared" si="19"/>
        <v>0</v>
      </c>
      <c r="M37" s="91">
        <f t="shared" si="20"/>
        <v>0</v>
      </c>
      <c r="N37" s="121">
        <f t="shared" si="21"/>
        <v>611.22331377777778</v>
      </c>
      <c r="O37" s="5">
        <f t="shared" si="22"/>
        <v>0</v>
      </c>
      <c r="P37" s="6">
        <f>IFERROR(INDEX('PU CAST'!$T$54:$T$75,MATCH($B37,'PU CAST'!$S$54:$S$75,0)),0)</f>
        <v>4.9484190000000003</v>
      </c>
      <c r="Q37" s="6">
        <f t="shared" si="23"/>
        <v>0</v>
      </c>
      <c r="R37" s="122">
        <f t="shared" si="24"/>
        <v>611.22331377777778</v>
      </c>
      <c r="S37" s="92">
        <f t="shared" si="25"/>
        <v>611.22331377777778</v>
      </c>
    </row>
    <row r="38" spans="1:19" ht="23.25" customHeight="1" x14ac:dyDescent="0.45">
      <c r="A38" s="79" t="s">
        <v>66</v>
      </c>
      <c r="B38" s="79">
        <v>10</v>
      </c>
      <c r="C38" s="120" t="s">
        <v>1050</v>
      </c>
      <c r="D38" s="6">
        <f>IF(C38="SIM",IFERROR(INDEX(ELC_MG_PC!$J$4:$J$25,MATCH($B38,ELC_MG_PC!$C$4:$C$25,0)),0)+IFERROR(INDEX($B$78:$B$100,MATCH("DN"&amp;$B38,$A$78:$A$100,0)),0),0)</f>
        <v>308.06763199999966</v>
      </c>
      <c r="E38" s="120" t="s">
        <v>1049</v>
      </c>
      <c r="F38" s="6">
        <f>IF(E38="SIM",IFERROR(INDEX(ELC_MG_PC!$J$26:$J$47,MATCH($B38,ELC_MG_PC!$C$26:$C$47,0)),0)+IFERROR(INDEX($B$78:$B$100,MATCH("DN"&amp;$B38,$A$78:$A$100,0)),0),0)</f>
        <v>0</v>
      </c>
      <c r="G38" s="120" t="s">
        <v>1049</v>
      </c>
      <c r="H38" s="6">
        <f>IF(G38="SIM",IFERROR(INDEX(ELC_MG_PC!$J$48:$J$69,MATCH($B38,ELC_MG_PC!$C$48:$C$69,0)),0),0)</f>
        <v>0</v>
      </c>
      <c r="I38" s="120" t="s">
        <v>1049</v>
      </c>
      <c r="J38" s="6">
        <f>IF(I38="SIM",IFERROR(INDEX(ELC_MG_PC!$J$70:$J$91,MATCH($B38,ELC_MG_PC!$C$70:$C$91,0)),0),0)</f>
        <v>0</v>
      </c>
      <c r="K38" s="120" t="s">
        <v>1050</v>
      </c>
      <c r="L38" s="6">
        <f t="shared" si="19"/>
        <v>120</v>
      </c>
      <c r="M38" s="91">
        <f t="shared" si="20"/>
        <v>428.06763199999966</v>
      </c>
      <c r="N38" s="121">
        <f t="shared" si="21"/>
        <v>1452.093383404444</v>
      </c>
      <c r="O38" s="5">
        <f t="shared" si="22"/>
        <v>1</v>
      </c>
      <c r="P38" s="6">
        <f>IFERROR(INDEX('PU CAST'!$T$54:$T$75,MATCH($B38,'PU CAST'!$S$54:$S$75,0)),0)</f>
        <v>6.4255590000000007</v>
      </c>
      <c r="Q38" s="6">
        <f t="shared" si="23"/>
        <v>6.4255590000000007</v>
      </c>
      <c r="R38" s="122">
        <f t="shared" si="24"/>
        <v>1024.0257514044445</v>
      </c>
      <c r="S38" s="92">
        <f t="shared" si="25"/>
        <v>1458.518942404444</v>
      </c>
    </row>
    <row r="39" spans="1:19" ht="23.25" customHeight="1" x14ac:dyDescent="0.45">
      <c r="A39" s="79" t="s">
        <v>66</v>
      </c>
      <c r="B39" s="79">
        <v>12</v>
      </c>
      <c r="C39" s="120" t="s">
        <v>1049</v>
      </c>
      <c r="D39" s="6">
        <f>IF(C39="SIM",IFERROR(INDEX(ELC_MG_PC!$J$4:$J$25,MATCH($B39,ELC_MG_PC!$C$4:$C$25,0)),0)+IFERROR(INDEX($B$78:$B$100,MATCH("DN"&amp;$B39,$A$78:$A$100,0)),0),0)</f>
        <v>0</v>
      </c>
      <c r="E39" s="120" t="s">
        <v>1049</v>
      </c>
      <c r="F39" s="6">
        <f>IF(E39="SIM",IFERROR(INDEX(ELC_MG_PC!$J$26:$J$47,MATCH($B39,ELC_MG_PC!$C$26:$C$47,0)),0)+IFERROR(INDEX($B$78:$B$100,MATCH("DN"&amp;$B39,$A$78:$A$100,0)),0),0)</f>
        <v>0</v>
      </c>
      <c r="G39" s="120" t="s">
        <v>1049</v>
      </c>
      <c r="H39" s="6">
        <f>IF(G39="SIM",IFERROR(INDEX(ELC_MG_PC!$J$48:$J$69,MATCH($B39,ELC_MG_PC!$C$48:$C$69,0)),0),0)</f>
        <v>0</v>
      </c>
      <c r="I39" s="120" t="s">
        <v>1049</v>
      </c>
      <c r="J39" s="6">
        <f>IF(I39="SIM",IFERROR(INDEX(ELC_MG_PC!$J$70:$J$91,MATCH($B39,ELC_MG_PC!$C$70:$C$91,0)),0),0)</f>
        <v>0</v>
      </c>
      <c r="K39" s="120" t="s">
        <v>1049</v>
      </c>
      <c r="L39" s="6">
        <f t="shared" si="19"/>
        <v>0</v>
      </c>
      <c r="M39" s="91">
        <f t="shared" si="20"/>
        <v>0</v>
      </c>
      <c r="N39" s="121">
        <f t="shared" si="21"/>
        <v>899.45779199999993</v>
      </c>
      <c r="O39" s="5">
        <f t="shared" si="22"/>
        <v>0</v>
      </c>
      <c r="P39" s="6">
        <f>IFERROR(INDEX('PU CAST'!$T$54:$T$75,MATCH($B39,'PU CAST'!$S$54:$S$75,0)),0)</f>
        <v>10.389218000000001</v>
      </c>
      <c r="Q39" s="6">
        <f t="shared" si="23"/>
        <v>0</v>
      </c>
      <c r="R39" s="122">
        <f t="shared" si="24"/>
        <v>899.45779199999993</v>
      </c>
      <c r="S39" s="92">
        <f t="shared" si="25"/>
        <v>899.45779199999993</v>
      </c>
    </row>
    <row r="40" spans="1:19" ht="23.25" customHeight="1" x14ac:dyDescent="0.45">
      <c r="A40" s="79" t="s">
        <v>66</v>
      </c>
      <c r="B40" s="79">
        <v>14</v>
      </c>
      <c r="C40" s="120" t="s">
        <v>1049</v>
      </c>
      <c r="D40" s="6">
        <f>IF(C40="SIM",IFERROR(INDEX(ELC_MG_PC!$J$4:$J$25,MATCH($B40,ELC_MG_PC!$C$4:$C$25,0)),0)+IFERROR(INDEX($B$78:$B$100,MATCH("DN"&amp;$B40,$A$78:$A$100,0)),0),0)</f>
        <v>0</v>
      </c>
      <c r="E40" s="120" t="s">
        <v>1049</v>
      </c>
      <c r="F40" s="6">
        <f>IF(E40="SIM",IFERROR(INDEX(ELC_MG_PC!$J$26:$J$47,MATCH($B40,ELC_MG_PC!$C$26:$C$47,0)),0)+IFERROR(INDEX($B$78:$B$100,MATCH("DN"&amp;$B40,$A$78:$A$100,0)),0),0)</f>
        <v>0</v>
      </c>
      <c r="G40" s="120" t="s">
        <v>1049</v>
      </c>
      <c r="H40" s="6">
        <f>IF(G40="SIM",IFERROR(INDEX(ELC_MG_PC!$J$48:$J$69,MATCH($B40,ELC_MG_PC!$C$48:$C$69,0)),0),0)</f>
        <v>0</v>
      </c>
      <c r="I40" s="120" t="s">
        <v>1049</v>
      </c>
      <c r="J40" s="6">
        <f>IF(I40="SIM",IFERROR(INDEX(ELC_MG_PC!$J$70:$J$91,MATCH($B40,ELC_MG_PC!$C$70:$C$91,0)),0),0)</f>
        <v>0</v>
      </c>
      <c r="K40" s="120" t="s">
        <v>1049</v>
      </c>
      <c r="L40" s="6">
        <f t="shared" si="19"/>
        <v>0</v>
      </c>
      <c r="M40" s="91">
        <f t="shared" si="20"/>
        <v>0</v>
      </c>
      <c r="N40" s="121">
        <f t="shared" si="21"/>
        <v>986.6967360000001</v>
      </c>
      <c r="O40" s="5">
        <f t="shared" si="22"/>
        <v>0</v>
      </c>
      <c r="P40" s="6">
        <f>IFERROR(INDEX('PU CAST'!$T$54:$T$75,MATCH($B40,'PU CAST'!$S$54:$S$75,0)),0)</f>
        <v>16.026969000000001</v>
      </c>
      <c r="Q40" s="6">
        <f t="shared" si="23"/>
        <v>0</v>
      </c>
      <c r="R40" s="122">
        <f t="shared" si="24"/>
        <v>986.6967360000001</v>
      </c>
      <c r="S40" s="92">
        <f t="shared" si="25"/>
        <v>986.6967360000001</v>
      </c>
    </row>
    <row r="41" spans="1:19" ht="23.25" customHeight="1" x14ac:dyDescent="0.45">
      <c r="A41" s="79" t="s">
        <v>66</v>
      </c>
      <c r="B41" s="79">
        <v>16</v>
      </c>
      <c r="C41" s="120" t="s">
        <v>1049</v>
      </c>
      <c r="D41" s="6">
        <f>IF(C41="SIM",IFERROR(INDEX(ELC_MG_PC!$J$4:$J$25,MATCH($B41,ELC_MG_PC!$C$4:$C$25,0)),0)+IFERROR(INDEX($B$78:$B$100,MATCH("DN"&amp;$B41,$A$78:$A$100,0)),0),0)</f>
        <v>0</v>
      </c>
      <c r="E41" s="120" t="s">
        <v>1049</v>
      </c>
      <c r="F41" s="6">
        <f>IF(E41="SIM",IFERROR(INDEX(ELC_MG_PC!$J$26:$J$47,MATCH($B41,ELC_MG_PC!$C$26:$C$47,0)),0)+IFERROR(INDEX($B$78:$B$100,MATCH("DN"&amp;$B41,$A$78:$A$100,0)),0),0)</f>
        <v>0</v>
      </c>
      <c r="G41" s="120" t="s">
        <v>1049</v>
      </c>
      <c r="H41" s="6">
        <f>IF(G41="SIM",IFERROR(INDEX(ELC_MG_PC!$J$48:$J$69,MATCH($B41,ELC_MG_PC!$C$48:$C$69,0)),0),0)</f>
        <v>0</v>
      </c>
      <c r="I41" s="120" t="s">
        <v>1049</v>
      </c>
      <c r="J41" s="6">
        <f>IF(I41="SIM",IFERROR(INDEX(ELC_MG_PC!$J$70:$J$91,MATCH($B41,ELC_MG_PC!$C$70:$C$91,0)),0),0)</f>
        <v>0</v>
      </c>
      <c r="K41" s="120" t="s">
        <v>1049</v>
      </c>
      <c r="L41" s="6">
        <f t="shared" si="19"/>
        <v>0</v>
      </c>
      <c r="M41" s="91">
        <f t="shared" si="20"/>
        <v>0</v>
      </c>
      <c r="N41" s="121">
        <f t="shared" si="21"/>
        <v>1297.4627413333335</v>
      </c>
      <c r="O41" s="5">
        <f t="shared" si="22"/>
        <v>0</v>
      </c>
      <c r="P41" s="6">
        <f>IFERROR(INDEX('PU CAST'!$T$54:$T$75,MATCH($B41,'PU CAST'!$S$54:$S$75,0)),0)</f>
        <v>25.308332</v>
      </c>
      <c r="Q41" s="6">
        <f t="shared" si="23"/>
        <v>0</v>
      </c>
      <c r="R41" s="122">
        <f t="shared" si="24"/>
        <v>1297.4627413333335</v>
      </c>
      <c r="S41" s="92">
        <f t="shared" si="25"/>
        <v>1297.4627413333335</v>
      </c>
    </row>
    <row r="42" spans="1:19" ht="23.25" customHeight="1" x14ac:dyDescent="0.45">
      <c r="A42" s="79" t="s">
        <v>66</v>
      </c>
      <c r="B42" s="79">
        <v>18</v>
      </c>
      <c r="C42" s="120" t="s">
        <v>1049</v>
      </c>
      <c r="D42" s="6">
        <f>IF(C42="SIM",IFERROR(INDEX(ELC_MG_PC!$J$4:$J$25,MATCH($B42,ELC_MG_PC!$C$4:$C$25,0)),0)+IFERROR(INDEX($B$78:$B$100,MATCH("DN"&amp;$B42,$A$78:$A$100,0)),0),0)</f>
        <v>0</v>
      </c>
      <c r="E42" s="120" t="s">
        <v>1049</v>
      </c>
      <c r="F42" s="6">
        <f>IF(E42="SIM",IFERROR(INDEX(ELC_MG_PC!$J$26:$J$47,MATCH($B42,ELC_MG_PC!$C$26:$C$47,0)),0)+IFERROR(INDEX($B$78:$B$100,MATCH("DN"&amp;$B42,$A$78:$A$100,0)),0),0)</f>
        <v>0</v>
      </c>
      <c r="G42" s="120" t="s">
        <v>1049</v>
      </c>
      <c r="H42" s="6">
        <f>IF(G42="SIM",IFERROR(INDEX(ELC_MG_PC!$J$48:$J$69,MATCH($B42,ELC_MG_PC!$C$48:$C$69,0)),0),0)</f>
        <v>0</v>
      </c>
      <c r="I42" s="120" t="s">
        <v>1049</v>
      </c>
      <c r="J42" s="6">
        <f>IF(I42="SIM",IFERROR(INDEX(ELC_MG_PC!$J$70:$J$91,MATCH($B42,ELC_MG_PC!$C$70:$C$91,0)),0),0)</f>
        <v>0</v>
      </c>
      <c r="K42" s="120" t="s">
        <v>1049</v>
      </c>
      <c r="L42" s="6">
        <f t="shared" si="19"/>
        <v>0</v>
      </c>
      <c r="M42" s="91">
        <f t="shared" si="20"/>
        <v>0</v>
      </c>
      <c r="N42" s="121">
        <f t="shared" si="21"/>
        <v>1608.8084373333336</v>
      </c>
      <c r="O42" s="5">
        <f t="shared" si="22"/>
        <v>0</v>
      </c>
      <c r="P42" s="6">
        <f>IFERROR(INDEX('PU CAST'!$T$54:$T$75,MATCH($B42,'PU CAST'!$S$54:$S$75,0)),0)</f>
        <v>31.733891</v>
      </c>
      <c r="Q42" s="6">
        <f t="shared" si="23"/>
        <v>0</v>
      </c>
      <c r="R42" s="122">
        <f t="shared" si="24"/>
        <v>1608.8084373333336</v>
      </c>
      <c r="S42" s="92">
        <f t="shared" si="25"/>
        <v>1608.8084373333336</v>
      </c>
    </row>
    <row r="43" spans="1:19" ht="23.25" customHeight="1" x14ac:dyDescent="0.45">
      <c r="A43" s="79" t="s">
        <v>66</v>
      </c>
      <c r="B43" s="79">
        <v>20</v>
      </c>
      <c r="C43" s="120" t="s">
        <v>1050</v>
      </c>
      <c r="D43" s="6">
        <f>IF(C43="SIM",IFERROR(INDEX(ELC_MG_PC!$J$4:$J$25,MATCH($B43,ELC_MG_PC!$C$4:$C$25,0)),0)+IFERROR(INDEX($B$78:$B$100,MATCH("DN"&amp;$B43,$A$78:$A$100,0)),0),0)</f>
        <v>929.57082800000001</v>
      </c>
      <c r="E43" s="120" t="s">
        <v>1049</v>
      </c>
      <c r="F43" s="6">
        <f>IF(E43="SIM",IFERROR(INDEX(ELC_MG_PC!$J$26:$J$47,MATCH($B43,ELC_MG_PC!$C$26:$C$47,0)),0)+IFERROR(INDEX($B$78:$B$100,MATCH("DN"&amp;$B43,$A$78:$A$100,0)),0),0)</f>
        <v>0</v>
      </c>
      <c r="G43" s="120" t="s">
        <v>1050</v>
      </c>
      <c r="H43" s="6">
        <f>IF(G43="SIM",IFERROR(INDEX(ELC_MG_PC!$J$48:$J$69,MATCH($B43,ELC_MG_PC!$C$48:$C$69,0)),0),0)</f>
        <v>910.00000000000034</v>
      </c>
      <c r="I43" s="120" t="s">
        <v>1050</v>
      </c>
      <c r="J43" s="6">
        <f>IF(I43="SIM",IFERROR(INDEX(ELC_MG_PC!$J$70:$J$91,MATCH($B43,ELC_MG_PC!$C$70:$C$91,0)),0),0)</f>
        <v>750</v>
      </c>
      <c r="K43" s="120" t="s">
        <v>1050</v>
      </c>
      <c r="L43" s="6">
        <f t="shared" si="19"/>
        <v>120</v>
      </c>
      <c r="M43" s="91">
        <f t="shared" si="20"/>
        <v>2709.5708280000003</v>
      </c>
      <c r="N43" s="121">
        <f t="shared" si="21"/>
        <v>4812.0000013333338</v>
      </c>
      <c r="O43" s="5">
        <f t="shared" si="22"/>
        <v>3</v>
      </c>
      <c r="P43" s="6">
        <f>IFERROR(INDEX('PU CAST'!$T$54:$T$75,MATCH($B43,'PU CAST'!$S$54:$S$75,0)),0)</f>
        <v>38.528735000000005</v>
      </c>
      <c r="Q43" s="6">
        <f t="shared" si="23"/>
        <v>115.58620500000001</v>
      </c>
      <c r="R43" s="122">
        <f t="shared" si="24"/>
        <v>2102.4291733333334</v>
      </c>
      <c r="S43" s="92">
        <f t="shared" si="25"/>
        <v>4927.5862063333334</v>
      </c>
    </row>
    <row r="44" spans="1:19" ht="23.25" customHeight="1" x14ac:dyDescent="0.45">
      <c r="A44" s="79" t="s">
        <v>66</v>
      </c>
      <c r="B44" s="79">
        <v>22</v>
      </c>
      <c r="C44" s="120" t="s">
        <v>1049</v>
      </c>
      <c r="D44" s="6">
        <f>IF(C44="SIM",IFERROR(INDEX(ELC_MG_PC!$J$4:$J$25,MATCH($B44,ELC_MG_PC!$C$4:$C$25,0)),0)+IFERROR(INDEX($B$78:$B$100,MATCH("DN"&amp;$B44,$A$78:$A$100,0)),0),0)</f>
        <v>0</v>
      </c>
      <c r="E44" s="120" t="s">
        <v>1049</v>
      </c>
      <c r="F44" s="6">
        <f>IF(E44="SIM",IFERROR(INDEX(ELC_MG_PC!$J$26:$J$47,MATCH($B44,ELC_MG_PC!$C$26:$C$47,0)),0)+IFERROR(INDEX($B$78:$B$100,MATCH("DN"&amp;$B44,$A$78:$A$100,0)),0),0)</f>
        <v>0</v>
      </c>
      <c r="G44" s="120" t="s">
        <v>1049</v>
      </c>
      <c r="H44" s="6">
        <f>IF(G44="SIM",IFERROR(INDEX(ELC_MG_PC!$J$48:$J$69,MATCH($B44,ELC_MG_PC!$C$48:$C$69,0)),0),0)</f>
        <v>0</v>
      </c>
      <c r="I44" s="120" t="s">
        <v>1049</v>
      </c>
      <c r="J44" s="6">
        <f>IF(I44="SIM",IFERROR(INDEX(ELC_MG_PC!$J$70:$J$91,MATCH($B44,ELC_MG_PC!$C$70:$C$91,0)),0),0)</f>
        <v>0</v>
      </c>
      <c r="K44" s="120" t="s">
        <v>1049</v>
      </c>
      <c r="L44" s="6">
        <f t="shared" si="19"/>
        <v>0</v>
      </c>
      <c r="M44" s="91">
        <f t="shared" si="20"/>
        <v>0</v>
      </c>
      <c r="N44" s="121">
        <f t="shared" si="21"/>
        <v>2546.2069333333334</v>
      </c>
      <c r="O44" s="5">
        <f t="shared" si="22"/>
        <v>0</v>
      </c>
      <c r="P44" s="6">
        <f>IFERROR(INDEX('PU CAST'!$T$54:$T$75,MATCH($B44,'PU CAST'!$S$54:$S$75,0)),0)</f>
        <v>64.009399999999999</v>
      </c>
      <c r="Q44" s="6">
        <f t="shared" si="23"/>
        <v>0</v>
      </c>
      <c r="R44" s="122">
        <f t="shared" si="24"/>
        <v>2546.2069333333334</v>
      </c>
      <c r="S44" s="92">
        <f t="shared" si="25"/>
        <v>2546.2069333333334</v>
      </c>
    </row>
    <row r="45" spans="1:19" ht="23.25" customHeight="1" x14ac:dyDescent="0.45">
      <c r="A45" s="79" t="s">
        <v>66</v>
      </c>
      <c r="B45" s="79">
        <v>24</v>
      </c>
      <c r="C45" s="120" t="s">
        <v>1049</v>
      </c>
      <c r="D45" s="6">
        <f>IF(C45="SIM",IFERROR(INDEX(ELC_MG_PC!$J$4:$J$25,MATCH($B45,ELC_MG_PC!$C$4:$C$25,0)),0)+IFERROR(INDEX($B$78:$B$100,MATCH("DN"&amp;$B45,$A$78:$A$100,0)),0),0)</f>
        <v>0</v>
      </c>
      <c r="E45" s="120" t="s">
        <v>1049</v>
      </c>
      <c r="F45" s="6">
        <f>IF(E45="SIM",IFERROR(INDEX(ELC_MG_PC!$J$26:$J$47,MATCH($B45,ELC_MG_PC!$C$26:$C$47,0)),0)+IFERROR(INDEX($B$78:$B$100,MATCH("DN"&amp;$B45,$A$78:$A$100,0)),0),0)</f>
        <v>0</v>
      </c>
      <c r="G45" s="120" t="s">
        <v>1049</v>
      </c>
      <c r="H45" s="6">
        <f>IF(G45="SIM",IFERROR(INDEX(ELC_MG_PC!$J$48:$J$69,MATCH($B45,ELC_MG_PC!$C$48:$C$69,0)),0),0)</f>
        <v>0</v>
      </c>
      <c r="I45" s="120" t="s">
        <v>1049</v>
      </c>
      <c r="J45" s="6">
        <f>IF(I45="SIM",IFERROR(INDEX(ELC_MG_PC!$J$70:$J$91,MATCH($B45,ELC_MG_PC!$C$70:$C$91,0)),0),0)</f>
        <v>0</v>
      </c>
      <c r="K45" s="120" t="s">
        <v>1049</v>
      </c>
      <c r="L45" s="6">
        <f t="shared" si="19"/>
        <v>0</v>
      </c>
      <c r="M45" s="91">
        <f t="shared" si="20"/>
        <v>0</v>
      </c>
      <c r="N45" s="121">
        <f t="shared" si="21"/>
        <v>2742.4058453333337</v>
      </c>
      <c r="O45" s="5">
        <f t="shared" si="22"/>
        <v>0</v>
      </c>
      <c r="P45" s="6">
        <f>IFERROR(INDEX('PU CAST'!$T$54:$T$75,MATCH($B45,'PU CAST'!$S$54:$S$75,0)),0)</f>
        <v>69.351723000000007</v>
      </c>
      <c r="Q45" s="6">
        <f t="shared" si="23"/>
        <v>0</v>
      </c>
      <c r="R45" s="122">
        <f t="shared" si="24"/>
        <v>2742.4058453333337</v>
      </c>
      <c r="S45" s="92">
        <f t="shared" si="25"/>
        <v>2742.4058453333337</v>
      </c>
    </row>
    <row r="46" spans="1:19" ht="23.25" customHeight="1" x14ac:dyDescent="0.45">
      <c r="A46" s="79" t="s">
        <v>66</v>
      </c>
      <c r="B46" s="79">
        <v>26</v>
      </c>
      <c r="C46" s="120" t="s">
        <v>1049</v>
      </c>
      <c r="D46" s="6">
        <f>IF(C46="SIM",IFERROR(INDEX(ELC_MG_PC!$J$4:$J$25,MATCH($B46,ELC_MG_PC!$C$4:$C$25,0)),0)+IFERROR(INDEX($B$78:$B$100,MATCH("DN"&amp;$B46,$A$78:$A$100,0)),0),0)</f>
        <v>0</v>
      </c>
      <c r="E46" s="120" t="s">
        <v>1049</v>
      </c>
      <c r="F46" s="6">
        <f>IF(E46="SIM",IFERROR(INDEX(ELC_MG_PC!$J$26:$J$47,MATCH($B46,ELC_MG_PC!$C$26:$C$47,0)),0)+IFERROR(INDEX($B$78:$B$100,MATCH("DN"&amp;$B46,$A$78:$A$100,0)),0),0)</f>
        <v>0</v>
      </c>
      <c r="G46" s="120" t="s">
        <v>1049</v>
      </c>
      <c r="H46" s="6">
        <f>IF(G46="SIM",IFERROR(INDEX(ELC_MG_PC!$J$48:$J$69,MATCH($B46,ELC_MG_PC!$C$48:$C$69,0)),0),0)</f>
        <v>0</v>
      </c>
      <c r="I46" s="120" t="s">
        <v>1049</v>
      </c>
      <c r="J46" s="6">
        <f>IF(I46="SIM",IFERROR(INDEX(ELC_MG_PC!$J$70:$J$91,MATCH($B46,ELC_MG_PC!$C$70:$C$91,0)),0),0)</f>
        <v>0</v>
      </c>
      <c r="K46" s="120" t="s">
        <v>1049</v>
      </c>
      <c r="L46" s="6">
        <f t="shared" si="19"/>
        <v>0</v>
      </c>
      <c r="M46" s="91">
        <f t="shared" si="20"/>
        <v>0</v>
      </c>
      <c r="N46" s="121">
        <f t="shared" si="21"/>
        <v>2834.1058453333339</v>
      </c>
      <c r="O46" s="5">
        <f t="shared" si="22"/>
        <v>0</v>
      </c>
      <c r="P46" s="6">
        <f>IFERROR(INDEX('PU CAST'!$T$54:$T$75,MATCH($B46,'PU CAST'!$S$54:$S$75,0)),0)</f>
        <v>69.351723000000007</v>
      </c>
      <c r="Q46" s="6">
        <f t="shared" si="23"/>
        <v>0</v>
      </c>
      <c r="R46" s="122">
        <f t="shared" si="24"/>
        <v>2834.1058453333339</v>
      </c>
      <c r="S46" s="92">
        <f t="shared" si="25"/>
        <v>2834.1058453333339</v>
      </c>
    </row>
    <row r="47" spans="1:19" ht="23.25" customHeight="1" x14ac:dyDescent="0.45">
      <c r="A47" s="79" t="s">
        <v>66</v>
      </c>
      <c r="B47" s="79">
        <v>28</v>
      </c>
      <c r="C47" s="120" t="s">
        <v>1049</v>
      </c>
      <c r="D47" s="6">
        <f>IF(C47="SIM",IFERROR(INDEX(ELC_MG_PC!$J$4:$J$25,MATCH($B47,ELC_MG_PC!$C$4:$C$25,0)),0)+IFERROR(INDEX($B$78:$B$100,MATCH("DN"&amp;$B47,$A$78:$A$100,0)),0),0)</f>
        <v>0</v>
      </c>
      <c r="E47" s="120" t="s">
        <v>1049</v>
      </c>
      <c r="F47" s="6">
        <f>IF(E47="SIM",IFERROR(INDEX(ELC_MG_PC!$J$26:$J$47,MATCH($B47,ELC_MG_PC!$C$26:$C$47,0)),0)+IFERROR(INDEX($B$78:$B$100,MATCH("DN"&amp;$B47,$A$78:$A$100,0)),0),0)</f>
        <v>0</v>
      </c>
      <c r="G47" s="120" t="s">
        <v>1049</v>
      </c>
      <c r="H47" s="6">
        <f>IF(G47="SIM",IFERROR(INDEX(ELC_MG_PC!$J$48:$J$69,MATCH($B47,ELC_MG_PC!$C$48:$C$69,0)),0),0)</f>
        <v>0</v>
      </c>
      <c r="I47" s="120" t="s">
        <v>1049</v>
      </c>
      <c r="J47" s="6">
        <f>IF(I47="SIM",IFERROR(INDEX(ELC_MG_PC!$J$70:$J$91,MATCH($B47,ELC_MG_PC!$C$70:$C$91,0)),0),0)</f>
        <v>0</v>
      </c>
      <c r="K47" s="120" t="s">
        <v>1049</v>
      </c>
      <c r="L47" s="6">
        <f t="shared" si="19"/>
        <v>0</v>
      </c>
      <c r="M47" s="91">
        <f t="shared" si="20"/>
        <v>0</v>
      </c>
      <c r="N47" s="121">
        <f t="shared" si="21"/>
        <v>4175.075413333333</v>
      </c>
      <c r="O47" s="5">
        <f t="shared" si="22"/>
        <v>0</v>
      </c>
      <c r="P47" s="6">
        <f>IFERROR(INDEX('PU CAST'!$T$54:$T$75,MATCH($B47,'PU CAST'!$S$54:$S$75,0)),0)</f>
        <v>80.750319999999988</v>
      </c>
      <c r="Q47" s="6">
        <f t="shared" si="23"/>
        <v>0</v>
      </c>
      <c r="R47" s="122">
        <f t="shared" si="24"/>
        <v>4175.075413333333</v>
      </c>
      <c r="S47" s="92">
        <f t="shared" si="25"/>
        <v>4175.075413333333</v>
      </c>
    </row>
    <row r="48" spans="1:19" ht="23.25" customHeight="1" x14ac:dyDescent="0.45">
      <c r="A48" s="79" t="s">
        <v>66</v>
      </c>
      <c r="B48" s="79">
        <v>30</v>
      </c>
      <c r="C48" s="120" t="s">
        <v>1049</v>
      </c>
      <c r="D48" s="6">
        <f>IF(C48="SIM",IFERROR(INDEX(ELC_MG_PC!$J$4:$J$25,MATCH($B48,ELC_MG_PC!$C$4:$C$25,0)),0)+IFERROR(INDEX($B$78:$B$100,MATCH("DN"&amp;$B48,$A$78:$A$100,0)),0),0)</f>
        <v>0</v>
      </c>
      <c r="E48" s="120" t="s">
        <v>1049</v>
      </c>
      <c r="F48" s="6">
        <f>IF(E48="SIM",IFERROR(INDEX(ELC_MG_PC!$J$26:$J$47,MATCH($B48,ELC_MG_PC!$C$26:$C$47,0)),0)+IFERROR(INDEX($B$78:$B$100,MATCH("DN"&amp;$B48,$A$78:$A$100,0)),0),0)</f>
        <v>0</v>
      </c>
      <c r="G48" s="120" t="s">
        <v>1049</v>
      </c>
      <c r="H48" s="6">
        <f>IF(G48="SIM",IFERROR(INDEX(ELC_MG_PC!$J$48:$J$69,MATCH($B48,ELC_MG_PC!$C$48:$C$69,0)),0),0)</f>
        <v>0</v>
      </c>
      <c r="I48" s="120" t="s">
        <v>1049</v>
      </c>
      <c r="J48" s="6">
        <f>IF(I48="SIM",IFERROR(INDEX(ELC_MG_PC!$J$70:$J$91,MATCH($B48,ELC_MG_PC!$C$70:$C$91,0)),0),0)</f>
        <v>0</v>
      </c>
      <c r="K48" s="120" t="s">
        <v>1049</v>
      </c>
      <c r="L48" s="6">
        <f t="shared" si="19"/>
        <v>0</v>
      </c>
      <c r="M48" s="91">
        <f t="shared" si="20"/>
        <v>0</v>
      </c>
      <c r="N48" s="121">
        <f t="shared" si="21"/>
        <v>7849.3990275200013</v>
      </c>
      <c r="O48" s="5">
        <f t="shared" si="22"/>
        <v>0</v>
      </c>
      <c r="P48" s="6">
        <f>IFERROR(INDEX('PU CAST'!$T$54:$T$75,MATCH($B48,'PU CAST'!$S$54:$S$75,0)),0)</f>
        <v>80.750319999999988</v>
      </c>
      <c r="Q48" s="6">
        <f t="shared" si="23"/>
        <v>0</v>
      </c>
      <c r="R48" s="122">
        <f t="shared" si="24"/>
        <v>7849.3990275200013</v>
      </c>
      <c r="S48" s="92">
        <f t="shared" si="25"/>
        <v>7849.3990275200013</v>
      </c>
    </row>
    <row r="49" spans="1:19" ht="23.25" customHeight="1" x14ac:dyDescent="0.45">
      <c r="A49" s="79" t="s">
        <v>66</v>
      </c>
      <c r="B49" s="79">
        <v>32</v>
      </c>
      <c r="C49" s="120" t="s">
        <v>1049</v>
      </c>
      <c r="D49" s="6">
        <f>IF(C49="SIM",IFERROR(INDEX(ELC_MG_PC!$J$4:$J$25,MATCH($B49,ELC_MG_PC!$C$4:$C$25,0)),0)+IFERROR(INDEX($B$78:$B$100,MATCH("DN"&amp;$B49,$A$78:$A$100,0)),0),0)</f>
        <v>0</v>
      </c>
      <c r="E49" s="120" t="s">
        <v>1049</v>
      </c>
      <c r="F49" s="6">
        <f>IF(E49="SIM",IFERROR(INDEX(ELC_MG_PC!$J$26:$J$47,MATCH($B49,ELC_MG_PC!$C$26:$C$47,0)),0)+IFERROR(INDEX($B$78:$B$100,MATCH("DN"&amp;$B49,$A$78:$A$100,0)),0),0)</f>
        <v>0</v>
      </c>
      <c r="G49" s="120" t="s">
        <v>1049</v>
      </c>
      <c r="H49" s="6">
        <f>IF(G49="SIM",IFERROR(INDEX(ELC_MG_PC!$J$48:$J$69,MATCH($B49,ELC_MG_PC!$C$48:$C$69,0)),0),0)</f>
        <v>0</v>
      </c>
      <c r="I49" s="120" t="s">
        <v>1049</v>
      </c>
      <c r="J49" s="6">
        <f>IF(I49="SIM",IFERROR(INDEX(ELC_MG_PC!$J$70:$J$91,MATCH($B49,ELC_MG_PC!$C$70:$C$91,0)),0),0)</f>
        <v>0</v>
      </c>
      <c r="K49" s="120" t="s">
        <v>1049</v>
      </c>
      <c r="L49" s="6">
        <f t="shared" si="19"/>
        <v>0</v>
      </c>
      <c r="M49" s="91">
        <f t="shared" si="20"/>
        <v>0</v>
      </c>
      <c r="N49" s="121">
        <f t="shared" si="21"/>
        <v>5420.1523200000001</v>
      </c>
      <c r="O49" s="5">
        <f t="shared" si="22"/>
        <v>0</v>
      </c>
      <c r="P49" s="6">
        <f>IFERROR(INDEX('PU CAST'!$T$54:$T$75,MATCH($B49,'PU CAST'!$S$54:$S$75,0)),0)</f>
        <v>176.60415500000002</v>
      </c>
      <c r="Q49" s="6">
        <f t="shared" si="23"/>
        <v>0</v>
      </c>
      <c r="R49" s="122">
        <f t="shared" si="24"/>
        <v>5420.1523200000001</v>
      </c>
      <c r="S49" s="92">
        <f t="shared" si="25"/>
        <v>5420.1523200000001</v>
      </c>
    </row>
    <row r="50" spans="1:19" ht="23.25" customHeight="1" x14ac:dyDescent="0.45">
      <c r="A50" s="79" t="s">
        <v>66</v>
      </c>
      <c r="B50" s="79">
        <v>34</v>
      </c>
      <c r="C50" s="120" t="s">
        <v>1049</v>
      </c>
      <c r="D50" s="6">
        <f>IF(C50="SIM",IFERROR(INDEX(ELC_MG_PC!$J$4:$J$25,MATCH($B50,ELC_MG_PC!$C$4:$C$25,0)),0)+IFERROR(INDEX($B$78:$B$100,MATCH("DN"&amp;$B50,$A$78:$A$100,0)),0),0)</f>
        <v>0</v>
      </c>
      <c r="E50" s="120" t="s">
        <v>1049</v>
      </c>
      <c r="F50" s="6">
        <f>IF(E50="SIM",IFERROR(INDEX(ELC_MG_PC!$J$26:$J$47,MATCH($B50,ELC_MG_PC!$C$26:$C$47,0)),0)+IFERROR(INDEX($B$78:$B$100,MATCH("DN"&amp;$B50,$A$78:$A$100,0)),0),0)</f>
        <v>0</v>
      </c>
      <c r="G50" s="120" t="s">
        <v>1049</v>
      </c>
      <c r="H50" s="6">
        <f>IF(G50="SIM",IFERROR(INDEX(ELC_MG_PC!$J$48:$J$69,MATCH($B50,ELC_MG_PC!$C$48:$C$69,0)),0),0)</f>
        <v>0</v>
      </c>
      <c r="I50" s="120" t="s">
        <v>1049</v>
      </c>
      <c r="J50" s="6">
        <f>IF(I50="SIM",IFERROR(INDEX(ELC_MG_PC!$J$70:$J$91,MATCH($B50,ELC_MG_PC!$C$70:$C$91,0)),0),0)</f>
        <v>0</v>
      </c>
      <c r="K50" s="120" t="s">
        <v>1049</v>
      </c>
      <c r="L50" s="6">
        <f t="shared" si="19"/>
        <v>0</v>
      </c>
      <c r="M50" s="91">
        <f t="shared" si="20"/>
        <v>0</v>
      </c>
      <c r="N50" s="121">
        <f t="shared" si="21"/>
        <v>5525.1523200000001</v>
      </c>
      <c r="O50" s="5">
        <f t="shared" si="22"/>
        <v>0</v>
      </c>
      <c r="P50" s="6">
        <f>IFERROR(INDEX('PU CAST'!$T$54:$T$75,MATCH($B50,'PU CAST'!$S$54:$S$75,0)),0)</f>
        <v>176.60415500000002</v>
      </c>
      <c r="Q50" s="6">
        <f t="shared" si="23"/>
        <v>0</v>
      </c>
      <c r="R50" s="122">
        <f t="shared" si="24"/>
        <v>5525.1523200000001</v>
      </c>
      <c r="S50" s="92">
        <f t="shared" si="25"/>
        <v>5525.1523200000001</v>
      </c>
    </row>
    <row r="51" spans="1:19" ht="23.25" customHeight="1" x14ac:dyDescent="0.45">
      <c r="A51" s="79" t="s">
        <v>66</v>
      </c>
      <c r="B51" s="79">
        <v>36</v>
      </c>
      <c r="C51" s="120" t="s">
        <v>1049</v>
      </c>
      <c r="D51" s="6">
        <f>IF(C51="SIM",IFERROR(INDEX(ELC_MG_PC!$J$4:$J$25,MATCH($B51,ELC_MG_PC!$C$4:$C$25,0)),0)+IFERROR(INDEX($B$78:$B$100,MATCH("DN"&amp;$B51,$A$78:$A$100,0)),0),0)</f>
        <v>0</v>
      </c>
      <c r="E51" s="120" t="s">
        <v>1049</v>
      </c>
      <c r="F51" s="6">
        <f>IF(E51="SIM",IFERROR(INDEX(ELC_MG_PC!$J$26:$J$47,MATCH($B51,ELC_MG_PC!$C$26:$C$47,0)),0)+IFERROR(INDEX($B$78:$B$100,MATCH("DN"&amp;$B51,$A$78:$A$100,0)),0),0)</f>
        <v>0</v>
      </c>
      <c r="G51" s="120" t="s">
        <v>1049</v>
      </c>
      <c r="H51" s="6">
        <f>IF(G51="SIM",IFERROR(INDEX(ELC_MG_PC!$J$48:$J$69,MATCH($B51,ELC_MG_PC!$C$48:$C$69,0)),0),0)</f>
        <v>0</v>
      </c>
      <c r="I51" s="120" t="s">
        <v>1049</v>
      </c>
      <c r="J51" s="6">
        <f>IF(I51="SIM",IFERROR(INDEX(ELC_MG_PC!$J$70:$J$91,MATCH($B51,ELC_MG_PC!$C$70:$C$91,0)),0),0)</f>
        <v>0</v>
      </c>
      <c r="K51" s="120" t="s">
        <v>1049</v>
      </c>
      <c r="L51" s="6">
        <f t="shared" si="19"/>
        <v>0</v>
      </c>
      <c r="M51" s="91">
        <f t="shared" si="20"/>
        <v>0</v>
      </c>
      <c r="N51" s="121">
        <f t="shared" si="21"/>
        <v>7101.5076479999998</v>
      </c>
      <c r="O51" s="5">
        <f t="shared" si="22"/>
        <v>0</v>
      </c>
      <c r="P51" s="6">
        <f>IFERROR(INDEX('PU CAST'!$T$54:$T$75,MATCH($B51,'PU CAST'!$S$54:$S$75,0)),0)</f>
        <v>378.442792</v>
      </c>
      <c r="Q51" s="6">
        <f t="shared" si="23"/>
        <v>0</v>
      </c>
      <c r="R51" s="122">
        <f t="shared" si="24"/>
        <v>7101.5076479999998</v>
      </c>
      <c r="S51" s="92">
        <f t="shared" si="25"/>
        <v>7101.5076479999998</v>
      </c>
    </row>
    <row r="52" spans="1:19" ht="23.25" customHeight="1" x14ac:dyDescent="0.45">
      <c r="A52" s="79" t="s">
        <v>66</v>
      </c>
      <c r="B52" s="79">
        <v>38</v>
      </c>
      <c r="C52" s="120" t="s">
        <v>1050</v>
      </c>
      <c r="D52" s="6">
        <f>IF(C52="SIM",IFERROR(INDEX(ELC_MG_PC!$J$4:$J$25,MATCH($B52,ELC_MG_PC!$C$4:$C$25,0)),0)+IFERROR(INDEX($B$78:$B$100,MATCH("DN"&amp;$B52,$A$78:$A$100,0)),0),0)</f>
        <v>6004.8580294654703</v>
      </c>
      <c r="E52" s="120" t="s">
        <v>1049</v>
      </c>
      <c r="F52" s="6">
        <f>IF(E52="SIM",IFERROR(INDEX(ELC_MG_PC!$J$26:$J$47,MATCH($B52,ELC_MG_PC!$C$26:$C$47,0)),0)+IFERROR(INDEX($B$78:$B$100,MATCH("DN"&amp;$B52,$A$78:$A$100,0)),0),0)</f>
        <v>0</v>
      </c>
      <c r="G52" s="120" t="s">
        <v>1050</v>
      </c>
      <c r="H52" s="6">
        <f>IF(G52="SIM",IFERROR(INDEX(ELC_MG_PC!$J$48:$J$69,MATCH($B52,ELC_MG_PC!$C$48:$C$69,0)),0),0)</f>
        <v>2740</v>
      </c>
      <c r="I52" s="120" t="s">
        <v>1050</v>
      </c>
      <c r="J52" s="6">
        <f>IF(I52="SIM",IFERROR(INDEX(ELC_MG_PC!$J$70:$J$91,MATCH($B52,ELC_MG_PC!$C$70:$C$91,0)),0),0)</f>
        <v>4005.36</v>
      </c>
      <c r="K52" s="120" t="s">
        <v>1050</v>
      </c>
      <c r="L52" s="6">
        <f t="shared" si="19"/>
        <v>120</v>
      </c>
      <c r="M52" s="91">
        <f t="shared" si="20"/>
        <v>12870.218029465472</v>
      </c>
      <c r="N52" s="121">
        <f t="shared" si="21"/>
        <v>20030.925677465471</v>
      </c>
      <c r="O52" s="5">
        <f t="shared" si="22"/>
        <v>3</v>
      </c>
      <c r="P52" s="6">
        <f>IFERROR(INDEX('PU CAST'!$T$54:$T$75,MATCH($B52,'PU CAST'!$S$54:$S$75,0)),0)</f>
        <v>378.442792</v>
      </c>
      <c r="Q52" s="6">
        <f t="shared" si="23"/>
        <v>1135.3283759999999</v>
      </c>
      <c r="R52" s="122">
        <f t="shared" si="24"/>
        <v>7160.7076479999996</v>
      </c>
      <c r="S52" s="92">
        <f t="shared" si="25"/>
        <v>21166.254053465473</v>
      </c>
    </row>
    <row r="53" spans="1:19" ht="23.25" customHeight="1" x14ac:dyDescent="0.45">
      <c r="A53" s="79" t="s">
        <v>66</v>
      </c>
      <c r="B53" s="79">
        <v>40</v>
      </c>
      <c r="C53" s="120" t="s">
        <v>1049</v>
      </c>
      <c r="D53" s="6">
        <f>IF(C53="SIM",IFERROR(INDEX(ELC_MG_PC!$J$4:$J$25,MATCH($B53,ELC_MG_PC!$C$4:$C$25,0)),0)+IFERROR(INDEX($B$78:$B$100,MATCH("DN"&amp;$B53,$A$78:$A$100,0)),0),0)</f>
        <v>0</v>
      </c>
      <c r="E53" s="120" t="s">
        <v>1049</v>
      </c>
      <c r="F53" s="6">
        <f>IF(E53="SIM",IFERROR(INDEX(ELC_MG_PC!$J$26:$J$47,MATCH($B53,ELC_MG_PC!$C$26:$C$47,0)),0)+IFERROR(INDEX($B$78:$B$100,MATCH("DN"&amp;$B53,$A$78:$A$100,0)),0),0)</f>
        <v>0</v>
      </c>
      <c r="G53" s="120" t="s">
        <v>1049</v>
      </c>
      <c r="H53" s="6">
        <f>IF(G53="SIM",IFERROR(INDEX(ELC_MG_PC!$J$48:$J$69,MATCH($B53,ELC_MG_PC!$C$48:$C$69,0)),0),0)</f>
        <v>0</v>
      </c>
      <c r="I53" s="120" t="s">
        <v>1049</v>
      </c>
      <c r="J53" s="6">
        <f>IF(I53="SIM",IFERROR(INDEX(ELC_MG_PC!$J$70:$J$91,MATCH($B53,ELC_MG_PC!$C$70:$C$91,0)),0),0)</f>
        <v>0</v>
      </c>
      <c r="K53" s="120" t="s">
        <v>1049</v>
      </c>
      <c r="L53" s="6">
        <f t="shared" si="19"/>
        <v>0</v>
      </c>
      <c r="M53" s="91">
        <f t="shared" si="20"/>
        <v>0</v>
      </c>
      <c r="N53" s="121">
        <f t="shared" si="21"/>
        <v>8019.8856959999994</v>
      </c>
      <c r="O53" s="5">
        <f t="shared" si="22"/>
        <v>0</v>
      </c>
      <c r="P53" s="6">
        <f>IFERROR(INDEX('PU CAST'!$T$54:$T$75,MATCH($B53,'PU CAST'!$S$54:$S$75,0)),0)</f>
        <v>460.06405900000004</v>
      </c>
      <c r="Q53" s="6">
        <f t="shared" si="23"/>
        <v>0</v>
      </c>
      <c r="R53" s="122">
        <f t="shared" si="24"/>
        <v>8019.8856959999994</v>
      </c>
      <c r="S53" s="92">
        <f t="shared" si="25"/>
        <v>8019.8856959999994</v>
      </c>
    </row>
    <row r="54" spans="1:19" ht="23.25" customHeight="1" x14ac:dyDescent="0.45">
      <c r="A54" s="79" t="s">
        <v>66</v>
      </c>
      <c r="B54" s="79">
        <v>42</v>
      </c>
      <c r="C54" s="120" t="s">
        <v>1049</v>
      </c>
      <c r="D54" s="6">
        <f>IF(C54="SIM",IFERROR(INDEX(ELC_MG_PC!$J$4:$J$25,MATCH($B54,ELC_MG_PC!$C$4:$C$25,0)),0)+IFERROR(INDEX($B$78:$B$100,MATCH("DN"&amp;$B54,$A$78:$A$100,0)),0),0)</f>
        <v>0</v>
      </c>
      <c r="E54" s="120" t="s">
        <v>1049</v>
      </c>
      <c r="F54" s="6">
        <f>IF(E54="SIM",IFERROR(INDEX(ELC_MG_PC!$J$26:$J$47,MATCH($B54,ELC_MG_PC!$C$26:$C$47,0)),0)+IFERROR(INDEX($B$78:$B$100,MATCH("DN"&amp;$B54,$A$78:$A$100,0)),0),0)</f>
        <v>0</v>
      </c>
      <c r="G54" s="120" t="s">
        <v>1049</v>
      </c>
      <c r="H54" s="6">
        <f>IF(G54="SIM",IFERROR(INDEX(ELC_MG_PC!$J$48:$J$69,MATCH($B54,ELC_MG_PC!$C$48:$C$69,0)),0),0)</f>
        <v>0</v>
      </c>
      <c r="I54" s="120" t="s">
        <v>1049</v>
      </c>
      <c r="J54" s="6">
        <f>IF(I54="SIM",IFERROR(INDEX(ELC_MG_PC!$J$70:$J$91,MATCH($B54,ELC_MG_PC!$C$70:$C$91,0)),0),0)</f>
        <v>0</v>
      </c>
      <c r="K54" s="120" t="s">
        <v>1049</v>
      </c>
      <c r="L54" s="6">
        <f t="shared" si="19"/>
        <v>0</v>
      </c>
      <c r="M54" s="91">
        <f t="shared" si="20"/>
        <v>0</v>
      </c>
      <c r="N54" s="121">
        <f t="shared" si="21"/>
        <v>8483.4489599999997</v>
      </c>
      <c r="O54" s="5">
        <f t="shared" si="22"/>
        <v>0</v>
      </c>
      <c r="P54" s="6">
        <f>IFERROR(INDEX('PU CAST'!$T$54:$T$75,MATCH($B54,'PU CAST'!$S$54:$S$75,0)),0)</f>
        <v>511.20296500000001</v>
      </c>
      <c r="Q54" s="6">
        <f t="shared" si="23"/>
        <v>0</v>
      </c>
      <c r="R54" s="122">
        <f t="shared" si="24"/>
        <v>8483.4489599999997</v>
      </c>
      <c r="S54" s="92">
        <f t="shared" si="25"/>
        <v>8483.4489599999997</v>
      </c>
    </row>
    <row r="55" spans="1:19" ht="23.25" customHeight="1" x14ac:dyDescent="0.45">
      <c r="A55" s="403" t="s">
        <v>1051</v>
      </c>
      <c r="B55" s="403"/>
      <c r="C55" s="403"/>
      <c r="D55" s="403"/>
      <c r="E55" s="403"/>
      <c r="F55" s="403"/>
      <c r="G55" s="403"/>
      <c r="H55" s="403"/>
      <c r="I55" s="403"/>
      <c r="J55" s="403"/>
      <c r="K55" s="403"/>
      <c r="L55" s="403"/>
      <c r="M55" s="403"/>
      <c r="N55" s="403"/>
      <c r="O55" s="403"/>
    </row>
    <row r="76" spans="1:2" ht="23.25" customHeight="1" x14ac:dyDescent="0.45">
      <c r="A76" s="440" t="s">
        <v>1052</v>
      </c>
      <c r="B76" s="440"/>
    </row>
    <row r="77" spans="1:2" ht="23.25" customHeight="1" x14ac:dyDescent="0.45">
      <c r="A77" s="123" t="s">
        <v>1053</v>
      </c>
      <c r="B77" s="124">
        <v>0</v>
      </c>
    </row>
    <row r="78" spans="1:2" ht="23.25" customHeight="1" x14ac:dyDescent="0.45">
      <c r="A78" s="123" t="s">
        <v>1054</v>
      </c>
      <c r="B78" s="124">
        <v>0</v>
      </c>
    </row>
    <row r="79" spans="1:2" ht="23.25" customHeight="1" x14ac:dyDescent="0.45">
      <c r="A79" s="123" t="s">
        <v>1055</v>
      </c>
      <c r="B79" s="124">
        <v>0</v>
      </c>
    </row>
    <row r="80" spans="1:2" ht="23.25" customHeight="1" x14ac:dyDescent="0.45">
      <c r="A80" s="123" t="s">
        <v>1056</v>
      </c>
      <c r="B80" s="124">
        <v>0</v>
      </c>
    </row>
    <row r="81" spans="1:2" ht="23.25" customHeight="1" x14ac:dyDescent="0.45">
      <c r="A81" s="123" t="s">
        <v>1057</v>
      </c>
      <c r="B81" s="124">
        <v>0</v>
      </c>
    </row>
    <row r="82" spans="1:2" ht="23.25" customHeight="1" x14ac:dyDescent="0.45">
      <c r="A82" s="123" t="s">
        <v>1058</v>
      </c>
      <c r="B82" s="124">
        <v>22.331679999999999</v>
      </c>
    </row>
    <row r="83" spans="1:2" ht="23.25" customHeight="1" x14ac:dyDescent="0.45">
      <c r="A83" s="123" t="s">
        <v>1059</v>
      </c>
      <c r="B83" s="124">
        <v>22.331679999999999</v>
      </c>
    </row>
    <row r="84" spans="1:2" ht="23.25" customHeight="1" x14ac:dyDescent="0.45">
      <c r="A84" s="123" t="s">
        <v>1060</v>
      </c>
      <c r="B84" s="124">
        <v>62.827632000000001</v>
      </c>
    </row>
    <row r="85" spans="1:2" ht="23.25" customHeight="1" x14ac:dyDescent="0.45">
      <c r="A85" s="123" t="s">
        <v>1061</v>
      </c>
      <c r="B85" s="124">
        <v>111.693568</v>
      </c>
    </row>
    <row r="86" spans="1:2" ht="23.25" customHeight="1" x14ac:dyDescent="0.45">
      <c r="A86" s="123" t="s">
        <v>1062</v>
      </c>
      <c r="B86" s="124">
        <v>111.693568</v>
      </c>
    </row>
    <row r="87" spans="1:2" ht="23.25" customHeight="1" x14ac:dyDescent="0.45">
      <c r="A87" s="123" t="s">
        <v>1063</v>
      </c>
      <c r="B87" s="124">
        <v>111.693568</v>
      </c>
    </row>
    <row r="88" spans="1:2" ht="23.25" customHeight="1" x14ac:dyDescent="0.45">
      <c r="A88" s="123" t="s">
        <v>1064</v>
      </c>
      <c r="B88" s="124">
        <v>192.40962300000001</v>
      </c>
    </row>
    <row r="89" spans="1:2" ht="23.25" customHeight="1" x14ac:dyDescent="0.45">
      <c r="A89" s="123" t="s">
        <v>1065</v>
      </c>
      <c r="B89" s="124">
        <v>294.94082800000001</v>
      </c>
    </row>
    <row r="90" spans="1:2" ht="23.25" customHeight="1" x14ac:dyDescent="0.45">
      <c r="A90" s="123" t="s">
        <v>1066</v>
      </c>
      <c r="B90" s="124">
        <v>294.94082800000001</v>
      </c>
    </row>
    <row r="91" spans="1:2" ht="23.25" customHeight="1" x14ac:dyDescent="0.45">
      <c r="A91" s="123" t="s">
        <v>1067</v>
      </c>
      <c r="B91" s="124">
        <v>967.36624856474396</v>
      </c>
    </row>
    <row r="92" spans="1:2" ht="23.25" customHeight="1" x14ac:dyDescent="0.45">
      <c r="A92" s="123" t="s">
        <v>1068</v>
      </c>
      <c r="B92" s="124">
        <v>1188.2410506680901</v>
      </c>
    </row>
    <row r="93" spans="1:2" ht="23.25" customHeight="1" x14ac:dyDescent="0.45">
      <c r="A93" s="123" t="s">
        <v>1069</v>
      </c>
      <c r="B93" s="124">
        <v>1430.93100277143</v>
      </c>
    </row>
    <row r="94" spans="1:2" ht="23.25" customHeight="1" x14ac:dyDescent="0.45">
      <c r="A94" s="123" t="s">
        <v>1070</v>
      </c>
      <c r="B94" s="124">
        <v>1738.18805224013</v>
      </c>
    </row>
    <row r="95" spans="1:2" ht="23.25" customHeight="1" x14ac:dyDescent="0.45">
      <c r="A95" s="123" t="s">
        <v>1071</v>
      </c>
      <c r="B95" s="124">
        <v>2028.6190685132201</v>
      </c>
    </row>
    <row r="96" spans="1:2" ht="23.25" customHeight="1" x14ac:dyDescent="0.45">
      <c r="A96" s="123" t="s">
        <v>1072</v>
      </c>
      <c r="B96" s="124">
        <v>2340.8652347862999</v>
      </c>
    </row>
    <row r="97" spans="1:2" ht="23.25" customHeight="1" x14ac:dyDescent="0.45">
      <c r="A97" s="123" t="s">
        <v>1073</v>
      </c>
      <c r="B97" s="124">
        <v>2674.92655105939</v>
      </c>
    </row>
    <row r="98" spans="1:2" ht="23.25" customHeight="1" x14ac:dyDescent="0.45">
      <c r="A98" s="123" t="s">
        <v>1074</v>
      </c>
      <c r="B98" s="124">
        <v>3208.38802946547</v>
      </c>
    </row>
    <row r="99" spans="1:2" ht="23.25" customHeight="1" x14ac:dyDescent="0.45">
      <c r="A99" s="123" t="s">
        <v>1075</v>
      </c>
      <c r="B99" s="124">
        <v>3598.4119382478002</v>
      </c>
    </row>
    <row r="100" spans="1:2" ht="23.25" customHeight="1" x14ac:dyDescent="0.45">
      <c r="A100" s="123" t="s">
        <v>1076</v>
      </c>
      <c r="B100" s="124">
        <v>4010.2509970301198</v>
      </c>
    </row>
  </sheetData>
  <autoFilter ref="A32:BX55" xr:uid="{00000000-0001-0000-0500-000000000000}"/>
  <mergeCells count="22">
    <mergeCell ref="A1:BJ1"/>
    <mergeCell ref="A2:BJ2"/>
    <mergeCell ref="C3:I3"/>
    <mergeCell ref="A4:A5"/>
    <mergeCell ref="B4:B5"/>
    <mergeCell ref="C4:E4"/>
    <mergeCell ref="F4:H4"/>
    <mergeCell ref="I4:K4"/>
    <mergeCell ref="L4:N4"/>
    <mergeCell ref="O4:S4"/>
    <mergeCell ref="T4:Y4"/>
    <mergeCell ref="Z4:AC4"/>
    <mergeCell ref="AD4:AI4"/>
    <mergeCell ref="AJ4:AN4"/>
    <mergeCell ref="AO4:AS4"/>
    <mergeCell ref="AT4:AX4"/>
    <mergeCell ref="A76:B76"/>
    <mergeCell ref="AY4:BB4"/>
    <mergeCell ref="BC4:BJ4"/>
    <mergeCell ref="N30:S31"/>
    <mergeCell ref="A31:L31"/>
    <mergeCell ref="A55:O55"/>
  </mergeCells>
  <conditionalFormatting sqref="C33:C54">
    <cfRule type="containsText" dxfId="4" priority="2" operator="containsText" text="SIM">
      <formula>NOT(ISERROR(SEARCH("SIM",C33)))</formula>
    </cfRule>
  </conditionalFormatting>
  <conditionalFormatting sqref="E33:E54">
    <cfRule type="containsText" dxfId="3" priority="3" operator="containsText" text="SIM">
      <formula>NOT(ISERROR(SEARCH("SIM",E33)))</formula>
    </cfRule>
  </conditionalFormatting>
  <conditionalFormatting sqref="G33:G54">
    <cfRule type="containsText" dxfId="2" priority="4" operator="containsText" text="SIM">
      <formula>NOT(ISERROR(SEARCH("SIM",G33)))</formula>
    </cfRule>
  </conditionalFormatting>
  <conditionalFormatting sqref="I33:I54">
    <cfRule type="containsText" dxfId="1" priority="5" operator="containsText" text="SIM">
      <formula>NOT(ISERROR(SEARCH("SIM",I33)))</formula>
    </cfRule>
  </conditionalFormatting>
  <conditionalFormatting sqref="K33:K54">
    <cfRule type="containsText" dxfId="0" priority="6" operator="containsText" text="SIM">
      <formula>NOT(ISERROR(SEARCH("SIM",K33)))</formula>
    </cfRule>
  </conditionalFormatting>
  <dataValidations count="1">
    <dataValidation type="list" sqref="C33:C54 E33:E54 G33:G54 I33:I54 K33:K54" xr:uid="{00000000-0002-0000-0500-000000000000}">
      <formula1>"SIM,NÃO"</formula1>
      <formula2>0</formula2>
    </dataValidation>
  </dataValidations>
  <hyperlinks>
    <hyperlink ref="A3" location="PAINEL!A1" tooltip="Voltar ao Painel de Navegação" display="⬅ PAINEL" xr:uid="{9FDAC732-2ABA-498F-8608-D6AF9022CB2B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40"/>
  <sheetViews>
    <sheetView zoomScale="90" zoomScaleNormal="90" workbookViewId="0">
      <pane ySplit="3" topLeftCell="A4" activePane="bottomLeft" state="frozen"/>
      <selection pane="bottomLeft" activeCell="A3" sqref="A3"/>
    </sheetView>
  </sheetViews>
  <sheetFormatPr defaultColWidth="8.5546875" defaultRowHeight="14.4" x14ac:dyDescent="0.3"/>
  <cols>
    <col min="1" max="1" width="37.44140625" customWidth="1"/>
    <col min="2" max="5" width="15" customWidth="1"/>
    <col min="6" max="6" width="12.21875" bestFit="1" customWidth="1"/>
    <col min="7" max="7" width="3" style="23" customWidth="1"/>
    <col min="8" max="8" width="41.88671875" style="23" customWidth="1"/>
    <col min="9" max="9" width="8.5546875" style="23"/>
    <col min="10" max="10" width="8.33203125" style="23" customWidth="1"/>
    <col min="11" max="11" width="8.5546875" style="23"/>
    <col min="12" max="12" width="19.88671875" style="23" customWidth="1"/>
    <col min="13" max="14" width="15" style="23" customWidth="1"/>
    <col min="15" max="15" width="9.44140625" style="23" bestFit="1" customWidth="1"/>
    <col min="16" max="16" width="12.33203125" style="23" customWidth="1"/>
    <col min="17" max="17" width="8.5546875" style="23"/>
    <col min="18" max="18" width="4.109375" style="23" customWidth="1"/>
    <col min="19" max="19" width="19.44140625" style="23" customWidth="1"/>
    <col min="20" max="20" width="15" style="23" customWidth="1"/>
    <col min="21" max="21" width="12.44140625" style="23" customWidth="1"/>
    <col min="22" max="22" width="8.33203125" style="23" customWidth="1"/>
    <col min="23" max="23" width="12.44140625" customWidth="1"/>
    <col min="24" max="24" width="13.88671875" style="23" customWidth="1"/>
    <col min="25" max="28" width="8.5546875" style="23"/>
  </cols>
  <sheetData>
    <row r="1" spans="1:23" ht="21.75" customHeight="1" x14ac:dyDescent="0.3">
      <c r="A1" s="453" t="s">
        <v>887</v>
      </c>
      <c r="B1" s="453"/>
      <c r="C1" s="453"/>
      <c r="D1" s="453"/>
      <c r="E1" s="453"/>
      <c r="F1" s="453"/>
      <c r="H1" s="454" t="s">
        <v>888</v>
      </c>
      <c r="I1" s="454"/>
      <c r="J1" s="61">
        <f>PARÂMETROS!$E$6</f>
        <v>39.93</v>
      </c>
      <c r="M1" s="62" t="s">
        <v>889</v>
      </c>
      <c r="N1" s="63">
        <f>PARÂMETROS!$H$3</f>
        <v>40</v>
      </c>
      <c r="W1" s="23"/>
    </row>
    <row r="2" spans="1:23" ht="30.75" customHeight="1" x14ac:dyDescent="0.3">
      <c r="A2" s="455" t="s">
        <v>890</v>
      </c>
      <c r="B2" s="455"/>
      <c r="C2" s="455"/>
      <c r="D2" s="455"/>
      <c r="E2" s="455"/>
      <c r="F2" s="455"/>
      <c r="H2" s="454" t="s">
        <v>891</v>
      </c>
      <c r="I2" s="454"/>
      <c r="J2" s="61">
        <f>PARÂMETROS!$E$15</f>
        <v>34.130000000000003</v>
      </c>
      <c r="K2" s="456" t="s">
        <v>892</v>
      </c>
      <c r="L2" s="456"/>
      <c r="M2" s="456"/>
      <c r="N2" s="64">
        <v>3</v>
      </c>
      <c r="W2" s="23"/>
    </row>
    <row r="3" spans="1:23" s="23" customFormat="1" ht="30.75" customHeight="1" x14ac:dyDescent="0.3">
      <c r="A3" s="358" t="s">
        <v>1757</v>
      </c>
      <c r="K3" s="43"/>
      <c r="L3" s="43"/>
      <c r="M3" s="43"/>
      <c r="N3" s="43"/>
      <c r="O3" s="43"/>
      <c r="P3" s="43"/>
      <c r="Q3" s="43"/>
      <c r="R3" s="43"/>
    </row>
    <row r="4" spans="1:23" ht="21" customHeight="1" x14ac:dyDescent="0.3">
      <c r="A4" s="450" t="s">
        <v>893</v>
      </c>
      <c r="B4" s="450"/>
      <c r="C4" s="450"/>
      <c r="D4" s="450"/>
      <c r="E4" s="450"/>
      <c r="F4" s="450"/>
      <c r="K4" s="451" t="s">
        <v>894</v>
      </c>
      <c r="L4" s="451"/>
      <c r="M4" s="451"/>
      <c r="N4" s="451"/>
      <c r="O4" s="451"/>
      <c r="P4" s="451"/>
      <c r="Q4" s="43"/>
      <c r="R4" s="452" t="s">
        <v>895</v>
      </c>
      <c r="S4" s="452"/>
      <c r="T4" s="452"/>
      <c r="U4" s="452"/>
      <c r="V4" s="452"/>
      <c r="W4" s="452"/>
    </row>
    <row r="5" spans="1:23" ht="15" customHeight="1" x14ac:dyDescent="0.3">
      <c r="A5" s="3" t="s">
        <v>896</v>
      </c>
      <c r="B5" s="3" t="s">
        <v>39</v>
      </c>
      <c r="C5" s="3" t="s">
        <v>41</v>
      </c>
      <c r="D5" s="3" t="s">
        <v>43</v>
      </c>
      <c r="E5" s="3" t="s">
        <v>45</v>
      </c>
      <c r="F5" s="3" t="s">
        <v>47</v>
      </c>
      <c r="K5" s="66" t="s">
        <v>10</v>
      </c>
      <c r="L5" s="66" t="s">
        <v>897</v>
      </c>
      <c r="M5" s="66" t="s">
        <v>898</v>
      </c>
      <c r="N5" s="66" t="s">
        <v>899</v>
      </c>
      <c r="O5" s="66" t="s">
        <v>880</v>
      </c>
      <c r="P5" s="66" t="s">
        <v>900</v>
      </c>
      <c r="Q5" s="43"/>
      <c r="R5" s="66" t="s">
        <v>10</v>
      </c>
      <c r="S5" s="66" t="s">
        <v>901</v>
      </c>
      <c r="T5" s="66" t="s">
        <v>898</v>
      </c>
      <c r="U5" s="66" t="s">
        <v>899</v>
      </c>
      <c r="V5" s="66" t="s">
        <v>880</v>
      </c>
      <c r="W5" s="66" t="s">
        <v>900</v>
      </c>
    </row>
    <row r="6" spans="1:23" ht="25.5" customHeight="1" x14ac:dyDescent="0.3">
      <c r="A6" s="67" t="s">
        <v>902</v>
      </c>
      <c r="B6" s="68">
        <f>P6*3</f>
        <v>167.916</v>
      </c>
      <c r="C6" s="68">
        <f>P7*3</f>
        <v>209.84249999999997</v>
      </c>
      <c r="D6" s="68">
        <f>P8*3</f>
        <v>281.7165</v>
      </c>
      <c r="E6" s="68">
        <f>P9*3</f>
        <v>419.47499999999997</v>
      </c>
      <c r="F6" s="68">
        <f>P10*3</f>
        <v>683.01299999999992</v>
      </c>
      <c r="K6" s="66" t="s">
        <v>39</v>
      </c>
      <c r="L6" s="69">
        <v>0.4</v>
      </c>
      <c r="M6" s="70">
        <f>L6*J1</f>
        <v>15.972000000000001</v>
      </c>
      <c r="N6" s="71">
        <v>1</v>
      </c>
      <c r="O6" s="72">
        <f>N6*$N$1</f>
        <v>40</v>
      </c>
      <c r="P6" s="73">
        <f>O6+M6</f>
        <v>55.972000000000001</v>
      </c>
      <c r="Q6" s="43"/>
      <c r="R6" s="66" t="s">
        <v>39</v>
      </c>
      <c r="S6" s="69">
        <v>0.45</v>
      </c>
      <c r="T6" s="72">
        <f>S6*J2</f>
        <v>15.358500000000001</v>
      </c>
      <c r="U6" s="71">
        <v>1</v>
      </c>
      <c r="V6" s="72">
        <f>U6*$N$1</f>
        <v>40</v>
      </c>
      <c r="W6" s="73">
        <f>V6+T6</f>
        <v>55.358499999999999</v>
      </c>
    </row>
    <row r="7" spans="1:23" ht="25.5" customHeight="1" x14ac:dyDescent="0.3">
      <c r="A7" s="67" t="s">
        <v>903</v>
      </c>
      <c r="B7" s="68">
        <f>P14</f>
        <v>92.252849999999995</v>
      </c>
      <c r="C7" s="68">
        <f>P15</f>
        <v>112.56020000000001</v>
      </c>
      <c r="D7" s="68">
        <f>P16</f>
        <v>121.434</v>
      </c>
      <c r="E7" s="68">
        <f>P17</f>
        <v>247.715</v>
      </c>
      <c r="F7" s="68">
        <f>P18</f>
        <v>275.01900000000001</v>
      </c>
      <c r="K7" s="66" t="s">
        <v>41</v>
      </c>
      <c r="L7" s="69">
        <v>0.75</v>
      </c>
      <c r="M7" s="70">
        <f>L7*J1</f>
        <v>29.947499999999998</v>
      </c>
      <c r="N7" s="71">
        <v>1</v>
      </c>
      <c r="O7" s="72">
        <f>N7*$N$1</f>
        <v>40</v>
      </c>
      <c r="P7" s="73">
        <f>O7+M7</f>
        <v>69.947499999999991</v>
      </c>
      <c r="Q7" s="43"/>
      <c r="R7" s="66" t="s">
        <v>41</v>
      </c>
      <c r="S7" s="69">
        <v>1.2</v>
      </c>
      <c r="T7" s="72">
        <f>S7*J2</f>
        <v>40.956000000000003</v>
      </c>
      <c r="U7" s="71">
        <v>1</v>
      </c>
      <c r="V7" s="72">
        <f>U7*$N$1</f>
        <v>40</v>
      </c>
      <c r="W7" s="73">
        <f>V7+T7</f>
        <v>80.956000000000003</v>
      </c>
    </row>
    <row r="8" spans="1:23" ht="25.5" customHeight="1" x14ac:dyDescent="0.3">
      <c r="A8" s="67" t="s">
        <v>904</v>
      </c>
      <c r="B8" s="68">
        <f>W6</f>
        <v>55.358499999999999</v>
      </c>
      <c r="C8" s="68">
        <f>W7</f>
        <v>80.956000000000003</v>
      </c>
      <c r="D8" s="68">
        <f>W8</f>
        <v>91.195000000000007</v>
      </c>
      <c r="E8" s="68">
        <f>W9</f>
        <v>156.042</v>
      </c>
      <c r="F8" s="68">
        <f>W10</f>
        <v>224.30200000000002</v>
      </c>
      <c r="K8" s="66" t="s">
        <v>43</v>
      </c>
      <c r="L8" s="69">
        <v>1.35</v>
      </c>
      <c r="M8" s="70">
        <f>L8*J1</f>
        <v>53.905500000000004</v>
      </c>
      <c r="N8" s="71">
        <v>1</v>
      </c>
      <c r="O8" s="72">
        <f>N8*$N$1</f>
        <v>40</v>
      </c>
      <c r="P8" s="73">
        <f>O8+M8</f>
        <v>93.905500000000004</v>
      </c>
      <c r="Q8" s="43"/>
      <c r="R8" s="66" t="s">
        <v>43</v>
      </c>
      <c r="S8" s="69">
        <v>1.5</v>
      </c>
      <c r="T8" s="72">
        <f>S8*J2</f>
        <v>51.195000000000007</v>
      </c>
      <c r="U8" s="71">
        <v>1</v>
      </c>
      <c r="V8" s="72">
        <f>U8*$N$1</f>
        <v>40</v>
      </c>
      <c r="W8" s="73">
        <f>V8+T8</f>
        <v>91.195000000000007</v>
      </c>
    </row>
    <row r="9" spans="1:23" ht="25.5" customHeight="1" x14ac:dyDescent="0.3">
      <c r="A9" s="74" t="s">
        <v>905</v>
      </c>
      <c r="B9" s="68">
        <v>45</v>
      </c>
      <c r="C9" s="68">
        <v>45</v>
      </c>
      <c r="D9" s="68">
        <v>45</v>
      </c>
      <c r="E9" s="68">
        <v>45</v>
      </c>
      <c r="F9" s="68">
        <v>45</v>
      </c>
      <c r="K9" s="66" t="s">
        <v>906</v>
      </c>
      <c r="L9" s="69">
        <v>2.5</v>
      </c>
      <c r="M9" s="70">
        <f>L9*J1</f>
        <v>99.825000000000003</v>
      </c>
      <c r="N9" s="71">
        <v>1</v>
      </c>
      <c r="O9" s="72">
        <f>N9*$N$1</f>
        <v>40</v>
      </c>
      <c r="P9" s="73">
        <f>O9+M9</f>
        <v>139.82499999999999</v>
      </c>
      <c r="Q9" s="43"/>
      <c r="R9" s="66" t="s">
        <v>906</v>
      </c>
      <c r="S9" s="69">
        <v>3.4</v>
      </c>
      <c r="T9" s="72">
        <f>S9*J2</f>
        <v>116.042</v>
      </c>
      <c r="U9" s="71">
        <v>1</v>
      </c>
      <c r="V9" s="72">
        <f>U9*$N$1</f>
        <v>40</v>
      </c>
      <c r="W9" s="73">
        <f>V9+T9</f>
        <v>156.042</v>
      </c>
    </row>
    <row r="10" spans="1:23" ht="25.5" customHeight="1" x14ac:dyDescent="0.3">
      <c r="A10" s="67" t="s">
        <v>907</v>
      </c>
      <c r="B10" s="68">
        <f>$N$2*$N$1</f>
        <v>120</v>
      </c>
      <c r="C10" s="68">
        <f>$N$2*$N$1</f>
        <v>120</v>
      </c>
      <c r="D10" s="68">
        <f>$N$2*$N$1</f>
        <v>120</v>
      </c>
      <c r="E10" s="68">
        <f>$N$2*$N$1</f>
        <v>120</v>
      </c>
      <c r="F10" s="68">
        <f>$N$2*$N$1</f>
        <v>120</v>
      </c>
      <c r="K10" s="66" t="s">
        <v>47</v>
      </c>
      <c r="L10" s="69">
        <v>4.7</v>
      </c>
      <c r="M10" s="70">
        <f>L10*J1</f>
        <v>187.67099999999999</v>
      </c>
      <c r="N10" s="71">
        <v>1</v>
      </c>
      <c r="O10" s="72">
        <f>N10*$N$1</f>
        <v>40</v>
      </c>
      <c r="P10" s="73">
        <f>O10+M10</f>
        <v>227.67099999999999</v>
      </c>
      <c r="Q10" s="43"/>
      <c r="R10" s="66" t="s">
        <v>47</v>
      </c>
      <c r="S10" s="69">
        <v>5.4</v>
      </c>
      <c r="T10" s="72">
        <f>S10*J2</f>
        <v>184.30200000000002</v>
      </c>
      <c r="U10" s="71">
        <v>1</v>
      </c>
      <c r="V10" s="72">
        <f>U10*$N$1</f>
        <v>40</v>
      </c>
      <c r="W10" s="73">
        <f>V10+T10</f>
        <v>224.30200000000002</v>
      </c>
    </row>
    <row r="11" spans="1:23" ht="24" customHeight="1" x14ac:dyDescent="0.3">
      <c r="A11" s="75" t="s">
        <v>908</v>
      </c>
      <c r="B11" s="76">
        <f>SUM(B6:B10)</f>
        <v>480.52735000000001</v>
      </c>
      <c r="C11" s="76">
        <f>SUM(C6:C10)</f>
        <v>568.3587</v>
      </c>
      <c r="D11" s="76">
        <f>SUM(D6:D10)</f>
        <v>659.3454999999999</v>
      </c>
      <c r="E11" s="76">
        <f>SUM(E6:E10)</f>
        <v>988.23199999999997</v>
      </c>
      <c r="F11" s="76">
        <f>SUM(F6:F10)</f>
        <v>1347.3339999999998</v>
      </c>
      <c r="W11" s="23"/>
    </row>
    <row r="12" spans="1:23" s="23" customFormat="1" ht="28.5" customHeight="1" x14ac:dyDescent="0.3">
      <c r="K12" s="451" t="s">
        <v>909</v>
      </c>
      <c r="L12" s="451"/>
      <c r="M12" s="451"/>
      <c r="N12" s="451"/>
      <c r="O12" s="451"/>
      <c r="P12" s="451"/>
    </row>
    <row r="13" spans="1:23" ht="21" customHeight="1" x14ac:dyDescent="0.3">
      <c r="A13" s="450" t="s">
        <v>910</v>
      </c>
      <c r="B13" s="450"/>
      <c r="C13" s="450"/>
      <c r="D13" s="450"/>
      <c r="E13" s="450"/>
      <c r="F13" s="450"/>
      <c r="K13" s="66" t="s">
        <v>10</v>
      </c>
      <c r="L13" s="66" t="s">
        <v>901</v>
      </c>
      <c r="M13" s="66" t="s">
        <v>898</v>
      </c>
      <c r="N13" s="66" t="s">
        <v>899</v>
      </c>
      <c r="O13" s="66" t="s">
        <v>880</v>
      </c>
      <c r="P13" s="66" t="s">
        <v>900</v>
      </c>
      <c r="W13" s="23"/>
    </row>
    <row r="14" spans="1:23" ht="15" customHeight="1" x14ac:dyDescent="0.3">
      <c r="A14" s="3" t="s">
        <v>896</v>
      </c>
      <c r="B14" s="3" t="s">
        <v>39</v>
      </c>
      <c r="C14" s="3" t="s">
        <v>41</v>
      </c>
      <c r="D14" s="3" t="s">
        <v>43</v>
      </c>
      <c r="E14" s="3" t="s">
        <v>45</v>
      </c>
      <c r="F14" s="3" t="s">
        <v>47</v>
      </c>
      <c r="K14" s="66" t="s">
        <v>39</v>
      </c>
      <c r="L14" s="69">
        <v>0.94499999999999995</v>
      </c>
      <c r="M14" s="70">
        <f>L14*J2</f>
        <v>32.252850000000002</v>
      </c>
      <c r="N14" s="71">
        <v>1.5</v>
      </c>
      <c r="O14" s="72">
        <f>N14*$N$1</f>
        <v>60</v>
      </c>
      <c r="P14" s="73">
        <f>O14+M14</f>
        <v>92.252849999999995</v>
      </c>
      <c r="W14" s="23"/>
    </row>
    <row r="15" spans="1:23" ht="27" customHeight="1" x14ac:dyDescent="0.3">
      <c r="A15" s="67" t="s">
        <v>902</v>
      </c>
      <c r="B15" s="68">
        <f>P6*4</f>
        <v>223.88800000000001</v>
      </c>
      <c r="C15" s="68">
        <f>P7*4</f>
        <v>279.78999999999996</v>
      </c>
      <c r="D15" s="68">
        <f>P8*4</f>
        <v>375.62200000000001</v>
      </c>
      <c r="E15" s="68">
        <f>P9*4</f>
        <v>559.29999999999995</v>
      </c>
      <c r="F15" s="68">
        <f>P10*4</f>
        <v>910.68399999999997</v>
      </c>
      <c r="K15" s="66" t="s">
        <v>41</v>
      </c>
      <c r="L15" s="69">
        <v>1.54</v>
      </c>
      <c r="M15" s="70">
        <f>L15*J2</f>
        <v>52.560200000000002</v>
      </c>
      <c r="N15" s="71">
        <v>1.5</v>
      </c>
      <c r="O15" s="72">
        <f>N15*$N$1</f>
        <v>60</v>
      </c>
      <c r="P15" s="73">
        <f>O15+M15</f>
        <v>112.56020000000001</v>
      </c>
      <c r="W15" s="23"/>
    </row>
    <row r="16" spans="1:23" ht="27" customHeight="1" x14ac:dyDescent="0.3">
      <c r="A16" s="67" t="s">
        <v>903</v>
      </c>
      <c r="B16" s="68">
        <f>B7</f>
        <v>92.252849999999995</v>
      </c>
      <c r="C16" s="68">
        <f>C7</f>
        <v>112.56020000000001</v>
      </c>
      <c r="D16" s="68">
        <f>D7</f>
        <v>121.434</v>
      </c>
      <c r="E16" s="68">
        <f>E7</f>
        <v>247.715</v>
      </c>
      <c r="F16" s="68">
        <f>F7</f>
        <v>275.01900000000001</v>
      </c>
      <c r="K16" s="66" t="s">
        <v>43</v>
      </c>
      <c r="L16" s="69">
        <v>1.8</v>
      </c>
      <c r="M16" s="70">
        <f>L16*J2</f>
        <v>61.434000000000005</v>
      </c>
      <c r="N16" s="71">
        <v>1.5</v>
      </c>
      <c r="O16" s="72">
        <f>N16*$N$1</f>
        <v>60</v>
      </c>
      <c r="P16" s="73">
        <f>O16+M16</f>
        <v>121.434</v>
      </c>
      <c r="W16" s="23"/>
    </row>
    <row r="17" spans="1:23" ht="27" customHeight="1" x14ac:dyDescent="0.3">
      <c r="A17" s="67" t="s">
        <v>904</v>
      </c>
      <c r="B17" s="68">
        <f>B8+27</f>
        <v>82.358499999999992</v>
      </c>
      <c r="C17" s="68">
        <f>C8+38</f>
        <v>118.956</v>
      </c>
      <c r="D17" s="68">
        <f>D8+43</f>
        <v>134.19499999999999</v>
      </c>
      <c r="E17" s="68">
        <f>E8+73</f>
        <v>229.042</v>
      </c>
      <c r="F17" s="68">
        <f>F8+114</f>
        <v>338.30200000000002</v>
      </c>
      <c r="K17" s="66" t="s">
        <v>906</v>
      </c>
      <c r="L17" s="69">
        <v>5.5</v>
      </c>
      <c r="M17" s="70">
        <f>L17*J2</f>
        <v>187.715</v>
      </c>
      <c r="N17" s="71">
        <v>1.5</v>
      </c>
      <c r="O17" s="72">
        <f>N17*$N$1</f>
        <v>60</v>
      </c>
      <c r="P17" s="73">
        <f>O17+M17</f>
        <v>247.715</v>
      </c>
      <c r="W17" s="23"/>
    </row>
    <row r="18" spans="1:23" ht="27" customHeight="1" x14ac:dyDescent="0.3">
      <c r="A18" s="74" t="s">
        <v>905</v>
      </c>
      <c r="B18" s="68">
        <v>45</v>
      </c>
      <c r="C18" s="68">
        <v>45</v>
      </c>
      <c r="D18" s="68">
        <v>45</v>
      </c>
      <c r="E18" s="68">
        <v>45</v>
      </c>
      <c r="F18" s="68">
        <v>45</v>
      </c>
      <c r="K18" s="66" t="s">
        <v>47</v>
      </c>
      <c r="L18" s="69">
        <v>6.3</v>
      </c>
      <c r="M18" s="70">
        <f>L18*J2</f>
        <v>215.01900000000001</v>
      </c>
      <c r="N18" s="71">
        <v>1.5</v>
      </c>
      <c r="O18" s="72">
        <f>N18*$N$1</f>
        <v>60</v>
      </c>
      <c r="P18" s="73">
        <f>O18+M18</f>
        <v>275.01900000000001</v>
      </c>
      <c r="W18" s="23"/>
    </row>
    <row r="19" spans="1:23" ht="27" customHeight="1" x14ac:dyDescent="0.3">
      <c r="A19" s="67" t="s">
        <v>907</v>
      </c>
      <c r="B19" s="68">
        <f>$N$2*$N$1</f>
        <v>120</v>
      </c>
      <c r="C19" s="68">
        <f>$N$2*$N$1</f>
        <v>120</v>
      </c>
      <c r="D19" s="68">
        <f>$N$2*$N$1</f>
        <v>120</v>
      </c>
      <c r="E19" s="68">
        <f>$N$2*$N$1</f>
        <v>120</v>
      </c>
      <c r="F19" s="68">
        <f>$N$2*$N$1</f>
        <v>120</v>
      </c>
      <c r="W19" s="23"/>
    </row>
    <row r="20" spans="1:23" ht="27" customHeight="1" x14ac:dyDescent="0.3">
      <c r="A20" s="75" t="s">
        <v>908</v>
      </c>
      <c r="B20" s="76">
        <f>SUM(B15:B19)</f>
        <v>563.49935000000005</v>
      </c>
      <c r="C20" s="76">
        <f>SUM(C15:C19)</f>
        <v>676.30619999999999</v>
      </c>
      <c r="D20" s="76">
        <f>SUM(D15:D19)</f>
        <v>796.25099999999998</v>
      </c>
      <c r="E20" s="76">
        <f>SUM(E15:E19)</f>
        <v>1201.057</v>
      </c>
      <c r="F20" s="76">
        <f>SUM(F15:F19)</f>
        <v>1689.0050000000001</v>
      </c>
      <c r="W20" s="23"/>
    </row>
    <row r="21" spans="1:23" s="23" customFormat="1" ht="14.25" customHeight="1" x14ac:dyDescent="0.3"/>
    <row r="22" spans="1:23" s="23" customFormat="1" ht="14.25" customHeight="1" x14ac:dyDescent="0.3"/>
    <row r="23" spans="1:23" s="23" customFormat="1" ht="14.25" customHeight="1" x14ac:dyDescent="0.3"/>
    <row r="24" spans="1:23" s="23" customFormat="1" ht="14.25" customHeight="1" x14ac:dyDescent="0.3"/>
    <row r="25" spans="1:23" s="23" customFormat="1" ht="14.25" customHeight="1" x14ac:dyDescent="0.3"/>
    <row r="26" spans="1:23" s="23" customFormat="1" ht="14.25" customHeight="1" x14ac:dyDescent="0.3"/>
    <row r="27" spans="1:23" s="23" customFormat="1" ht="14.25" customHeight="1" x14ac:dyDescent="0.3"/>
    <row r="28" spans="1:23" s="23" customFormat="1" ht="14.25" customHeight="1" x14ac:dyDescent="0.3"/>
    <row r="29" spans="1:23" s="23" customFormat="1" ht="14.25" customHeight="1" x14ac:dyDescent="0.3"/>
    <row r="30" spans="1:23" s="23" customFormat="1" ht="14.25" customHeight="1" x14ac:dyDescent="0.3"/>
    <row r="31" spans="1:23" s="23" customFormat="1" ht="14.25" customHeight="1" x14ac:dyDescent="0.3"/>
    <row r="32" spans="1:23" s="23" customFormat="1" ht="14.25" customHeight="1" x14ac:dyDescent="0.3"/>
    <row r="33" s="23" customFormat="1" ht="14.25" customHeight="1" x14ac:dyDescent="0.3"/>
    <row r="34" s="23" customFormat="1" ht="14.25" customHeight="1" x14ac:dyDescent="0.3"/>
    <row r="35" s="23" customFormat="1" ht="14.25" customHeight="1" x14ac:dyDescent="0.3"/>
    <row r="36" s="23" customFormat="1" ht="14.25" customHeight="1" x14ac:dyDescent="0.3"/>
    <row r="37" s="23" customFormat="1" ht="14.25" customHeight="1" x14ac:dyDescent="0.3"/>
    <row r="38" s="23" customFormat="1" ht="14.25" customHeight="1" x14ac:dyDescent="0.3"/>
    <row r="39" s="23" customFormat="1" ht="14.25" customHeight="1" x14ac:dyDescent="0.3"/>
    <row r="40" s="23" customFormat="1" ht="14.25" customHeight="1" x14ac:dyDescent="0.3"/>
  </sheetData>
  <mergeCells count="10">
    <mergeCell ref="A1:F1"/>
    <mergeCell ref="H1:I1"/>
    <mergeCell ref="A2:F2"/>
    <mergeCell ref="H2:I2"/>
    <mergeCell ref="K2:M2"/>
    <mergeCell ref="A4:F4"/>
    <mergeCell ref="K4:P4"/>
    <mergeCell ref="R4:W4"/>
    <mergeCell ref="K12:P12"/>
    <mergeCell ref="A13:F13"/>
  </mergeCells>
  <hyperlinks>
    <hyperlink ref="A3" location="PAINEL!A1" tooltip="Voltar ao Painel de Navegação" display="⬅ PAINEL" xr:uid="{686F6A17-C593-490F-AA6F-0F7D0F3E99A4}"/>
  </hyperlinks>
  <printOptions horizontalCentered="1" verticalCentered="1"/>
  <pageMargins left="7.8472222222222193E-2" right="7.8472222222222193E-2" top="7.8472222222222193E-2" bottom="7.8472222222222193E-2" header="0.511811023622047" footer="0.511811023622047"/>
  <pageSetup paperSize="9" scale="3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K46"/>
  <sheetViews>
    <sheetView zoomScaleNormal="100" workbookViewId="0">
      <pane ySplit="3" topLeftCell="A4" activePane="bottomLeft" state="frozen"/>
      <selection pane="bottomLeft" activeCell="I9" sqref="I9"/>
    </sheetView>
  </sheetViews>
  <sheetFormatPr defaultColWidth="8.5546875" defaultRowHeight="14.4" x14ac:dyDescent="0.3"/>
  <cols>
    <col min="1" max="1" width="32" customWidth="1"/>
    <col min="2" max="6" width="15" customWidth="1"/>
    <col min="7" max="7" width="15.6640625" customWidth="1"/>
    <col min="8" max="11" width="20.33203125" customWidth="1"/>
  </cols>
  <sheetData>
    <row r="1" spans="1:11" ht="37.200000000000003" customHeight="1" x14ac:dyDescent="0.3">
      <c r="A1" s="453" t="s">
        <v>1501</v>
      </c>
      <c r="B1" s="453"/>
      <c r="C1" s="453"/>
      <c r="D1" s="453"/>
      <c r="E1" s="453"/>
      <c r="F1" s="453"/>
    </row>
    <row r="2" spans="1:11" ht="22.2" customHeight="1" x14ac:dyDescent="0.3">
      <c r="A2" s="441" t="s">
        <v>1502</v>
      </c>
      <c r="B2" s="441"/>
      <c r="C2" s="441"/>
      <c r="D2" s="441"/>
      <c r="E2" s="441"/>
      <c r="F2" s="441"/>
    </row>
    <row r="3" spans="1:11" x14ac:dyDescent="0.3">
      <c r="A3" s="358" t="s">
        <v>1757</v>
      </c>
    </row>
    <row r="4" spans="1:11" ht="15" customHeight="1" x14ac:dyDescent="0.3">
      <c r="A4" s="402" t="s">
        <v>37</v>
      </c>
      <c r="B4" s="402"/>
      <c r="C4" s="402"/>
      <c r="D4" s="402"/>
      <c r="E4" s="402"/>
      <c r="F4" s="402"/>
      <c r="H4" s="457" t="s">
        <v>1826</v>
      </c>
      <c r="I4" s="457"/>
      <c r="J4" s="457"/>
      <c r="K4" s="457"/>
    </row>
    <row r="5" spans="1:11" ht="15" customHeight="1" x14ac:dyDescent="0.3">
      <c r="A5" s="3" t="s">
        <v>896</v>
      </c>
      <c r="B5" s="3" t="s">
        <v>39</v>
      </c>
      <c r="C5" s="3" t="s">
        <v>41</v>
      </c>
      <c r="D5" s="3" t="s">
        <v>43</v>
      </c>
      <c r="E5" s="3" t="s">
        <v>45</v>
      </c>
      <c r="F5" s="3" t="s">
        <v>47</v>
      </c>
      <c r="H5" s="374" t="s">
        <v>10</v>
      </c>
      <c r="I5" s="374" t="s">
        <v>858</v>
      </c>
      <c r="J5" s="375" t="s">
        <v>859</v>
      </c>
      <c r="K5" s="375" t="s">
        <v>860</v>
      </c>
    </row>
    <row r="6" spans="1:11" ht="15" customHeight="1" x14ac:dyDescent="0.3">
      <c r="A6" s="67" t="s">
        <v>862</v>
      </c>
      <c r="B6" s="68">
        <f>INDEX(PARÂMETROS!$B$73:$B$77,MATCH(B5,PARÂMETROS!$A$73:$A$77,0))</f>
        <v>14</v>
      </c>
      <c r="C6" s="68">
        <f>INDEX(PARÂMETROS!$B$73:$B$77,MATCH(C5,PARÂMETROS!$A$73:$A$77,0))</f>
        <v>19.5</v>
      </c>
      <c r="D6" s="68">
        <f>INDEX(PARÂMETROS!$B$73:$B$77,MATCH(D5,PARÂMETROS!$A$73:$A$77,0))</f>
        <v>23.2</v>
      </c>
      <c r="E6" s="68">
        <f>INDEX(PARÂMETROS!$B$73:$B$77,MATCH(E5,PARÂMETROS!$A$73:$A$77,0))</f>
        <v>28.5</v>
      </c>
      <c r="F6" s="68">
        <f>INDEX(PARÂMETROS!$B$73:$B$77,MATCH(F5,PARÂMETROS!$A$73:$A$77,0))</f>
        <v>32.299999999999997</v>
      </c>
      <c r="H6" s="376" t="str">
        <f>PARÂMETROS!A65</f>
        <v>6''</v>
      </c>
      <c r="I6" s="377">
        <f>PARÂMETROS!B65</f>
        <v>110</v>
      </c>
      <c r="J6" s="377">
        <f>PARÂMETROS!C65</f>
        <v>144</v>
      </c>
      <c r="K6" s="377">
        <f>PARÂMETROS!D65</f>
        <v>881</v>
      </c>
    </row>
    <row r="7" spans="1:11" ht="15" customHeight="1" x14ac:dyDescent="0.3">
      <c r="A7" s="67" t="s">
        <v>863</v>
      </c>
      <c r="B7" s="68">
        <f>INDEX(PARÂMETROS!$C$73:$C$77,MATCH(B5,PARÂMETROS!$A$73:$A$77,0))</f>
        <v>58</v>
      </c>
      <c r="C7" s="68">
        <f>INDEX(PARÂMETROS!$C$73:$C$77,MATCH(C5,PARÂMETROS!$A$73:$A$77,0))</f>
        <v>66.5</v>
      </c>
      <c r="D7" s="68">
        <f>INDEX(PARÂMETROS!$C$73:$C$77,MATCH(D5,PARÂMETROS!$A$73:$A$77,0))</f>
        <v>72</v>
      </c>
      <c r="E7" s="68">
        <f>INDEX(PARÂMETROS!$C$73:$C$77,MATCH(E5,PARÂMETROS!$A$73:$A$77,0))</f>
        <v>80</v>
      </c>
      <c r="F7" s="68">
        <f>INDEX(PARÂMETROS!$C$73:$C$77,MATCH(F5,PARÂMETROS!$A$73:$A$77,0))</f>
        <v>115</v>
      </c>
      <c r="H7" s="376" t="str">
        <f>PARÂMETROS!A66</f>
        <v>8''</v>
      </c>
      <c r="I7" s="377">
        <f>PARÂMETROS!B66</f>
        <v>150</v>
      </c>
      <c r="J7" s="377">
        <f>PARÂMETROS!C66</f>
        <v>195</v>
      </c>
      <c r="K7" s="377">
        <f>PARÂMETROS!D66</f>
        <v>1080</v>
      </c>
    </row>
    <row r="8" spans="1:11" ht="15" customHeight="1" x14ac:dyDescent="0.3">
      <c r="A8" s="67" t="s">
        <v>864</v>
      </c>
      <c r="B8" s="68">
        <f>INDEX(PARÂMETROS!$D$73:$D$77,MATCH(B5,PARÂMETROS!$A$73:$A$77,0))</f>
        <v>240</v>
      </c>
      <c r="C8" s="68">
        <f>INDEX(PARÂMETROS!$D$73:$D$77,MATCH(C5,PARÂMETROS!$A$73:$A$77,0))</f>
        <v>288</v>
      </c>
      <c r="D8" s="68">
        <f>INDEX(PARÂMETROS!$D$73:$D$77,MATCH(D5,PARÂMETROS!$A$73:$A$77,0))</f>
        <v>315</v>
      </c>
      <c r="E8" s="68">
        <f>INDEX(PARÂMETROS!$D$73:$D$77,MATCH(E5,PARÂMETROS!$A$73:$A$77,0))</f>
        <v>357</v>
      </c>
      <c r="F8" s="68">
        <f>INDEX(PARÂMETROS!$D$73:$D$77,MATCH(F5,PARÂMETROS!$A$73:$A$77,0))</f>
        <v>430</v>
      </c>
      <c r="H8" s="376" t="str">
        <f>PARÂMETROS!A67</f>
        <v>10''</v>
      </c>
      <c r="I8" s="377">
        <f>PARÂMETROS!B67</f>
        <v>169</v>
      </c>
      <c r="J8" s="377">
        <f>PARÂMETROS!C67</f>
        <v>220</v>
      </c>
      <c r="K8" s="377">
        <f>PARÂMETROS!D67</f>
        <v>1492</v>
      </c>
    </row>
    <row r="9" spans="1:11" ht="15" customHeight="1" x14ac:dyDescent="0.3">
      <c r="A9" s="67" t="s">
        <v>865</v>
      </c>
      <c r="B9" s="68">
        <f>INDEX(PARÂMETROS!$E$73:$E$77,MATCH(B5,PARÂMETROS!$A$73:$A$77,0))</f>
        <v>10</v>
      </c>
      <c r="C9" s="68">
        <f>INDEX(PARÂMETROS!$E$73:$E$77,MATCH(C5,PARÂMETROS!$A$73:$A$77,0))</f>
        <v>13.5</v>
      </c>
      <c r="D9" s="68">
        <f>INDEX(PARÂMETROS!$E$73:$E$77,MATCH(D5,PARÂMETROS!$A$73:$A$77,0))</f>
        <v>13.5</v>
      </c>
      <c r="E9" s="68">
        <f>INDEX(PARÂMETROS!$E$73:$E$77,MATCH(E5,PARÂMETROS!$A$73:$A$77,0))</f>
        <v>13.5</v>
      </c>
      <c r="F9" s="68">
        <f>INDEX(PARÂMETROS!$E$73:$E$77,MATCH(F5,PARÂMETROS!$A$73:$A$77,0))</f>
        <v>16</v>
      </c>
      <c r="H9" s="376" t="str">
        <f>PARÂMETROS!A68</f>
        <v>12''</v>
      </c>
      <c r="I9" s="377">
        <f>PARÂMETROS!B68</f>
        <v>220</v>
      </c>
      <c r="J9" s="377">
        <f>PARÂMETROS!C68</f>
        <v>272</v>
      </c>
      <c r="K9" s="377">
        <f>PARÂMETROS!D68</f>
        <v>1890</v>
      </c>
    </row>
    <row r="10" spans="1:11" ht="15" customHeight="1" x14ac:dyDescent="0.3">
      <c r="A10" s="67" t="s">
        <v>866</v>
      </c>
      <c r="B10" s="68">
        <f>INDEX(PARÂMETROS!$F$73:$F$77,MATCH(B5,PARÂMETROS!$A$73:$A$77,0))</f>
        <v>65.3</v>
      </c>
      <c r="C10" s="68">
        <f>INDEX(PARÂMETROS!$F$73:$F$77,MATCH(C5,PARÂMETROS!$A$73:$A$77,0))</f>
        <v>65.3</v>
      </c>
      <c r="D10" s="68">
        <f>INDEX(PARÂMETROS!$F$73:$F$77,MATCH(D5,PARÂMETROS!$A$73:$A$77,0))</f>
        <v>68</v>
      </c>
      <c r="E10" s="68">
        <f>INDEX(PARÂMETROS!$F$73:$F$77,MATCH(E5,PARÂMETROS!$A$73:$A$77,0))</f>
        <v>73.099999999999994</v>
      </c>
      <c r="F10" s="68">
        <f>INDEX(PARÂMETROS!$F$73:$F$77,MATCH(F5,PARÂMETROS!$A$73:$A$77,0))</f>
        <v>73.099999999999994</v>
      </c>
      <c r="H10" s="376" t="str">
        <f>PARÂMETROS!A69</f>
        <v>14''</v>
      </c>
      <c r="I10" s="377">
        <f>PARÂMETROS!B69</f>
        <v>290</v>
      </c>
      <c r="J10" s="377">
        <f>PARÂMETROS!C69</f>
        <v>350</v>
      </c>
      <c r="K10" s="377">
        <f>PARÂMETROS!D69</f>
        <v>2325</v>
      </c>
    </row>
    <row r="11" spans="1:11" ht="15" customHeight="1" x14ac:dyDescent="0.3">
      <c r="A11" s="67" t="s">
        <v>1503</v>
      </c>
      <c r="B11" s="68">
        <f>INDEX(PARÂMETROS!$B$65:$B$69,MATCH(B5,PARÂMETROS!$A$65:$A$69,0))*3</f>
        <v>330</v>
      </c>
      <c r="C11" s="68">
        <f>INDEX(PARÂMETROS!$B$65:$B$69,MATCH(C5,PARÂMETROS!$A$65:$A$69,0))*3</f>
        <v>450</v>
      </c>
      <c r="D11" s="68">
        <f>INDEX(PARÂMETROS!$B$65:$B$69,MATCH(D5,PARÂMETROS!$A$65:$A$69,0))*3</f>
        <v>507</v>
      </c>
      <c r="E11" s="68">
        <f>INDEX(PARÂMETROS!$B$65:$B$69,MATCH(E5,PARÂMETROS!$A$65:$A$69,0))*3</f>
        <v>660</v>
      </c>
      <c r="F11" s="68">
        <f>INDEX(PARÂMETROS!$B$65:$B$69,MATCH(F5,PARÂMETROS!$A$65:$A$69,0))*3</f>
        <v>870</v>
      </c>
    </row>
    <row r="12" spans="1:11" ht="15" customHeight="1" x14ac:dyDescent="0.3">
      <c r="A12" s="67" t="s">
        <v>907</v>
      </c>
      <c r="B12" s="68">
        <f>INDEX(PARÂMETROS!$G$73:$G$77,MATCH(B5,PARÂMETROS!$A$73:$A$77,0))</f>
        <v>120</v>
      </c>
      <c r="C12" s="68">
        <f>INDEX(PARÂMETROS!$G$73:$G$77,MATCH(C5,PARÂMETROS!$A$73:$A$77,0))</f>
        <v>120</v>
      </c>
      <c r="D12" s="68">
        <f>INDEX(PARÂMETROS!$G$73:$G$77,MATCH(D5,PARÂMETROS!$A$73:$A$77,0))</f>
        <v>120</v>
      </c>
      <c r="E12" s="68">
        <f>INDEX(PARÂMETROS!$G$73:$G$77,MATCH(E5,PARÂMETROS!$A$73:$A$77,0))</f>
        <v>120</v>
      </c>
      <c r="F12" s="68">
        <f>INDEX(PARÂMETROS!$G$73:$G$77,MATCH(F5,PARÂMETROS!$A$73:$A$77,0))</f>
        <v>120</v>
      </c>
    </row>
    <row r="13" spans="1:11" ht="15" customHeight="1" x14ac:dyDescent="0.3">
      <c r="A13" s="75" t="s">
        <v>908</v>
      </c>
      <c r="B13" s="76">
        <f>SUM(B6:B12)</f>
        <v>837.3</v>
      </c>
      <c r="C13" s="76">
        <f>SUM(C6:C12)</f>
        <v>1022.8</v>
      </c>
      <c r="D13" s="76">
        <f>SUM(D6:D12)</f>
        <v>1118.7</v>
      </c>
      <c r="E13" s="76">
        <f>SUM(E6:E12)</f>
        <v>1332.1</v>
      </c>
      <c r="F13" s="76">
        <f>SUM(F6:F12)</f>
        <v>1656.4</v>
      </c>
    </row>
    <row r="15" spans="1:11" ht="15" customHeight="1" x14ac:dyDescent="0.3">
      <c r="A15" s="402" t="s">
        <v>49</v>
      </c>
      <c r="B15" s="402"/>
      <c r="C15" s="402"/>
      <c r="D15" s="402"/>
      <c r="E15" s="402"/>
      <c r="F15" s="402"/>
    </row>
    <row r="16" spans="1:11" ht="15" customHeight="1" x14ac:dyDescent="0.3">
      <c r="A16" s="3" t="s">
        <v>896</v>
      </c>
      <c r="B16" s="3" t="s">
        <v>39</v>
      </c>
      <c r="C16" s="3" t="s">
        <v>41</v>
      </c>
      <c r="D16" s="3" t="s">
        <v>43</v>
      </c>
      <c r="E16" s="3" t="s">
        <v>45</v>
      </c>
      <c r="F16" s="3" t="s">
        <v>47</v>
      </c>
    </row>
    <row r="17" spans="1:6" ht="15" customHeight="1" x14ac:dyDescent="0.3">
      <c r="A17" s="67" t="s">
        <v>862</v>
      </c>
      <c r="B17" s="68">
        <f>INDEX(PARÂMETROS!$B$73:$B$77,MATCH(B16,PARÂMETROS!$A$73:$A$77,0))</f>
        <v>14</v>
      </c>
      <c r="C17" s="68">
        <f>INDEX(PARÂMETROS!$B$73:$B$77,MATCH(C16,PARÂMETROS!$A$73:$A$77,0))</f>
        <v>19.5</v>
      </c>
      <c r="D17" s="68">
        <f>INDEX(PARÂMETROS!$B$73:$B$77,MATCH(D16,PARÂMETROS!$A$73:$A$77,0))</f>
        <v>23.2</v>
      </c>
      <c r="E17" s="68">
        <f>INDEX(PARÂMETROS!$B$73:$B$77,MATCH(E16,PARÂMETROS!$A$73:$A$77,0))</f>
        <v>28.5</v>
      </c>
      <c r="F17" s="68">
        <f>INDEX(PARÂMETROS!$B$73:$B$77,MATCH(F16,PARÂMETROS!$A$73:$A$77,0))</f>
        <v>32.299999999999997</v>
      </c>
    </row>
    <row r="18" spans="1:6" ht="15" customHeight="1" x14ac:dyDescent="0.3">
      <c r="A18" s="67" t="s">
        <v>863</v>
      </c>
      <c r="B18" s="68">
        <f>INDEX(PARÂMETROS!$C$73:$C$77,MATCH(B16,PARÂMETROS!$A$73:$A$77,0))</f>
        <v>58</v>
      </c>
      <c r="C18" s="68">
        <f>INDEX(PARÂMETROS!$C$73:$C$77,MATCH(C16,PARÂMETROS!$A$73:$A$77,0))</f>
        <v>66.5</v>
      </c>
      <c r="D18" s="68">
        <f>INDEX(PARÂMETROS!$C$73:$C$77,MATCH(D16,PARÂMETROS!$A$73:$A$77,0))</f>
        <v>72</v>
      </c>
      <c r="E18" s="68">
        <f>INDEX(PARÂMETROS!$C$73:$C$77,MATCH(E16,PARÂMETROS!$A$73:$A$77,0))</f>
        <v>80</v>
      </c>
      <c r="F18" s="68">
        <f>INDEX(PARÂMETROS!$C$73:$C$77,MATCH(F16,PARÂMETROS!$A$73:$A$77,0))</f>
        <v>115</v>
      </c>
    </row>
    <row r="19" spans="1:6" ht="15" customHeight="1" x14ac:dyDescent="0.3">
      <c r="A19" s="67" t="s">
        <v>864</v>
      </c>
      <c r="B19" s="68">
        <f>INDEX(PARÂMETROS!$D$73:$D$77,MATCH(B16,PARÂMETROS!$A$73:$A$77,0))</f>
        <v>240</v>
      </c>
      <c r="C19" s="68">
        <f>INDEX(PARÂMETROS!$D$73:$D$77,MATCH(C16,PARÂMETROS!$A$73:$A$77,0))</f>
        <v>288</v>
      </c>
      <c r="D19" s="68">
        <f>INDEX(PARÂMETROS!$D$73:$D$77,MATCH(D16,PARÂMETROS!$A$73:$A$77,0))</f>
        <v>315</v>
      </c>
      <c r="E19" s="68">
        <f>INDEX(PARÂMETROS!$D$73:$D$77,MATCH(E16,PARÂMETROS!$A$73:$A$77,0))</f>
        <v>357</v>
      </c>
      <c r="F19" s="68">
        <f>INDEX(PARÂMETROS!$D$73:$D$77,MATCH(F16,PARÂMETROS!$A$73:$A$77,0))</f>
        <v>430</v>
      </c>
    </row>
    <row r="20" spans="1:6" ht="15" customHeight="1" x14ac:dyDescent="0.3">
      <c r="A20" s="67" t="s">
        <v>865</v>
      </c>
      <c r="B20" s="68">
        <f>INDEX(PARÂMETROS!$E$73:$E$77,MATCH(B16,PARÂMETROS!$A$73:$A$77,0))</f>
        <v>10</v>
      </c>
      <c r="C20" s="68">
        <f>INDEX(PARÂMETROS!$E$73:$E$77,MATCH(C16,PARÂMETROS!$A$73:$A$77,0))</f>
        <v>13.5</v>
      </c>
      <c r="D20" s="68">
        <f>INDEX(PARÂMETROS!$E$73:$E$77,MATCH(D16,PARÂMETROS!$A$73:$A$77,0))</f>
        <v>13.5</v>
      </c>
      <c r="E20" s="68">
        <f>INDEX(PARÂMETROS!$E$73:$E$77,MATCH(E16,PARÂMETROS!$A$73:$A$77,0))</f>
        <v>13.5</v>
      </c>
      <c r="F20" s="68">
        <f>INDEX(PARÂMETROS!$E$73:$E$77,MATCH(F16,PARÂMETROS!$A$73:$A$77,0))</f>
        <v>16</v>
      </c>
    </row>
    <row r="21" spans="1:6" ht="15" customHeight="1" x14ac:dyDescent="0.3">
      <c r="A21" s="67" t="s">
        <v>866</v>
      </c>
      <c r="B21" s="68">
        <f>INDEX(PARÂMETROS!$F$73:$F$77,MATCH(B16,PARÂMETROS!$A$73:$A$77,0))</f>
        <v>65.3</v>
      </c>
      <c r="C21" s="68">
        <f>INDEX(PARÂMETROS!$F$73:$F$77,MATCH(C16,PARÂMETROS!$A$73:$A$77,0))</f>
        <v>65.3</v>
      </c>
      <c r="D21" s="68">
        <f>INDEX(PARÂMETROS!$F$73:$F$77,MATCH(D16,PARÂMETROS!$A$73:$A$77,0))</f>
        <v>68</v>
      </c>
      <c r="E21" s="68">
        <f>INDEX(PARÂMETROS!$F$73:$F$77,MATCH(E16,PARÂMETROS!$A$73:$A$77,0))</f>
        <v>73.099999999999994</v>
      </c>
      <c r="F21" s="68">
        <f>INDEX(PARÂMETROS!$F$73:$F$77,MATCH(F16,PARÂMETROS!$A$73:$A$77,0))</f>
        <v>73.099999999999994</v>
      </c>
    </row>
    <row r="22" spans="1:6" ht="15" customHeight="1" x14ac:dyDescent="0.3">
      <c r="A22" s="67" t="s">
        <v>1504</v>
      </c>
      <c r="B22" s="68">
        <f>INDEX(PARÂMETROS!$C$65:$C$69,MATCH(B16,PARÂMETROS!$A$65:$A$69,0))*3</f>
        <v>432</v>
      </c>
      <c r="C22" s="68">
        <f>INDEX(PARÂMETROS!$C$65:$C$69,MATCH(C16,PARÂMETROS!$A$65:$A$69,0))*3</f>
        <v>585</v>
      </c>
      <c r="D22" s="68">
        <f>INDEX(PARÂMETROS!$C$65:$C$69,MATCH(D16,PARÂMETROS!$A$65:$A$69,0))*3</f>
        <v>660</v>
      </c>
      <c r="E22" s="68">
        <f>INDEX(PARÂMETROS!$C$65:$C$69,MATCH(E16,PARÂMETROS!$A$65:$A$69,0))*3</f>
        <v>816</v>
      </c>
      <c r="F22" s="68">
        <f>INDEX(PARÂMETROS!$C$65:$C$69,MATCH(F16,PARÂMETROS!$A$65:$A$69,0))*3</f>
        <v>1050</v>
      </c>
    </row>
    <row r="23" spans="1:6" ht="15" customHeight="1" x14ac:dyDescent="0.3">
      <c r="A23" s="67" t="s">
        <v>907</v>
      </c>
      <c r="B23" s="68">
        <f>INDEX(PARÂMETROS!$G$73:$G$77,MATCH(B16,PARÂMETROS!$A$73:$A$77,0))</f>
        <v>120</v>
      </c>
      <c r="C23" s="68">
        <f>INDEX(PARÂMETROS!$G$73:$G$77,MATCH(C16,PARÂMETROS!$A$73:$A$77,0))</f>
        <v>120</v>
      </c>
      <c r="D23" s="68">
        <f>INDEX(PARÂMETROS!$G$73:$G$77,MATCH(D16,PARÂMETROS!$A$73:$A$77,0))</f>
        <v>120</v>
      </c>
      <c r="E23" s="68">
        <f>INDEX(PARÂMETROS!$G$73:$G$77,MATCH(E16,PARÂMETROS!$A$73:$A$77,0))</f>
        <v>120</v>
      </c>
      <c r="F23" s="68">
        <f>INDEX(PARÂMETROS!$G$73:$G$77,MATCH(F16,PARÂMETROS!$A$73:$A$77,0))</f>
        <v>120</v>
      </c>
    </row>
    <row r="24" spans="1:6" ht="15" customHeight="1" x14ac:dyDescent="0.3">
      <c r="A24" s="75" t="s">
        <v>908</v>
      </c>
      <c r="B24" s="76">
        <f>SUM(B17:B23)</f>
        <v>939.3</v>
      </c>
      <c r="C24" s="76">
        <f>SUM(C17:C23)</f>
        <v>1157.8</v>
      </c>
      <c r="D24" s="76">
        <f>SUM(D17:D23)</f>
        <v>1271.7</v>
      </c>
      <c r="E24" s="76">
        <f>SUM(E17:E23)</f>
        <v>1488.1</v>
      </c>
      <c r="F24" s="76">
        <f>SUM(F17:F23)</f>
        <v>1836.4</v>
      </c>
    </row>
    <row r="26" spans="1:6" ht="15" customHeight="1" x14ac:dyDescent="0.3">
      <c r="A26" s="402" t="s">
        <v>55</v>
      </c>
      <c r="B26" s="402"/>
      <c r="C26" s="402"/>
      <c r="D26" s="402"/>
      <c r="E26" s="402"/>
      <c r="F26" s="402"/>
    </row>
    <row r="27" spans="1:6" ht="15" customHeight="1" x14ac:dyDescent="0.3">
      <c r="A27" s="3" t="s">
        <v>896</v>
      </c>
      <c r="B27" s="3" t="s">
        <v>39</v>
      </c>
      <c r="C27" s="3" t="s">
        <v>41</v>
      </c>
      <c r="D27" s="3" t="s">
        <v>43</v>
      </c>
      <c r="E27" s="3" t="s">
        <v>45</v>
      </c>
      <c r="F27" s="3" t="s">
        <v>47</v>
      </c>
    </row>
    <row r="28" spans="1:6" ht="15" customHeight="1" x14ac:dyDescent="0.3">
      <c r="A28" s="67" t="s">
        <v>862</v>
      </c>
      <c r="B28" s="68">
        <f>INDEX(PARÂMETROS!$B$73:$B$77,MATCH(B27,PARÂMETROS!$A$73:$A$77,0))</f>
        <v>14</v>
      </c>
      <c r="C28" s="68">
        <f>INDEX(PARÂMETROS!$B$73:$B$77,MATCH(C27,PARÂMETROS!$A$73:$A$77,0))</f>
        <v>19.5</v>
      </c>
      <c r="D28" s="68">
        <f>INDEX(PARÂMETROS!$B$73:$B$77,MATCH(D27,PARÂMETROS!$A$73:$A$77,0))</f>
        <v>23.2</v>
      </c>
      <c r="E28" s="68">
        <f>INDEX(PARÂMETROS!$B$73:$B$77,MATCH(E27,PARÂMETROS!$A$73:$A$77,0))</f>
        <v>28.5</v>
      </c>
      <c r="F28" s="68">
        <f>INDEX(PARÂMETROS!$B$73:$B$77,MATCH(F27,PARÂMETROS!$A$73:$A$77,0))</f>
        <v>32.299999999999997</v>
      </c>
    </row>
    <row r="29" spans="1:6" ht="15" customHeight="1" x14ac:dyDescent="0.3">
      <c r="A29" s="67" t="s">
        <v>863</v>
      </c>
      <c r="B29" s="68">
        <f>INDEX(PARÂMETROS!$C$73:$C$77,MATCH(B27,PARÂMETROS!$A$73:$A$77,0))</f>
        <v>58</v>
      </c>
      <c r="C29" s="68">
        <f>INDEX(PARÂMETROS!$C$73:$C$77,MATCH(C27,PARÂMETROS!$A$73:$A$77,0))</f>
        <v>66.5</v>
      </c>
      <c r="D29" s="68">
        <f>INDEX(PARÂMETROS!$C$73:$C$77,MATCH(D27,PARÂMETROS!$A$73:$A$77,0))</f>
        <v>72</v>
      </c>
      <c r="E29" s="68">
        <f>INDEX(PARÂMETROS!$C$73:$C$77,MATCH(E27,PARÂMETROS!$A$73:$A$77,0))</f>
        <v>80</v>
      </c>
      <c r="F29" s="68">
        <f>INDEX(PARÂMETROS!$C$73:$C$77,MATCH(F27,PARÂMETROS!$A$73:$A$77,0))</f>
        <v>115</v>
      </c>
    </row>
    <row r="30" spans="1:6" ht="15" customHeight="1" x14ac:dyDescent="0.3">
      <c r="A30" s="67" t="s">
        <v>864</v>
      </c>
      <c r="B30" s="68">
        <f>INDEX(PARÂMETROS!$D$73:$D$77,MATCH(B27,PARÂMETROS!$A$73:$A$77,0))</f>
        <v>240</v>
      </c>
      <c r="C30" s="68">
        <f>INDEX(PARÂMETROS!$D$73:$D$77,MATCH(C27,PARÂMETROS!$A$73:$A$77,0))</f>
        <v>288</v>
      </c>
      <c r="D30" s="68">
        <f>INDEX(PARÂMETROS!$D$73:$D$77,MATCH(D27,PARÂMETROS!$A$73:$A$77,0))</f>
        <v>315</v>
      </c>
      <c r="E30" s="68">
        <f>INDEX(PARÂMETROS!$D$73:$D$77,MATCH(E27,PARÂMETROS!$A$73:$A$77,0))</f>
        <v>357</v>
      </c>
      <c r="F30" s="68">
        <f>INDEX(PARÂMETROS!$D$73:$D$77,MATCH(F27,PARÂMETROS!$A$73:$A$77,0))</f>
        <v>430</v>
      </c>
    </row>
    <row r="31" spans="1:6" ht="15" customHeight="1" x14ac:dyDescent="0.3">
      <c r="A31" s="67" t="s">
        <v>865</v>
      </c>
      <c r="B31" s="68">
        <f>INDEX(PARÂMETROS!$E$73:$E$77,MATCH(B27,PARÂMETROS!$A$73:$A$77,0))</f>
        <v>10</v>
      </c>
      <c r="C31" s="68">
        <f>INDEX(PARÂMETROS!$E$73:$E$77,MATCH(C27,PARÂMETROS!$A$73:$A$77,0))</f>
        <v>13.5</v>
      </c>
      <c r="D31" s="68">
        <f>INDEX(PARÂMETROS!$E$73:$E$77,MATCH(D27,PARÂMETROS!$A$73:$A$77,0))</f>
        <v>13.5</v>
      </c>
      <c r="E31" s="68">
        <f>INDEX(PARÂMETROS!$E$73:$E$77,MATCH(E27,PARÂMETROS!$A$73:$A$77,0))</f>
        <v>13.5</v>
      </c>
      <c r="F31" s="68">
        <f>INDEX(PARÂMETROS!$E$73:$E$77,MATCH(F27,PARÂMETROS!$A$73:$A$77,0))</f>
        <v>16</v>
      </c>
    </row>
    <row r="32" spans="1:6" ht="15" customHeight="1" x14ac:dyDescent="0.3">
      <c r="A32" s="67" t="s">
        <v>866</v>
      </c>
      <c r="B32" s="68">
        <f>INDEX(PARÂMETROS!$F$73:$F$77,MATCH(B27,PARÂMETROS!$A$73:$A$77,0))</f>
        <v>65.3</v>
      </c>
      <c r="C32" s="68">
        <f>INDEX(PARÂMETROS!$F$73:$F$77,MATCH(C27,PARÂMETROS!$A$73:$A$77,0))</f>
        <v>65.3</v>
      </c>
      <c r="D32" s="68">
        <f>INDEX(PARÂMETROS!$F$73:$F$77,MATCH(D27,PARÂMETROS!$A$73:$A$77,0))</f>
        <v>68</v>
      </c>
      <c r="E32" s="68">
        <f>INDEX(PARÂMETROS!$F$73:$F$77,MATCH(E27,PARÂMETROS!$A$73:$A$77,0))</f>
        <v>73.099999999999994</v>
      </c>
      <c r="F32" s="68">
        <f>INDEX(PARÂMETROS!$F$73:$F$77,MATCH(F27,PARÂMETROS!$A$73:$A$77,0))</f>
        <v>73.099999999999994</v>
      </c>
    </row>
    <row r="33" spans="1:6" ht="15" customHeight="1" x14ac:dyDescent="0.3">
      <c r="A33" s="67" t="s">
        <v>1505</v>
      </c>
      <c r="B33" s="68">
        <f>INDEX(PARÂMETROS!$C$65:$C$69,MATCH(B27,PARÂMETROS!$A$65:$A$69,0))*4</f>
        <v>576</v>
      </c>
      <c r="C33" s="68">
        <f>INDEX(PARÂMETROS!$C$65:$C$69,MATCH(C27,PARÂMETROS!$A$65:$A$69,0))*4</f>
        <v>780</v>
      </c>
      <c r="D33" s="68">
        <f>INDEX(PARÂMETROS!$C$65:$C$69,MATCH(D27,PARÂMETROS!$A$65:$A$69,0))*4</f>
        <v>880</v>
      </c>
      <c r="E33" s="68">
        <f>INDEX(PARÂMETROS!$C$65:$C$69,MATCH(E27,PARÂMETROS!$A$65:$A$69,0))*4</f>
        <v>1088</v>
      </c>
      <c r="F33" s="68">
        <f>INDEX(PARÂMETROS!$C$65:$C$69,MATCH(F27,PARÂMETROS!$A$65:$A$69,0))*4</f>
        <v>1400</v>
      </c>
    </row>
    <row r="34" spans="1:6" ht="15" customHeight="1" x14ac:dyDescent="0.3">
      <c r="A34" s="67" t="s">
        <v>907</v>
      </c>
      <c r="B34" s="68">
        <f>INDEX(PARÂMETROS!$G$73:$G$77,MATCH(B27,PARÂMETROS!$A$73:$A$77,0))</f>
        <v>120</v>
      </c>
      <c r="C34" s="68">
        <f>INDEX(PARÂMETROS!$G$73:$G$77,MATCH(C27,PARÂMETROS!$A$73:$A$77,0))</f>
        <v>120</v>
      </c>
      <c r="D34" s="68">
        <f>INDEX(PARÂMETROS!$G$73:$G$77,MATCH(D27,PARÂMETROS!$A$73:$A$77,0))</f>
        <v>120</v>
      </c>
      <c r="E34" s="68">
        <f>INDEX(PARÂMETROS!$G$73:$G$77,MATCH(E27,PARÂMETROS!$A$73:$A$77,0))</f>
        <v>120</v>
      </c>
      <c r="F34" s="68">
        <f>INDEX(PARÂMETROS!$G$73:$G$77,MATCH(F27,PARÂMETROS!$A$73:$A$77,0))</f>
        <v>120</v>
      </c>
    </row>
    <row r="35" spans="1:6" ht="15" customHeight="1" x14ac:dyDescent="0.3">
      <c r="A35" s="75" t="s">
        <v>908</v>
      </c>
      <c r="B35" s="76">
        <f>SUM(B28:B34)</f>
        <v>1083.3</v>
      </c>
      <c r="C35" s="76">
        <f>SUM(C28:C34)</f>
        <v>1352.8</v>
      </c>
      <c r="D35" s="76">
        <f>SUM(D28:D34)</f>
        <v>1491.7</v>
      </c>
      <c r="E35" s="76">
        <f>SUM(E28:E34)</f>
        <v>1760.1</v>
      </c>
      <c r="F35" s="76">
        <f>SUM(F28:F34)</f>
        <v>2186.4</v>
      </c>
    </row>
    <row r="37" spans="1:6" ht="15" customHeight="1" x14ac:dyDescent="0.3">
      <c r="A37" s="402" t="s">
        <v>61</v>
      </c>
      <c r="B37" s="402"/>
      <c r="C37" s="402"/>
      <c r="D37" s="402"/>
      <c r="E37" s="402"/>
      <c r="F37" s="402"/>
    </row>
    <row r="38" spans="1:6" ht="15" customHeight="1" x14ac:dyDescent="0.3">
      <c r="A38" s="3" t="s">
        <v>896</v>
      </c>
      <c r="B38" s="3" t="s">
        <v>39</v>
      </c>
      <c r="C38" s="3" t="s">
        <v>41</v>
      </c>
      <c r="D38" s="3" t="s">
        <v>43</v>
      </c>
      <c r="E38" s="3" t="s">
        <v>45</v>
      </c>
      <c r="F38" s="3" t="s">
        <v>47</v>
      </c>
    </row>
    <row r="39" spans="1:6" ht="15" customHeight="1" x14ac:dyDescent="0.3">
      <c r="A39" s="67" t="s">
        <v>862</v>
      </c>
      <c r="B39" s="68">
        <f>INDEX(PARÂMETROS!$B$73:$B$77,MATCH(B38,PARÂMETROS!$A$73:$A$77,0))</f>
        <v>14</v>
      </c>
      <c r="C39" s="68">
        <f>INDEX(PARÂMETROS!$B$73:$B$77,MATCH(C38,PARÂMETROS!$A$73:$A$77,0))</f>
        <v>19.5</v>
      </c>
      <c r="D39" s="68">
        <f>INDEX(PARÂMETROS!$B$73:$B$77,MATCH(D38,PARÂMETROS!$A$73:$A$77,0))</f>
        <v>23.2</v>
      </c>
      <c r="E39" s="68">
        <f>INDEX(PARÂMETROS!$B$73:$B$77,MATCH(E38,PARÂMETROS!$A$73:$A$77,0))</f>
        <v>28.5</v>
      </c>
      <c r="F39" s="68">
        <f>INDEX(PARÂMETROS!$B$73:$B$77,MATCH(F38,PARÂMETROS!$A$73:$A$77,0))</f>
        <v>32.299999999999997</v>
      </c>
    </row>
    <row r="40" spans="1:6" ht="15" customHeight="1" x14ac:dyDescent="0.3">
      <c r="A40" s="67" t="s">
        <v>863</v>
      </c>
      <c r="B40" s="68">
        <f>INDEX(PARÂMETROS!$C$73:$C$77,MATCH(B38,PARÂMETROS!$A$73:$A$77,0))</f>
        <v>58</v>
      </c>
      <c r="C40" s="68">
        <f>INDEX(PARÂMETROS!$C$73:$C$77,MATCH(C38,PARÂMETROS!$A$73:$A$77,0))</f>
        <v>66.5</v>
      </c>
      <c r="D40" s="68">
        <f>INDEX(PARÂMETROS!$C$73:$C$77,MATCH(D38,PARÂMETROS!$A$73:$A$77,0))</f>
        <v>72</v>
      </c>
      <c r="E40" s="68">
        <f>INDEX(PARÂMETROS!$C$73:$C$77,MATCH(E38,PARÂMETROS!$A$73:$A$77,0))</f>
        <v>80</v>
      </c>
      <c r="F40" s="68">
        <f>INDEX(PARÂMETROS!$C$73:$C$77,MATCH(F38,PARÂMETROS!$A$73:$A$77,0))</f>
        <v>115</v>
      </c>
    </row>
    <row r="41" spans="1:6" ht="15" customHeight="1" x14ac:dyDescent="0.3">
      <c r="A41" s="67" t="s">
        <v>864</v>
      </c>
      <c r="B41" s="68">
        <f>INDEX(PARÂMETROS!$D$73:$D$77,MATCH(B38,PARÂMETROS!$A$73:$A$77,0))</f>
        <v>240</v>
      </c>
      <c r="C41" s="68">
        <f>INDEX(PARÂMETROS!$D$73:$D$77,MATCH(C38,PARÂMETROS!$A$73:$A$77,0))</f>
        <v>288</v>
      </c>
      <c r="D41" s="68">
        <f>INDEX(PARÂMETROS!$D$73:$D$77,MATCH(D38,PARÂMETROS!$A$73:$A$77,0))</f>
        <v>315</v>
      </c>
      <c r="E41" s="68">
        <f>INDEX(PARÂMETROS!$D$73:$D$77,MATCH(E38,PARÂMETROS!$A$73:$A$77,0))</f>
        <v>357</v>
      </c>
      <c r="F41" s="68">
        <f>INDEX(PARÂMETROS!$D$73:$D$77,MATCH(F38,PARÂMETROS!$A$73:$A$77,0))</f>
        <v>430</v>
      </c>
    </row>
    <row r="42" spans="1:6" ht="15" customHeight="1" x14ac:dyDescent="0.3">
      <c r="A42" s="67" t="s">
        <v>865</v>
      </c>
      <c r="B42" s="68">
        <f>INDEX(PARÂMETROS!$E$73:$E$77,MATCH(B38,PARÂMETROS!$A$73:$A$77,0))</f>
        <v>10</v>
      </c>
      <c r="C42" s="68">
        <f>INDEX(PARÂMETROS!$E$73:$E$77,MATCH(C38,PARÂMETROS!$A$73:$A$77,0))</f>
        <v>13.5</v>
      </c>
      <c r="D42" s="68">
        <f>INDEX(PARÂMETROS!$E$73:$E$77,MATCH(D38,PARÂMETROS!$A$73:$A$77,0))</f>
        <v>13.5</v>
      </c>
      <c r="E42" s="68">
        <f>INDEX(PARÂMETROS!$E$73:$E$77,MATCH(E38,PARÂMETROS!$A$73:$A$77,0))</f>
        <v>13.5</v>
      </c>
      <c r="F42" s="68">
        <f>INDEX(PARÂMETROS!$E$73:$E$77,MATCH(F38,PARÂMETROS!$A$73:$A$77,0))</f>
        <v>16</v>
      </c>
    </row>
    <row r="43" spans="1:6" ht="15" customHeight="1" x14ac:dyDescent="0.3">
      <c r="A43" s="67" t="s">
        <v>866</v>
      </c>
      <c r="B43" s="68">
        <f>INDEX(PARÂMETROS!$F$73:$F$77,MATCH(B38,PARÂMETROS!$A$73:$A$77,0))</f>
        <v>65.3</v>
      </c>
      <c r="C43" s="68">
        <f>INDEX(PARÂMETROS!$F$73:$F$77,MATCH(C38,PARÂMETROS!$A$73:$A$77,0))</f>
        <v>65.3</v>
      </c>
      <c r="D43" s="68">
        <f>INDEX(PARÂMETROS!$F$73:$F$77,MATCH(D38,PARÂMETROS!$A$73:$A$77,0))</f>
        <v>68</v>
      </c>
      <c r="E43" s="68">
        <f>INDEX(PARÂMETROS!$F$73:$F$77,MATCH(E38,PARÂMETROS!$A$73:$A$77,0))</f>
        <v>73.099999999999994</v>
      </c>
      <c r="F43" s="68">
        <f>INDEX(PARÂMETROS!$F$73:$F$77,MATCH(F38,PARÂMETROS!$A$73:$A$77,0))</f>
        <v>73.099999999999994</v>
      </c>
    </row>
    <row r="44" spans="1:6" ht="15" customHeight="1" x14ac:dyDescent="0.3">
      <c r="A44" s="67" t="s">
        <v>1506</v>
      </c>
      <c r="B44" s="68">
        <f>INDEX(PARÂMETROS!$D$65:$D$69,MATCH(B38,PARÂMETROS!$A$65:$A$69,0))*3</f>
        <v>2643</v>
      </c>
      <c r="C44" s="68">
        <f>INDEX(PARÂMETROS!$D$65:$D$69,MATCH(C38,PARÂMETROS!$A$65:$A$69,0))*3</f>
        <v>3240</v>
      </c>
      <c r="D44" s="68">
        <f>INDEX(PARÂMETROS!$D$65:$D$69,MATCH(D38,PARÂMETROS!$A$65:$A$69,0))*3</f>
        <v>4476</v>
      </c>
      <c r="E44" s="68">
        <f>INDEX(PARÂMETROS!$D$65:$D$69,MATCH(E38,PARÂMETROS!$A$65:$A$69,0))*3</f>
        <v>5670</v>
      </c>
      <c r="F44" s="68">
        <f>INDEX(PARÂMETROS!$D$65:$D$69,MATCH(F38,PARÂMETROS!$A$65:$A$69,0))*3</f>
        <v>6975</v>
      </c>
    </row>
    <row r="45" spans="1:6" ht="15" customHeight="1" x14ac:dyDescent="0.3">
      <c r="A45" s="67" t="s">
        <v>907</v>
      </c>
      <c r="B45" s="68">
        <f>INDEX(PARÂMETROS!$G$73:$G$77,MATCH(B38,PARÂMETROS!$A$73:$A$77,0))</f>
        <v>120</v>
      </c>
      <c r="C45" s="68">
        <f>INDEX(PARÂMETROS!$G$73:$G$77,MATCH(C38,PARÂMETROS!$A$73:$A$77,0))</f>
        <v>120</v>
      </c>
      <c r="D45" s="68">
        <f>INDEX(PARÂMETROS!$G$73:$G$77,MATCH(D38,PARÂMETROS!$A$73:$A$77,0))</f>
        <v>120</v>
      </c>
      <c r="E45" s="68">
        <f>INDEX(PARÂMETROS!$G$73:$G$77,MATCH(E38,PARÂMETROS!$A$73:$A$77,0))</f>
        <v>120</v>
      </c>
      <c r="F45" s="68">
        <f>INDEX(PARÂMETROS!$G$73:$G$77,MATCH(F38,PARÂMETROS!$A$73:$A$77,0))</f>
        <v>120</v>
      </c>
    </row>
    <row r="46" spans="1:6" ht="15" customHeight="1" x14ac:dyDescent="0.3">
      <c r="A46" s="75" t="s">
        <v>908</v>
      </c>
      <c r="B46" s="76">
        <f>SUM(B39:B45)</f>
        <v>3150.3</v>
      </c>
      <c r="C46" s="76">
        <f>SUM(C39:C45)</f>
        <v>3812.8</v>
      </c>
      <c r="D46" s="76">
        <f>SUM(D39:D45)</f>
        <v>5087.7</v>
      </c>
      <c r="E46" s="76">
        <f>SUM(E39:E45)</f>
        <v>6342.1</v>
      </c>
      <c r="F46" s="76">
        <f>SUM(F39:F45)</f>
        <v>7761.4</v>
      </c>
    </row>
  </sheetData>
  <mergeCells count="7">
    <mergeCell ref="H4:K4"/>
    <mergeCell ref="A37:F37"/>
    <mergeCell ref="A1:F1"/>
    <mergeCell ref="A2:F2"/>
    <mergeCell ref="A4:F4"/>
    <mergeCell ref="A15:F15"/>
    <mergeCell ref="A26:F26"/>
  </mergeCells>
  <hyperlinks>
    <hyperlink ref="A3" location="PAINEL!A1" tooltip="Voltar ao Painel de Navegação" display="⬅ PAINEL" xr:uid="{0883F669-9C3A-4544-A23D-4EA73CFD3C42}"/>
  </hyperlinks>
  <printOptions horizontalCentered="1" verticalCentered="1"/>
  <pageMargins left="7.8472222222222193E-2" right="7.8472222222222193E-2" top="7.8472222222222193E-2" bottom="7.8472222222222193E-2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AO1040"/>
  <sheetViews>
    <sheetView zoomScaleNormal="100" workbookViewId="0">
      <pane ySplit="1" topLeftCell="A2" activePane="bottomLeft" state="frozen"/>
      <selection pane="bottomLeft" activeCell="A14" sqref="A14:XFD14"/>
    </sheetView>
  </sheetViews>
  <sheetFormatPr defaultColWidth="8.5546875" defaultRowHeight="14.4" x14ac:dyDescent="0.3"/>
  <cols>
    <col min="1" max="1" width="10.5546875" style="43" customWidth="1"/>
    <col min="2" max="2" width="21.109375" style="43" customWidth="1"/>
    <col min="3" max="3" width="7.33203125" style="44" customWidth="1"/>
    <col min="4" max="7" width="19.88671875" style="23" customWidth="1"/>
    <col min="8" max="8" width="8" style="23" customWidth="1"/>
    <col min="9" max="9" width="14" style="23" customWidth="1"/>
    <col min="10" max="10" width="15" style="23" customWidth="1"/>
    <col min="11" max="11" width="7" style="23" customWidth="1"/>
    <col min="12" max="12" width="22.44140625" style="23" customWidth="1"/>
    <col min="13" max="14" width="7" style="23" customWidth="1"/>
    <col min="15" max="26" width="8.5546875" style="23"/>
  </cols>
  <sheetData>
    <row r="1" spans="1:41" s="23" customFormat="1" ht="25.5" customHeight="1" x14ac:dyDescent="0.4">
      <c r="A1" s="358" t="s">
        <v>1757</v>
      </c>
      <c r="B1" s="458" t="s">
        <v>1869</v>
      </c>
      <c r="C1" s="458"/>
      <c r="D1" s="458"/>
      <c r="E1" s="458"/>
      <c r="F1" s="458"/>
      <c r="G1" s="458"/>
      <c r="H1" s="458"/>
      <c r="I1" s="458"/>
      <c r="J1" s="458"/>
      <c r="M1" s="378" t="s">
        <v>1731</v>
      </c>
    </row>
    <row r="2" spans="1:41" s="23" customFormat="1" ht="14.25" customHeight="1" x14ac:dyDescent="0.3">
      <c r="A2" s="43"/>
      <c r="B2" s="458"/>
      <c r="C2" s="458"/>
      <c r="D2" s="458"/>
      <c r="E2" s="458"/>
      <c r="F2" s="458"/>
      <c r="G2" s="458"/>
      <c r="H2" s="458"/>
      <c r="I2" s="458"/>
      <c r="J2" s="458"/>
    </row>
    <row r="3" spans="1:41" s="23" customFormat="1" ht="34.5" customHeight="1" x14ac:dyDescent="0.3">
      <c r="A3" s="43"/>
      <c r="B3" s="45" t="s">
        <v>877</v>
      </c>
      <c r="C3" s="46" t="s">
        <v>10</v>
      </c>
      <c r="D3" s="47" t="s">
        <v>1093</v>
      </c>
      <c r="E3" s="47" t="s">
        <v>880</v>
      </c>
      <c r="F3" s="47" t="s">
        <v>881</v>
      </c>
      <c r="G3" s="47" t="s">
        <v>882</v>
      </c>
      <c r="H3" s="127" t="s">
        <v>954</v>
      </c>
      <c r="I3" s="128" t="s">
        <v>955</v>
      </c>
      <c r="J3" s="129" t="s">
        <v>883</v>
      </c>
    </row>
    <row r="4" spans="1:41" s="23" customFormat="1" ht="24" customHeight="1" x14ac:dyDescent="0.3">
      <c r="A4" s="43" t="s">
        <v>1094</v>
      </c>
      <c r="B4" s="130" t="s">
        <v>68</v>
      </c>
      <c r="C4" s="131">
        <v>2</v>
      </c>
      <c r="D4" s="54">
        <v>39.47</v>
      </c>
      <c r="E4" s="132">
        <f>PARÂMETROS!$H$3</f>
        <v>40</v>
      </c>
      <c r="F4" s="133">
        <v>0</v>
      </c>
      <c r="G4" s="134">
        <f t="shared" ref="G4:G35" si="0">(F4*E4)*24</f>
        <v>0</v>
      </c>
      <c r="H4" s="135">
        <v>1</v>
      </c>
      <c r="I4" s="54">
        <f t="shared" ref="I4:I35" si="1">G4/H4</f>
        <v>0</v>
      </c>
      <c r="J4" s="136">
        <f t="shared" ref="J4:J35" si="2">I4+D4</f>
        <v>39.47</v>
      </c>
      <c r="K4" s="23" t="s">
        <v>1095</v>
      </c>
      <c r="N4" s="56"/>
      <c r="AO4" s="23" t="s">
        <v>923</v>
      </c>
    </row>
    <row r="5" spans="1:41" s="23" customFormat="1" ht="24" customHeight="1" x14ac:dyDescent="0.3">
      <c r="A5" s="57" t="s">
        <v>1094</v>
      </c>
      <c r="B5" s="130" t="s">
        <v>68</v>
      </c>
      <c r="C5" s="131">
        <v>3</v>
      </c>
      <c r="D5" s="54">
        <v>44.52</v>
      </c>
      <c r="E5" s="132">
        <f>PARÂMETROS!$H$3</f>
        <v>40</v>
      </c>
      <c r="F5" s="133">
        <v>0</v>
      </c>
      <c r="G5" s="134">
        <f t="shared" si="0"/>
        <v>0</v>
      </c>
      <c r="H5" s="135">
        <v>1</v>
      </c>
      <c r="I5" s="54">
        <f t="shared" si="1"/>
        <v>0</v>
      </c>
      <c r="J5" s="136">
        <f t="shared" si="2"/>
        <v>44.52</v>
      </c>
      <c r="K5" s="23" t="s">
        <v>1095</v>
      </c>
      <c r="N5" s="56"/>
    </row>
    <row r="6" spans="1:41" s="23" customFormat="1" ht="24" customHeight="1" x14ac:dyDescent="0.3">
      <c r="A6" s="57" t="s">
        <v>1094</v>
      </c>
      <c r="B6" s="130" t="s">
        <v>68</v>
      </c>
      <c r="C6" s="131">
        <v>4</v>
      </c>
      <c r="D6" s="54">
        <v>90.22</v>
      </c>
      <c r="E6" s="132">
        <f>PARÂMETROS!$H$3</f>
        <v>40</v>
      </c>
      <c r="F6" s="133">
        <v>0</v>
      </c>
      <c r="G6" s="134">
        <f t="shared" si="0"/>
        <v>0</v>
      </c>
      <c r="H6" s="135">
        <v>1</v>
      </c>
      <c r="I6" s="54">
        <f t="shared" si="1"/>
        <v>0</v>
      </c>
      <c r="J6" s="136">
        <f t="shared" si="2"/>
        <v>90.22</v>
      </c>
      <c r="K6" s="23" t="s">
        <v>1095</v>
      </c>
      <c r="N6" s="56"/>
    </row>
    <row r="7" spans="1:41" s="23" customFormat="1" ht="24" customHeight="1" x14ac:dyDescent="0.3">
      <c r="A7" s="57" t="s">
        <v>1094</v>
      </c>
      <c r="B7" s="130" t="s">
        <v>68</v>
      </c>
      <c r="C7" s="131">
        <v>6</v>
      </c>
      <c r="D7" s="54">
        <v>195.47</v>
      </c>
      <c r="E7" s="132">
        <f>PARÂMETROS!$H$3</f>
        <v>40</v>
      </c>
      <c r="F7" s="133">
        <v>0</v>
      </c>
      <c r="G7" s="134">
        <f t="shared" si="0"/>
        <v>0</v>
      </c>
      <c r="H7" s="135">
        <v>1</v>
      </c>
      <c r="I7" s="54">
        <f t="shared" si="1"/>
        <v>0</v>
      </c>
      <c r="J7" s="136">
        <f t="shared" si="2"/>
        <v>195.47</v>
      </c>
      <c r="K7" s="23" t="s">
        <v>1095</v>
      </c>
      <c r="N7" s="56"/>
    </row>
    <row r="8" spans="1:41" s="23" customFormat="1" ht="24" customHeight="1" x14ac:dyDescent="0.3">
      <c r="A8" s="57"/>
      <c r="B8" s="130" t="s">
        <v>68</v>
      </c>
      <c r="C8" s="131">
        <v>8</v>
      </c>
      <c r="D8" s="54">
        <v>16.86</v>
      </c>
      <c r="E8" s="132">
        <f>PARÂMETROS!$H$3</f>
        <v>40</v>
      </c>
      <c r="F8" s="137">
        <v>0.20833333333333301</v>
      </c>
      <c r="G8" s="132">
        <f t="shared" si="0"/>
        <v>199.99999999999966</v>
      </c>
      <c r="H8" s="135">
        <v>1</v>
      </c>
      <c r="I8" s="54">
        <f t="shared" si="1"/>
        <v>199.99999999999966</v>
      </c>
      <c r="J8" s="136">
        <f t="shared" si="2"/>
        <v>216.85999999999967</v>
      </c>
      <c r="N8" s="56"/>
    </row>
    <row r="9" spans="1:41" s="23" customFormat="1" ht="24" customHeight="1" x14ac:dyDescent="0.3">
      <c r="A9" s="57"/>
      <c r="B9" s="130" t="s">
        <v>68</v>
      </c>
      <c r="C9" s="131">
        <v>10</v>
      </c>
      <c r="D9" s="54">
        <v>45.24</v>
      </c>
      <c r="E9" s="132">
        <f>PARÂMETROS!$H$3</f>
        <v>40</v>
      </c>
      <c r="F9" s="137">
        <v>0.20833333333333301</v>
      </c>
      <c r="G9" s="132">
        <f t="shared" si="0"/>
        <v>199.99999999999966</v>
      </c>
      <c r="H9" s="135">
        <v>1</v>
      </c>
      <c r="I9" s="54">
        <f t="shared" si="1"/>
        <v>199.99999999999966</v>
      </c>
      <c r="J9" s="136">
        <f t="shared" si="2"/>
        <v>245.23999999999967</v>
      </c>
      <c r="N9" s="56"/>
    </row>
    <row r="10" spans="1:41" s="23" customFormat="1" ht="24" customHeight="1" x14ac:dyDescent="0.3">
      <c r="A10" s="57"/>
      <c r="B10" s="130" t="s">
        <v>68</v>
      </c>
      <c r="C10" s="131">
        <v>12</v>
      </c>
      <c r="D10" s="54">
        <v>92.75</v>
      </c>
      <c r="E10" s="132">
        <f>PARÂMETROS!$H$3</f>
        <v>40</v>
      </c>
      <c r="F10" s="137">
        <v>0.20833333333333301</v>
      </c>
      <c r="G10" s="132">
        <f t="shared" si="0"/>
        <v>199.99999999999966</v>
      </c>
      <c r="H10" s="135">
        <v>1</v>
      </c>
      <c r="I10" s="54">
        <f t="shared" si="1"/>
        <v>199.99999999999966</v>
      </c>
      <c r="J10" s="136">
        <f t="shared" si="2"/>
        <v>292.74999999999966</v>
      </c>
      <c r="N10" s="56"/>
    </row>
    <row r="11" spans="1:41" s="23" customFormat="1" ht="24" customHeight="1" x14ac:dyDescent="0.3">
      <c r="A11" s="57"/>
      <c r="B11" s="130" t="s">
        <v>68</v>
      </c>
      <c r="C11" s="131">
        <v>14</v>
      </c>
      <c r="D11" s="54">
        <v>112.66</v>
      </c>
      <c r="E11" s="132">
        <f>PARÂMETROS!$H$3</f>
        <v>40</v>
      </c>
      <c r="F11" s="137">
        <v>0.20833333333333301</v>
      </c>
      <c r="G11" s="132">
        <f t="shared" si="0"/>
        <v>199.99999999999966</v>
      </c>
      <c r="H11" s="135">
        <v>1</v>
      </c>
      <c r="I11" s="54">
        <f t="shared" si="1"/>
        <v>199.99999999999966</v>
      </c>
      <c r="J11" s="136">
        <f t="shared" si="2"/>
        <v>312.65999999999963</v>
      </c>
      <c r="N11" s="56"/>
    </row>
    <row r="12" spans="1:41" s="23" customFormat="1" ht="24" customHeight="1" x14ac:dyDescent="0.3">
      <c r="A12" s="57"/>
      <c r="B12" s="130" t="s">
        <v>68</v>
      </c>
      <c r="C12" s="131">
        <v>16</v>
      </c>
      <c r="D12" s="54">
        <v>166.22</v>
      </c>
      <c r="E12" s="132">
        <f>PARÂMETROS!$H$3</f>
        <v>40</v>
      </c>
      <c r="F12" s="137">
        <v>0.20833333333333301</v>
      </c>
      <c r="G12" s="132">
        <f t="shared" si="0"/>
        <v>199.99999999999966</v>
      </c>
      <c r="H12" s="135">
        <v>1</v>
      </c>
      <c r="I12" s="54">
        <f t="shared" si="1"/>
        <v>199.99999999999966</v>
      </c>
      <c r="J12" s="136">
        <f t="shared" si="2"/>
        <v>366.21999999999969</v>
      </c>
      <c r="N12" s="56"/>
    </row>
    <row r="13" spans="1:41" s="23" customFormat="1" ht="24" customHeight="1" x14ac:dyDescent="0.3">
      <c r="A13" s="57"/>
      <c r="B13" s="130" t="s">
        <v>68</v>
      </c>
      <c r="C13" s="131">
        <v>18</v>
      </c>
      <c r="D13" s="54">
        <v>323.02</v>
      </c>
      <c r="E13" s="132">
        <f>PARÂMETROS!$H$3</f>
        <v>40</v>
      </c>
      <c r="F13" s="137">
        <v>0.20833333333333301</v>
      </c>
      <c r="G13" s="132">
        <f t="shared" si="0"/>
        <v>199.99999999999966</v>
      </c>
      <c r="H13" s="135">
        <v>1</v>
      </c>
      <c r="I13" s="54">
        <f t="shared" si="1"/>
        <v>199.99999999999966</v>
      </c>
      <c r="J13" s="136">
        <f t="shared" si="2"/>
        <v>523.01999999999964</v>
      </c>
      <c r="N13" s="56"/>
    </row>
    <row r="14" spans="1:41" s="23" customFormat="1" ht="24" customHeight="1" x14ac:dyDescent="0.3">
      <c r="A14" s="57"/>
      <c r="B14" s="130" t="s">
        <v>68</v>
      </c>
      <c r="C14" s="131">
        <v>20</v>
      </c>
      <c r="D14" s="54">
        <v>394.63</v>
      </c>
      <c r="E14" s="132">
        <f>PARÂMETROS!$H$3</f>
        <v>40</v>
      </c>
      <c r="F14" s="137">
        <v>0.25</v>
      </c>
      <c r="G14" s="132">
        <f t="shared" si="0"/>
        <v>240</v>
      </c>
      <c r="H14" s="135">
        <v>1</v>
      </c>
      <c r="I14" s="54">
        <f t="shared" si="1"/>
        <v>240</v>
      </c>
      <c r="J14" s="136">
        <f t="shared" si="2"/>
        <v>634.63</v>
      </c>
      <c r="N14" s="56"/>
    </row>
    <row r="15" spans="1:41" s="23" customFormat="1" ht="24" customHeight="1" x14ac:dyDescent="0.3">
      <c r="A15" s="57"/>
      <c r="B15" s="130" t="s">
        <v>68</v>
      </c>
      <c r="C15" s="131">
        <v>22</v>
      </c>
      <c r="D15" s="54">
        <v>490.18</v>
      </c>
      <c r="E15" s="132">
        <f>PARÂMETROS!$H$3</f>
        <v>40</v>
      </c>
      <c r="F15" s="137">
        <v>0.25</v>
      </c>
      <c r="G15" s="132">
        <f t="shared" si="0"/>
        <v>240</v>
      </c>
      <c r="H15" s="135">
        <v>1</v>
      </c>
      <c r="I15" s="54">
        <f t="shared" si="1"/>
        <v>240</v>
      </c>
      <c r="J15" s="136">
        <f t="shared" si="2"/>
        <v>730.18000000000006</v>
      </c>
      <c r="N15" s="56"/>
    </row>
    <row r="16" spans="1:41" s="23" customFormat="1" ht="24" customHeight="1" x14ac:dyDescent="0.3">
      <c r="A16" s="57"/>
      <c r="B16" s="130" t="s">
        <v>68</v>
      </c>
      <c r="C16" s="131">
        <v>24</v>
      </c>
      <c r="D16" s="54">
        <v>693.55</v>
      </c>
      <c r="E16" s="132">
        <f>PARÂMETROS!$H$3</f>
        <v>40</v>
      </c>
      <c r="F16" s="137">
        <v>0.25</v>
      </c>
      <c r="G16" s="132">
        <f t="shared" si="0"/>
        <v>240</v>
      </c>
      <c r="H16" s="135">
        <v>1</v>
      </c>
      <c r="I16" s="54">
        <f t="shared" si="1"/>
        <v>240</v>
      </c>
      <c r="J16" s="136">
        <f t="shared" si="2"/>
        <v>933.55</v>
      </c>
      <c r="N16" s="56"/>
    </row>
    <row r="17" spans="1:14" s="23" customFormat="1" ht="24" customHeight="1" x14ac:dyDescent="0.3">
      <c r="A17" s="57"/>
      <c r="B17" s="130" t="s">
        <v>68</v>
      </c>
      <c r="C17" s="131">
        <v>26</v>
      </c>
      <c r="D17" s="54">
        <v>786.89</v>
      </c>
      <c r="E17" s="132">
        <f>PARÂMETROS!$H$3</f>
        <v>40</v>
      </c>
      <c r="F17" s="137">
        <v>0.25</v>
      </c>
      <c r="G17" s="132">
        <f t="shared" si="0"/>
        <v>240</v>
      </c>
      <c r="H17" s="135">
        <v>1</v>
      </c>
      <c r="I17" s="54">
        <f t="shared" si="1"/>
        <v>240</v>
      </c>
      <c r="J17" s="136">
        <f t="shared" si="2"/>
        <v>1026.8899999999999</v>
      </c>
      <c r="N17" s="56"/>
    </row>
    <row r="18" spans="1:14" s="23" customFormat="1" ht="24" customHeight="1" x14ac:dyDescent="0.3">
      <c r="A18" s="57"/>
      <c r="B18" s="130" t="s">
        <v>68</v>
      </c>
      <c r="C18" s="131">
        <v>28</v>
      </c>
      <c r="D18" s="54">
        <v>884.36</v>
      </c>
      <c r="E18" s="132">
        <f>PARÂMETROS!$H$3</f>
        <v>40</v>
      </c>
      <c r="F18" s="137">
        <v>0.25</v>
      </c>
      <c r="G18" s="132">
        <f t="shared" si="0"/>
        <v>240</v>
      </c>
      <c r="H18" s="135">
        <v>1</v>
      </c>
      <c r="I18" s="54">
        <f t="shared" si="1"/>
        <v>240</v>
      </c>
      <c r="J18" s="136">
        <f t="shared" si="2"/>
        <v>1124.3600000000001</v>
      </c>
      <c r="N18" s="56"/>
    </row>
    <row r="19" spans="1:14" s="23" customFormat="1" ht="24" customHeight="1" x14ac:dyDescent="0.3">
      <c r="A19" s="57"/>
      <c r="B19" s="130" t="s">
        <v>68</v>
      </c>
      <c r="C19" s="131">
        <v>30</v>
      </c>
      <c r="D19" s="54">
        <v>1118.8599999999999</v>
      </c>
      <c r="E19" s="132">
        <f>PARÂMETROS!$H$3</f>
        <v>40</v>
      </c>
      <c r="F19" s="137">
        <v>0.33333333333333298</v>
      </c>
      <c r="G19" s="132">
        <f t="shared" si="0"/>
        <v>319.99999999999966</v>
      </c>
      <c r="H19" s="135">
        <v>1</v>
      </c>
      <c r="I19" s="54">
        <f t="shared" si="1"/>
        <v>319.99999999999966</v>
      </c>
      <c r="J19" s="136">
        <f t="shared" si="2"/>
        <v>1438.8599999999997</v>
      </c>
      <c r="N19" s="56"/>
    </row>
    <row r="20" spans="1:14" s="23" customFormat="1" ht="24" customHeight="1" x14ac:dyDescent="0.3">
      <c r="A20" s="57"/>
      <c r="B20" s="130" t="s">
        <v>68</v>
      </c>
      <c r="C20" s="131">
        <v>32</v>
      </c>
      <c r="D20" s="54">
        <v>1227.98</v>
      </c>
      <c r="E20" s="132">
        <f>PARÂMETROS!$H$3</f>
        <v>40</v>
      </c>
      <c r="F20" s="137">
        <v>0.33333333333333298</v>
      </c>
      <c r="G20" s="132">
        <f t="shared" si="0"/>
        <v>319.99999999999966</v>
      </c>
      <c r="H20" s="135">
        <v>1</v>
      </c>
      <c r="I20" s="54">
        <f t="shared" si="1"/>
        <v>319.99999999999966</v>
      </c>
      <c r="J20" s="136">
        <f t="shared" si="2"/>
        <v>1547.9799999999996</v>
      </c>
      <c r="N20" s="56"/>
    </row>
    <row r="21" spans="1:14" s="23" customFormat="1" ht="24" customHeight="1" x14ac:dyDescent="0.3">
      <c r="A21" s="57"/>
      <c r="B21" s="130" t="s">
        <v>68</v>
      </c>
      <c r="C21" s="131">
        <v>34</v>
      </c>
      <c r="D21" s="54">
        <v>1418.11</v>
      </c>
      <c r="E21" s="132">
        <f>PARÂMETROS!$H$3</f>
        <v>40</v>
      </c>
      <c r="F21" s="137">
        <v>0.33333333333333298</v>
      </c>
      <c r="G21" s="132">
        <f t="shared" si="0"/>
        <v>319.99999999999966</v>
      </c>
      <c r="H21" s="135">
        <v>1</v>
      </c>
      <c r="I21" s="54">
        <f t="shared" si="1"/>
        <v>319.99999999999966</v>
      </c>
      <c r="J21" s="136">
        <f t="shared" si="2"/>
        <v>1738.1099999999997</v>
      </c>
      <c r="N21" s="56"/>
    </row>
    <row r="22" spans="1:14" s="23" customFormat="1" ht="24" customHeight="1" x14ac:dyDescent="0.3">
      <c r="A22" s="57"/>
      <c r="B22" s="130" t="s">
        <v>68</v>
      </c>
      <c r="C22" s="131">
        <v>36</v>
      </c>
      <c r="D22" s="54">
        <v>1545.62</v>
      </c>
      <c r="E22" s="132">
        <f>PARÂMETROS!$H$3</f>
        <v>40</v>
      </c>
      <c r="F22" s="137">
        <v>0.33333333333333298</v>
      </c>
      <c r="G22" s="132">
        <f t="shared" si="0"/>
        <v>319.99999999999966</v>
      </c>
      <c r="H22" s="135">
        <v>1</v>
      </c>
      <c r="I22" s="54">
        <f t="shared" si="1"/>
        <v>319.99999999999966</v>
      </c>
      <c r="J22" s="136">
        <f t="shared" si="2"/>
        <v>1865.6199999999994</v>
      </c>
      <c r="N22" s="56"/>
    </row>
    <row r="23" spans="1:14" s="23" customFormat="1" ht="24" customHeight="1" x14ac:dyDescent="0.3">
      <c r="A23" s="57"/>
      <c r="B23" s="130" t="s">
        <v>68</v>
      </c>
      <c r="C23" s="131">
        <v>38</v>
      </c>
      <c r="D23" s="54">
        <v>2396.4699999999998</v>
      </c>
      <c r="E23" s="132">
        <f>PARÂMETROS!$H$3</f>
        <v>40</v>
      </c>
      <c r="F23" s="137">
        <v>0.41666666666666702</v>
      </c>
      <c r="G23" s="132">
        <f t="shared" si="0"/>
        <v>400.00000000000034</v>
      </c>
      <c r="H23" s="135">
        <v>1</v>
      </c>
      <c r="I23" s="54">
        <f t="shared" si="1"/>
        <v>400.00000000000034</v>
      </c>
      <c r="J23" s="136">
        <f t="shared" si="2"/>
        <v>2796.4700000000003</v>
      </c>
      <c r="N23" s="56"/>
    </row>
    <row r="24" spans="1:14" s="23" customFormat="1" ht="24" customHeight="1" x14ac:dyDescent="0.3">
      <c r="A24" s="57"/>
      <c r="B24" s="130" t="s">
        <v>68</v>
      </c>
      <c r="C24" s="131">
        <v>40</v>
      </c>
      <c r="D24" s="54">
        <v>2565.23</v>
      </c>
      <c r="E24" s="132">
        <f>PARÂMETROS!$H$3</f>
        <v>40</v>
      </c>
      <c r="F24" s="137">
        <v>0.41666666666666702</v>
      </c>
      <c r="G24" s="132">
        <f t="shared" si="0"/>
        <v>400.00000000000034</v>
      </c>
      <c r="H24" s="135">
        <v>1</v>
      </c>
      <c r="I24" s="54">
        <f t="shared" si="1"/>
        <v>400.00000000000034</v>
      </c>
      <c r="J24" s="136">
        <f t="shared" si="2"/>
        <v>2965.2300000000005</v>
      </c>
      <c r="N24" s="56"/>
    </row>
    <row r="25" spans="1:14" s="23" customFormat="1" ht="24" customHeight="1" x14ac:dyDescent="0.3">
      <c r="A25" s="57"/>
      <c r="B25" s="130" t="s">
        <v>68</v>
      </c>
      <c r="C25" s="131">
        <v>42</v>
      </c>
      <c r="D25" s="54">
        <v>2724.09</v>
      </c>
      <c r="E25" s="132">
        <f>PARÂMETROS!$H$3</f>
        <v>40</v>
      </c>
      <c r="F25" s="137">
        <v>0.41666666666666702</v>
      </c>
      <c r="G25" s="132">
        <f t="shared" si="0"/>
        <v>400.00000000000034</v>
      </c>
      <c r="H25" s="135">
        <v>1</v>
      </c>
      <c r="I25" s="54">
        <f t="shared" si="1"/>
        <v>400.00000000000034</v>
      </c>
      <c r="J25" s="136">
        <f t="shared" si="2"/>
        <v>3124.0900000000006</v>
      </c>
      <c r="N25" s="56"/>
    </row>
    <row r="26" spans="1:14" s="23" customFormat="1" ht="24" customHeight="1" x14ac:dyDescent="0.3">
      <c r="A26" s="57" t="s">
        <v>1094</v>
      </c>
      <c r="B26" s="130" t="s">
        <v>92</v>
      </c>
      <c r="C26" s="131">
        <v>2</v>
      </c>
      <c r="D26" s="54">
        <v>105.88</v>
      </c>
      <c r="E26" s="132">
        <f>PARÂMETROS!$H$3</f>
        <v>40</v>
      </c>
      <c r="F26" s="133">
        <v>0</v>
      </c>
      <c r="G26" s="134">
        <f t="shared" si="0"/>
        <v>0</v>
      </c>
      <c r="H26" s="135">
        <v>1</v>
      </c>
      <c r="I26" s="54">
        <f t="shared" si="1"/>
        <v>0</v>
      </c>
      <c r="J26" s="136">
        <f t="shared" si="2"/>
        <v>105.88</v>
      </c>
      <c r="K26" s="23" t="s">
        <v>1095</v>
      </c>
      <c r="N26" s="56"/>
    </row>
    <row r="27" spans="1:14" s="23" customFormat="1" ht="24" customHeight="1" x14ac:dyDescent="0.3">
      <c r="A27" s="57" t="s">
        <v>1094</v>
      </c>
      <c r="B27" s="130" t="s">
        <v>92</v>
      </c>
      <c r="C27" s="131">
        <v>3</v>
      </c>
      <c r="D27" s="54">
        <v>133.41999999999999</v>
      </c>
      <c r="E27" s="132">
        <f>PARÂMETROS!$H$3</f>
        <v>40</v>
      </c>
      <c r="F27" s="133">
        <v>0</v>
      </c>
      <c r="G27" s="134">
        <f t="shared" si="0"/>
        <v>0</v>
      </c>
      <c r="H27" s="135">
        <v>1</v>
      </c>
      <c r="I27" s="54">
        <f t="shared" si="1"/>
        <v>0</v>
      </c>
      <c r="J27" s="136">
        <f t="shared" si="2"/>
        <v>133.41999999999999</v>
      </c>
      <c r="K27" s="23" t="s">
        <v>1095</v>
      </c>
      <c r="N27" s="56"/>
    </row>
    <row r="28" spans="1:14" s="23" customFormat="1" ht="24" customHeight="1" x14ac:dyDescent="0.3">
      <c r="A28" s="57" t="s">
        <v>1094</v>
      </c>
      <c r="B28" s="130" t="s">
        <v>92</v>
      </c>
      <c r="C28" s="131">
        <v>4</v>
      </c>
      <c r="D28" s="54">
        <v>153.12</v>
      </c>
      <c r="E28" s="132">
        <f>PARÂMETROS!$H$3</f>
        <v>40</v>
      </c>
      <c r="F28" s="133">
        <v>0</v>
      </c>
      <c r="G28" s="134">
        <f t="shared" si="0"/>
        <v>0</v>
      </c>
      <c r="H28" s="135">
        <v>1</v>
      </c>
      <c r="I28" s="54">
        <f t="shared" si="1"/>
        <v>0</v>
      </c>
      <c r="J28" s="136">
        <f t="shared" si="2"/>
        <v>153.12</v>
      </c>
      <c r="K28" s="23" t="s">
        <v>1095</v>
      </c>
      <c r="N28" s="56"/>
    </row>
    <row r="29" spans="1:14" s="23" customFormat="1" ht="24" customHeight="1" x14ac:dyDescent="0.3">
      <c r="A29" s="57" t="s">
        <v>1094</v>
      </c>
      <c r="B29" s="130" t="s">
        <v>92</v>
      </c>
      <c r="C29" s="131">
        <v>6</v>
      </c>
      <c r="D29" s="54">
        <v>190</v>
      </c>
      <c r="E29" s="132">
        <f>PARÂMETROS!$H$3</f>
        <v>40</v>
      </c>
      <c r="F29" s="133">
        <v>0</v>
      </c>
      <c r="G29" s="134">
        <f t="shared" si="0"/>
        <v>0</v>
      </c>
      <c r="H29" s="135">
        <v>1</v>
      </c>
      <c r="I29" s="54">
        <f t="shared" si="1"/>
        <v>0</v>
      </c>
      <c r="J29" s="136">
        <f t="shared" si="2"/>
        <v>190</v>
      </c>
      <c r="K29" s="23" t="s">
        <v>1095</v>
      </c>
      <c r="N29" s="56"/>
    </row>
    <row r="30" spans="1:14" s="23" customFormat="1" ht="24" customHeight="1" x14ac:dyDescent="0.3">
      <c r="A30" s="57"/>
      <c r="B30" s="130" t="s">
        <v>92</v>
      </c>
      <c r="C30" s="131">
        <v>8</v>
      </c>
      <c r="D30" s="54">
        <v>5.62</v>
      </c>
      <c r="E30" s="132">
        <f>PARÂMETROS!$H$3</f>
        <v>40</v>
      </c>
      <c r="F30" s="137">
        <v>0.20833333333333301</v>
      </c>
      <c r="G30" s="132">
        <f t="shared" si="0"/>
        <v>199.99999999999966</v>
      </c>
      <c r="H30" s="135">
        <v>1</v>
      </c>
      <c r="I30" s="54">
        <f t="shared" si="1"/>
        <v>199.99999999999966</v>
      </c>
      <c r="J30" s="136">
        <f t="shared" si="2"/>
        <v>205.61999999999966</v>
      </c>
      <c r="N30" s="56"/>
    </row>
    <row r="31" spans="1:14" s="23" customFormat="1" ht="24" customHeight="1" x14ac:dyDescent="0.3">
      <c r="A31" s="57"/>
      <c r="B31" s="130" t="s">
        <v>92</v>
      </c>
      <c r="C31" s="131">
        <v>10</v>
      </c>
      <c r="D31" s="54">
        <v>15.08</v>
      </c>
      <c r="E31" s="132">
        <f>PARÂMETROS!$H$3</f>
        <v>40</v>
      </c>
      <c r="F31" s="137">
        <v>0.20833333333333301</v>
      </c>
      <c r="G31" s="132">
        <f t="shared" si="0"/>
        <v>199.99999999999966</v>
      </c>
      <c r="H31" s="135">
        <v>1</v>
      </c>
      <c r="I31" s="54">
        <f t="shared" si="1"/>
        <v>199.99999999999966</v>
      </c>
      <c r="J31" s="136">
        <f t="shared" si="2"/>
        <v>215.07999999999967</v>
      </c>
      <c r="N31" s="56"/>
    </row>
    <row r="32" spans="1:14" s="23" customFormat="1" ht="24" customHeight="1" x14ac:dyDescent="0.3">
      <c r="A32" s="57"/>
      <c r="B32" s="130" t="s">
        <v>92</v>
      </c>
      <c r="C32" s="131">
        <v>12</v>
      </c>
      <c r="D32" s="54">
        <v>30.9166666666667</v>
      </c>
      <c r="E32" s="132">
        <f>PARÂMETROS!$H$3</f>
        <v>40</v>
      </c>
      <c r="F32" s="137">
        <v>0.20833333333333301</v>
      </c>
      <c r="G32" s="132">
        <f t="shared" si="0"/>
        <v>199.99999999999966</v>
      </c>
      <c r="H32" s="135">
        <v>1</v>
      </c>
      <c r="I32" s="54">
        <f t="shared" si="1"/>
        <v>199.99999999999966</v>
      </c>
      <c r="J32" s="136">
        <f t="shared" si="2"/>
        <v>230.91666666666634</v>
      </c>
      <c r="N32" s="56"/>
    </row>
    <row r="33" spans="1:14" s="23" customFormat="1" ht="24" customHeight="1" x14ac:dyDescent="0.3">
      <c r="A33" s="57"/>
      <c r="B33" s="130" t="s">
        <v>92</v>
      </c>
      <c r="C33" s="131">
        <v>14</v>
      </c>
      <c r="D33" s="54">
        <v>37.553333333333299</v>
      </c>
      <c r="E33" s="132">
        <f>PARÂMETROS!$H$3</f>
        <v>40</v>
      </c>
      <c r="F33" s="137">
        <v>0.20833333333333301</v>
      </c>
      <c r="G33" s="132">
        <f t="shared" si="0"/>
        <v>199.99999999999966</v>
      </c>
      <c r="H33" s="135">
        <v>1</v>
      </c>
      <c r="I33" s="54">
        <f t="shared" si="1"/>
        <v>199.99999999999966</v>
      </c>
      <c r="J33" s="136">
        <f t="shared" si="2"/>
        <v>237.55333333333294</v>
      </c>
      <c r="N33" s="56"/>
    </row>
    <row r="34" spans="1:14" s="23" customFormat="1" ht="24" customHeight="1" x14ac:dyDescent="0.3">
      <c r="A34" s="57"/>
      <c r="B34" s="130" t="s">
        <v>92</v>
      </c>
      <c r="C34" s="131">
        <v>16</v>
      </c>
      <c r="D34" s="54">
        <v>55.406666666666702</v>
      </c>
      <c r="E34" s="132">
        <f>PARÂMETROS!$H$3</f>
        <v>40</v>
      </c>
      <c r="F34" s="137">
        <v>0.20833333333333301</v>
      </c>
      <c r="G34" s="132">
        <f t="shared" si="0"/>
        <v>199.99999999999966</v>
      </c>
      <c r="H34" s="135">
        <v>1</v>
      </c>
      <c r="I34" s="54">
        <f t="shared" si="1"/>
        <v>199.99999999999966</v>
      </c>
      <c r="J34" s="136">
        <f t="shared" si="2"/>
        <v>255.40666666666635</v>
      </c>
      <c r="N34" s="56"/>
    </row>
    <row r="35" spans="1:14" s="23" customFormat="1" ht="24" customHeight="1" x14ac:dyDescent="0.3">
      <c r="A35" s="57"/>
      <c r="B35" s="130" t="s">
        <v>92</v>
      </c>
      <c r="C35" s="131">
        <v>18</v>
      </c>
      <c r="D35" s="54">
        <v>107.67333333333301</v>
      </c>
      <c r="E35" s="132">
        <f>PARÂMETROS!$H$3</f>
        <v>40</v>
      </c>
      <c r="F35" s="137">
        <v>0.20833333333333301</v>
      </c>
      <c r="G35" s="132">
        <f t="shared" si="0"/>
        <v>199.99999999999966</v>
      </c>
      <c r="H35" s="135">
        <v>1</v>
      </c>
      <c r="I35" s="54">
        <f t="shared" si="1"/>
        <v>199.99999999999966</v>
      </c>
      <c r="J35" s="136">
        <f t="shared" si="2"/>
        <v>307.67333333333266</v>
      </c>
      <c r="N35" s="56"/>
    </row>
    <row r="36" spans="1:14" s="23" customFormat="1" ht="24" customHeight="1" x14ac:dyDescent="0.3">
      <c r="A36" s="57"/>
      <c r="B36" s="130" t="s">
        <v>92</v>
      </c>
      <c r="C36" s="131">
        <v>20</v>
      </c>
      <c r="D36" s="54">
        <v>131.54333333333301</v>
      </c>
      <c r="E36" s="132">
        <f>PARÂMETROS!$H$3</f>
        <v>40</v>
      </c>
      <c r="F36" s="137">
        <v>0.25</v>
      </c>
      <c r="G36" s="132">
        <f t="shared" ref="G36:G67" si="3">(F36*E36)*24</f>
        <v>240</v>
      </c>
      <c r="H36" s="135">
        <v>1</v>
      </c>
      <c r="I36" s="54">
        <f t="shared" ref="I36:I67" si="4">G36/H36</f>
        <v>240</v>
      </c>
      <c r="J36" s="136">
        <f t="shared" ref="J36:J67" si="5">I36+D36</f>
        <v>371.54333333333301</v>
      </c>
      <c r="N36" s="56"/>
    </row>
    <row r="37" spans="1:14" s="23" customFormat="1" ht="24" customHeight="1" x14ac:dyDescent="0.3">
      <c r="A37" s="57"/>
      <c r="B37" s="130" t="s">
        <v>92</v>
      </c>
      <c r="C37" s="131">
        <v>22</v>
      </c>
      <c r="D37" s="54">
        <v>163.393333333333</v>
      </c>
      <c r="E37" s="132">
        <f>PARÂMETROS!$H$3</f>
        <v>40</v>
      </c>
      <c r="F37" s="137">
        <v>0.25</v>
      </c>
      <c r="G37" s="132">
        <f t="shared" si="3"/>
        <v>240</v>
      </c>
      <c r="H37" s="135">
        <v>1</v>
      </c>
      <c r="I37" s="54">
        <f t="shared" si="4"/>
        <v>240</v>
      </c>
      <c r="J37" s="136">
        <f t="shared" si="5"/>
        <v>403.39333333333298</v>
      </c>
      <c r="N37" s="56"/>
    </row>
    <row r="38" spans="1:14" s="23" customFormat="1" ht="24" customHeight="1" x14ac:dyDescent="0.3">
      <c r="A38" s="57"/>
      <c r="B38" s="130" t="s">
        <v>92</v>
      </c>
      <c r="C38" s="131">
        <v>24</v>
      </c>
      <c r="D38" s="54">
        <v>231.183333333333</v>
      </c>
      <c r="E38" s="132">
        <f>PARÂMETROS!$H$3</f>
        <v>40</v>
      </c>
      <c r="F38" s="137">
        <v>0.25</v>
      </c>
      <c r="G38" s="132">
        <f t="shared" si="3"/>
        <v>240</v>
      </c>
      <c r="H38" s="135">
        <v>1</v>
      </c>
      <c r="I38" s="54">
        <f t="shared" si="4"/>
        <v>240</v>
      </c>
      <c r="J38" s="136">
        <f t="shared" si="5"/>
        <v>471.183333333333</v>
      </c>
      <c r="N38" s="56"/>
    </row>
    <row r="39" spans="1:14" s="23" customFormat="1" ht="24" customHeight="1" x14ac:dyDescent="0.3">
      <c r="A39" s="57"/>
      <c r="B39" s="130" t="s">
        <v>92</v>
      </c>
      <c r="C39" s="131">
        <v>26</v>
      </c>
      <c r="D39" s="54">
        <v>262.29666666666702</v>
      </c>
      <c r="E39" s="132">
        <f>PARÂMETROS!$H$3</f>
        <v>40</v>
      </c>
      <c r="F39" s="137">
        <v>0.25</v>
      </c>
      <c r="G39" s="132">
        <f t="shared" si="3"/>
        <v>240</v>
      </c>
      <c r="H39" s="135">
        <v>1</v>
      </c>
      <c r="I39" s="54">
        <f t="shared" si="4"/>
        <v>240</v>
      </c>
      <c r="J39" s="136">
        <f t="shared" si="5"/>
        <v>502.29666666666702</v>
      </c>
      <c r="N39" s="56"/>
    </row>
    <row r="40" spans="1:14" s="23" customFormat="1" ht="24" customHeight="1" x14ac:dyDescent="0.3">
      <c r="A40" s="57"/>
      <c r="B40" s="130" t="s">
        <v>92</v>
      </c>
      <c r="C40" s="131">
        <v>28</v>
      </c>
      <c r="D40" s="54">
        <v>294.78666666666697</v>
      </c>
      <c r="E40" s="132">
        <f>PARÂMETROS!$H$3</f>
        <v>40</v>
      </c>
      <c r="F40" s="137">
        <v>0.25</v>
      </c>
      <c r="G40" s="132">
        <f t="shared" si="3"/>
        <v>240</v>
      </c>
      <c r="H40" s="135">
        <v>1</v>
      </c>
      <c r="I40" s="54">
        <f t="shared" si="4"/>
        <v>240</v>
      </c>
      <c r="J40" s="136">
        <f t="shared" si="5"/>
        <v>534.78666666666697</v>
      </c>
      <c r="N40" s="56"/>
    </row>
    <row r="41" spans="1:14" s="23" customFormat="1" ht="24" customHeight="1" x14ac:dyDescent="0.3">
      <c r="A41" s="57"/>
      <c r="B41" s="130" t="s">
        <v>92</v>
      </c>
      <c r="C41" s="131">
        <v>30</v>
      </c>
      <c r="D41" s="54">
        <v>372.95333333333298</v>
      </c>
      <c r="E41" s="132">
        <f>PARÂMETROS!$H$3</f>
        <v>40</v>
      </c>
      <c r="F41" s="137">
        <v>0.33333333333333298</v>
      </c>
      <c r="G41" s="132">
        <f t="shared" si="3"/>
        <v>319.99999999999966</v>
      </c>
      <c r="H41" s="135">
        <v>1</v>
      </c>
      <c r="I41" s="54">
        <f t="shared" si="4"/>
        <v>319.99999999999966</v>
      </c>
      <c r="J41" s="136">
        <f t="shared" si="5"/>
        <v>692.95333333333269</v>
      </c>
      <c r="N41" s="56"/>
    </row>
    <row r="42" spans="1:14" s="23" customFormat="1" ht="24" customHeight="1" x14ac:dyDescent="0.3">
      <c r="A42" s="57"/>
      <c r="B42" s="130" t="s">
        <v>92</v>
      </c>
      <c r="C42" s="131">
        <v>32</v>
      </c>
      <c r="D42" s="54">
        <v>409.32666666666699</v>
      </c>
      <c r="E42" s="132">
        <f>PARÂMETROS!$H$3</f>
        <v>40</v>
      </c>
      <c r="F42" s="137">
        <v>0.33333333333333298</v>
      </c>
      <c r="G42" s="132">
        <f t="shared" si="3"/>
        <v>319.99999999999966</v>
      </c>
      <c r="H42" s="135">
        <v>1</v>
      </c>
      <c r="I42" s="54">
        <f t="shared" si="4"/>
        <v>319.99999999999966</v>
      </c>
      <c r="J42" s="136">
        <f t="shared" si="5"/>
        <v>729.3266666666666</v>
      </c>
      <c r="N42" s="56"/>
    </row>
    <row r="43" spans="1:14" s="23" customFormat="1" ht="24" customHeight="1" x14ac:dyDescent="0.3">
      <c r="A43" s="57"/>
      <c r="B43" s="130" t="s">
        <v>92</v>
      </c>
      <c r="C43" s="131">
        <v>34</v>
      </c>
      <c r="D43" s="54">
        <v>472.70333333333298</v>
      </c>
      <c r="E43" s="132">
        <f>PARÂMETROS!$H$3</f>
        <v>40</v>
      </c>
      <c r="F43" s="137">
        <v>0.33333333333333298</v>
      </c>
      <c r="G43" s="132">
        <f t="shared" si="3"/>
        <v>319.99999999999966</v>
      </c>
      <c r="H43" s="135">
        <v>1</v>
      </c>
      <c r="I43" s="54">
        <f t="shared" si="4"/>
        <v>319.99999999999966</v>
      </c>
      <c r="J43" s="136">
        <f t="shared" si="5"/>
        <v>792.70333333333269</v>
      </c>
      <c r="N43" s="56"/>
    </row>
    <row r="44" spans="1:14" s="23" customFormat="1" ht="24" customHeight="1" x14ac:dyDescent="0.3">
      <c r="A44" s="57"/>
      <c r="B44" s="130" t="s">
        <v>92</v>
      </c>
      <c r="C44" s="131">
        <v>36</v>
      </c>
      <c r="D44" s="54">
        <v>515.20666666666705</v>
      </c>
      <c r="E44" s="132">
        <f>PARÂMETROS!$H$3</f>
        <v>40</v>
      </c>
      <c r="F44" s="137">
        <v>0.33333333333333298</v>
      </c>
      <c r="G44" s="132">
        <f t="shared" si="3"/>
        <v>319.99999999999966</v>
      </c>
      <c r="H44" s="135">
        <v>1</v>
      </c>
      <c r="I44" s="54">
        <f t="shared" si="4"/>
        <v>319.99999999999966</v>
      </c>
      <c r="J44" s="136">
        <f t="shared" si="5"/>
        <v>835.20666666666671</v>
      </c>
      <c r="N44" s="56"/>
    </row>
    <row r="45" spans="1:14" s="23" customFormat="1" ht="24" customHeight="1" x14ac:dyDescent="0.3">
      <c r="A45" s="57"/>
      <c r="B45" s="130" t="s">
        <v>92</v>
      </c>
      <c r="C45" s="131">
        <v>38</v>
      </c>
      <c r="D45" s="54">
        <v>798.82333333333304</v>
      </c>
      <c r="E45" s="132">
        <f>PARÂMETROS!$H$3</f>
        <v>40</v>
      </c>
      <c r="F45" s="137">
        <v>0.41666666666666702</v>
      </c>
      <c r="G45" s="132">
        <f t="shared" si="3"/>
        <v>400.00000000000034</v>
      </c>
      <c r="H45" s="135">
        <v>1</v>
      </c>
      <c r="I45" s="54">
        <f t="shared" si="4"/>
        <v>400.00000000000034</v>
      </c>
      <c r="J45" s="136">
        <f t="shared" si="5"/>
        <v>1198.8233333333333</v>
      </c>
      <c r="N45" s="56"/>
    </row>
    <row r="46" spans="1:14" s="23" customFormat="1" ht="24" customHeight="1" x14ac:dyDescent="0.3">
      <c r="A46" s="57"/>
      <c r="B46" s="130" t="s">
        <v>92</v>
      </c>
      <c r="C46" s="131">
        <v>40</v>
      </c>
      <c r="D46" s="54">
        <v>855.07666666666705</v>
      </c>
      <c r="E46" s="132">
        <f>PARÂMETROS!$H$3</f>
        <v>40</v>
      </c>
      <c r="F46" s="137">
        <v>0.41666666666666702</v>
      </c>
      <c r="G46" s="132">
        <f t="shared" si="3"/>
        <v>400.00000000000034</v>
      </c>
      <c r="H46" s="135">
        <v>1</v>
      </c>
      <c r="I46" s="54">
        <f t="shared" si="4"/>
        <v>400.00000000000034</v>
      </c>
      <c r="J46" s="136">
        <f t="shared" si="5"/>
        <v>1255.0766666666673</v>
      </c>
      <c r="N46" s="56"/>
    </row>
    <row r="47" spans="1:14" s="23" customFormat="1" ht="24" customHeight="1" x14ac:dyDescent="0.3">
      <c r="A47" s="57"/>
      <c r="B47" s="130" t="s">
        <v>92</v>
      </c>
      <c r="C47" s="131">
        <v>42</v>
      </c>
      <c r="D47" s="54">
        <v>908.03</v>
      </c>
      <c r="E47" s="132">
        <f>PARÂMETROS!$H$3</f>
        <v>40</v>
      </c>
      <c r="F47" s="137">
        <v>0.41666666666666702</v>
      </c>
      <c r="G47" s="132">
        <f t="shared" si="3"/>
        <v>400.00000000000034</v>
      </c>
      <c r="H47" s="135">
        <v>1</v>
      </c>
      <c r="I47" s="54">
        <f t="shared" si="4"/>
        <v>400.00000000000034</v>
      </c>
      <c r="J47" s="136">
        <f t="shared" si="5"/>
        <v>1308.0300000000002</v>
      </c>
      <c r="N47" s="56"/>
    </row>
    <row r="48" spans="1:14" s="23" customFormat="1" ht="24" customHeight="1" x14ac:dyDescent="0.3">
      <c r="A48" s="57" t="s">
        <v>1096</v>
      </c>
      <c r="B48" s="130" t="s">
        <v>115</v>
      </c>
      <c r="C48" s="131">
        <v>2</v>
      </c>
      <c r="D48" s="54">
        <v>240</v>
      </c>
      <c r="E48" s="132">
        <f>PARÂMETROS!$H$3</f>
        <v>40</v>
      </c>
      <c r="F48" s="137">
        <v>0.16666666666666699</v>
      </c>
      <c r="G48" s="132">
        <f t="shared" si="3"/>
        <v>160.00000000000031</v>
      </c>
      <c r="H48" s="135">
        <v>1</v>
      </c>
      <c r="I48" s="54">
        <f t="shared" si="4"/>
        <v>160.00000000000031</v>
      </c>
      <c r="J48" s="136">
        <f t="shared" si="5"/>
        <v>400.00000000000034</v>
      </c>
      <c r="N48" s="56"/>
    </row>
    <row r="49" spans="1:14" s="23" customFormat="1" ht="24" customHeight="1" x14ac:dyDescent="0.3">
      <c r="A49" s="57" t="s">
        <v>1096</v>
      </c>
      <c r="B49" s="130" t="s">
        <v>115</v>
      </c>
      <c r="C49" s="131">
        <v>3</v>
      </c>
      <c r="D49" s="54">
        <v>240</v>
      </c>
      <c r="E49" s="132">
        <f>PARÂMETROS!$H$3</f>
        <v>40</v>
      </c>
      <c r="F49" s="137">
        <v>0.16666666666666699</v>
      </c>
      <c r="G49" s="132">
        <f t="shared" si="3"/>
        <v>160.00000000000031</v>
      </c>
      <c r="H49" s="135">
        <v>1</v>
      </c>
      <c r="I49" s="54">
        <f t="shared" si="4"/>
        <v>160.00000000000031</v>
      </c>
      <c r="J49" s="136">
        <f t="shared" si="5"/>
        <v>400.00000000000034</v>
      </c>
      <c r="N49" s="56"/>
    </row>
    <row r="50" spans="1:14" s="23" customFormat="1" ht="24" customHeight="1" x14ac:dyDescent="0.3">
      <c r="A50" s="57" t="s">
        <v>1096</v>
      </c>
      <c r="B50" s="130" t="s">
        <v>115</v>
      </c>
      <c r="C50" s="131">
        <v>4</v>
      </c>
      <c r="D50" s="54">
        <v>280</v>
      </c>
      <c r="E50" s="132">
        <f>PARÂMETROS!$H$3</f>
        <v>40</v>
      </c>
      <c r="F50" s="137">
        <v>0.16666666666666699</v>
      </c>
      <c r="G50" s="132">
        <f t="shared" si="3"/>
        <v>160.00000000000031</v>
      </c>
      <c r="H50" s="135">
        <v>1</v>
      </c>
      <c r="I50" s="54">
        <f t="shared" si="4"/>
        <v>160.00000000000031</v>
      </c>
      <c r="J50" s="136">
        <f t="shared" si="5"/>
        <v>440.00000000000034</v>
      </c>
      <c r="N50" s="56"/>
    </row>
    <row r="51" spans="1:14" s="23" customFormat="1" ht="24" customHeight="1" x14ac:dyDescent="0.3">
      <c r="A51" s="57" t="s">
        <v>1096</v>
      </c>
      <c r="B51" s="130" t="s">
        <v>115</v>
      </c>
      <c r="C51" s="131">
        <v>6</v>
      </c>
      <c r="D51" s="54">
        <v>320</v>
      </c>
      <c r="E51" s="132">
        <f>PARÂMETROS!$H$3</f>
        <v>40</v>
      </c>
      <c r="F51" s="137">
        <v>0.16666666666666699</v>
      </c>
      <c r="G51" s="132">
        <f t="shared" si="3"/>
        <v>160.00000000000031</v>
      </c>
      <c r="H51" s="135">
        <v>1</v>
      </c>
      <c r="I51" s="54">
        <f t="shared" si="4"/>
        <v>160.00000000000031</v>
      </c>
      <c r="J51" s="136">
        <f t="shared" si="5"/>
        <v>480.00000000000034</v>
      </c>
      <c r="N51" s="56"/>
    </row>
    <row r="52" spans="1:14" s="23" customFormat="1" ht="24" customHeight="1" x14ac:dyDescent="0.3">
      <c r="A52" s="57"/>
      <c r="B52" s="130" t="s">
        <v>115</v>
      </c>
      <c r="C52" s="131">
        <v>8</v>
      </c>
      <c r="D52" s="54">
        <v>262</v>
      </c>
      <c r="E52" s="132">
        <f>PARÂMETROS!$H$3</f>
        <v>40</v>
      </c>
      <c r="F52" s="137">
        <v>0.16666666666666699</v>
      </c>
      <c r="G52" s="132">
        <f t="shared" si="3"/>
        <v>160.00000000000031</v>
      </c>
      <c r="H52" s="135">
        <v>1</v>
      </c>
      <c r="I52" s="54">
        <f t="shared" si="4"/>
        <v>160.00000000000031</v>
      </c>
      <c r="J52" s="136">
        <f t="shared" si="5"/>
        <v>422.00000000000034</v>
      </c>
      <c r="N52" s="56"/>
    </row>
    <row r="53" spans="1:14" s="23" customFormat="1" ht="24" customHeight="1" x14ac:dyDescent="0.3">
      <c r="A53" s="57"/>
      <c r="B53" s="130" t="s">
        <v>115</v>
      </c>
      <c r="C53" s="131">
        <v>10</v>
      </c>
      <c r="D53" s="54">
        <v>262</v>
      </c>
      <c r="E53" s="132">
        <f>PARÂMETROS!$H$3</f>
        <v>40</v>
      </c>
      <c r="F53" s="137">
        <v>0.16666666666666699</v>
      </c>
      <c r="G53" s="132">
        <f t="shared" si="3"/>
        <v>160.00000000000031</v>
      </c>
      <c r="H53" s="135">
        <v>1</v>
      </c>
      <c r="I53" s="54">
        <f t="shared" si="4"/>
        <v>160.00000000000031</v>
      </c>
      <c r="J53" s="136">
        <f t="shared" si="5"/>
        <v>422.00000000000034</v>
      </c>
      <c r="N53" s="56"/>
    </row>
    <row r="54" spans="1:14" s="23" customFormat="1" ht="24" customHeight="1" x14ac:dyDescent="0.3">
      <c r="A54" s="57"/>
      <c r="B54" s="130" t="s">
        <v>115</v>
      </c>
      <c r="C54" s="131">
        <v>12</v>
      </c>
      <c r="D54" s="54">
        <v>270</v>
      </c>
      <c r="E54" s="132">
        <f>PARÂMETROS!$H$3</f>
        <v>40</v>
      </c>
      <c r="F54" s="137">
        <v>0.16666666666666699</v>
      </c>
      <c r="G54" s="132">
        <f t="shared" si="3"/>
        <v>160.00000000000031</v>
      </c>
      <c r="H54" s="135">
        <v>1</v>
      </c>
      <c r="I54" s="54">
        <f t="shared" si="4"/>
        <v>160.00000000000031</v>
      </c>
      <c r="J54" s="136">
        <f t="shared" si="5"/>
        <v>430.00000000000034</v>
      </c>
      <c r="N54" s="56"/>
    </row>
    <row r="55" spans="1:14" s="23" customFormat="1" ht="24" customHeight="1" x14ac:dyDescent="0.3">
      <c r="A55" s="57"/>
      <c r="B55" s="130" t="s">
        <v>115</v>
      </c>
      <c r="C55" s="131">
        <v>14</v>
      </c>
      <c r="D55" s="54">
        <v>270</v>
      </c>
      <c r="E55" s="132">
        <f>PARÂMETROS!$H$3</f>
        <v>40</v>
      </c>
      <c r="F55" s="137">
        <v>0.16666666666666699</v>
      </c>
      <c r="G55" s="132">
        <f t="shared" si="3"/>
        <v>160.00000000000031</v>
      </c>
      <c r="H55" s="135">
        <v>1</v>
      </c>
      <c r="I55" s="54">
        <f t="shared" si="4"/>
        <v>160.00000000000031</v>
      </c>
      <c r="J55" s="136">
        <f t="shared" si="5"/>
        <v>430.00000000000034</v>
      </c>
      <c r="N55" s="56"/>
    </row>
    <row r="56" spans="1:14" s="23" customFormat="1" ht="24" customHeight="1" x14ac:dyDescent="0.3">
      <c r="A56" s="57"/>
      <c r="B56" s="130" t="s">
        <v>115</v>
      </c>
      <c r="C56" s="131">
        <v>16</v>
      </c>
      <c r="D56" s="54">
        <v>350</v>
      </c>
      <c r="E56" s="132">
        <f>PARÂMETROS!$H$3</f>
        <v>40</v>
      </c>
      <c r="F56" s="137">
        <v>0.16666666666666699</v>
      </c>
      <c r="G56" s="132">
        <f t="shared" si="3"/>
        <v>160.00000000000031</v>
      </c>
      <c r="H56" s="135">
        <v>1</v>
      </c>
      <c r="I56" s="54">
        <f t="shared" si="4"/>
        <v>160.00000000000031</v>
      </c>
      <c r="J56" s="136">
        <f t="shared" si="5"/>
        <v>510.00000000000034</v>
      </c>
      <c r="N56" s="56"/>
    </row>
    <row r="57" spans="1:14" s="23" customFormat="1" ht="24" customHeight="1" x14ac:dyDescent="0.3">
      <c r="A57" s="57"/>
      <c r="B57" s="130" t="s">
        <v>115</v>
      </c>
      <c r="C57" s="131">
        <v>18</v>
      </c>
      <c r="D57" s="54">
        <v>520</v>
      </c>
      <c r="E57" s="132">
        <f>PARÂMETROS!$H$3</f>
        <v>40</v>
      </c>
      <c r="F57" s="137">
        <v>0.16666666666666699</v>
      </c>
      <c r="G57" s="132">
        <f t="shared" si="3"/>
        <v>160.00000000000031</v>
      </c>
      <c r="H57" s="135">
        <v>1</v>
      </c>
      <c r="I57" s="54">
        <f t="shared" si="4"/>
        <v>160.00000000000031</v>
      </c>
      <c r="J57" s="136">
        <f t="shared" si="5"/>
        <v>680.00000000000034</v>
      </c>
      <c r="N57" s="56"/>
    </row>
    <row r="58" spans="1:14" s="23" customFormat="1" ht="24" customHeight="1" x14ac:dyDescent="0.3">
      <c r="A58" s="57"/>
      <c r="B58" s="130" t="s">
        <v>115</v>
      </c>
      <c r="C58" s="131">
        <v>20</v>
      </c>
      <c r="D58" s="54">
        <v>750</v>
      </c>
      <c r="E58" s="132">
        <f>PARÂMETROS!$H$3</f>
        <v>40</v>
      </c>
      <c r="F58" s="137">
        <v>0.16666666666666699</v>
      </c>
      <c r="G58" s="132">
        <f t="shared" si="3"/>
        <v>160.00000000000031</v>
      </c>
      <c r="H58" s="135">
        <v>1</v>
      </c>
      <c r="I58" s="54">
        <f t="shared" si="4"/>
        <v>160.00000000000031</v>
      </c>
      <c r="J58" s="136">
        <f t="shared" si="5"/>
        <v>910.00000000000034</v>
      </c>
      <c r="N58" s="56"/>
    </row>
    <row r="59" spans="1:14" s="23" customFormat="1" ht="24" customHeight="1" x14ac:dyDescent="0.3">
      <c r="A59" s="57"/>
      <c r="B59" s="130" t="s">
        <v>115</v>
      </c>
      <c r="C59" s="131">
        <v>22</v>
      </c>
      <c r="D59" s="54">
        <v>1100</v>
      </c>
      <c r="E59" s="132">
        <f>PARÂMETROS!$H$3</f>
        <v>40</v>
      </c>
      <c r="F59" s="137">
        <v>0.16666666666666699</v>
      </c>
      <c r="G59" s="132">
        <f t="shared" si="3"/>
        <v>160.00000000000031</v>
      </c>
      <c r="H59" s="135">
        <v>1</v>
      </c>
      <c r="I59" s="54">
        <f t="shared" si="4"/>
        <v>160.00000000000031</v>
      </c>
      <c r="J59" s="136">
        <f t="shared" si="5"/>
        <v>1260.0000000000002</v>
      </c>
      <c r="N59" s="56"/>
    </row>
    <row r="60" spans="1:14" s="23" customFormat="1" ht="24" customHeight="1" x14ac:dyDescent="0.3">
      <c r="A60" s="57"/>
      <c r="B60" s="130" t="s">
        <v>115</v>
      </c>
      <c r="C60" s="131">
        <v>24</v>
      </c>
      <c r="D60" s="54">
        <v>1400</v>
      </c>
      <c r="E60" s="132">
        <f>PARÂMETROS!$H$3</f>
        <v>40</v>
      </c>
      <c r="F60" s="137">
        <v>0.16666666666666699</v>
      </c>
      <c r="G60" s="132">
        <f t="shared" si="3"/>
        <v>160.00000000000031</v>
      </c>
      <c r="H60" s="135">
        <v>1</v>
      </c>
      <c r="I60" s="54">
        <f t="shared" si="4"/>
        <v>160.00000000000031</v>
      </c>
      <c r="J60" s="136">
        <f t="shared" si="5"/>
        <v>1560.0000000000002</v>
      </c>
      <c r="N60" s="56"/>
    </row>
    <row r="61" spans="1:14" s="23" customFormat="1" ht="24" customHeight="1" x14ac:dyDescent="0.3">
      <c r="A61" s="57"/>
      <c r="B61" s="130" t="s">
        <v>115</v>
      </c>
      <c r="C61" s="131">
        <v>26</v>
      </c>
      <c r="D61" s="54">
        <v>1653.5</v>
      </c>
      <c r="E61" s="132">
        <f>PARÂMETROS!$H$3</f>
        <v>40</v>
      </c>
      <c r="F61" s="137">
        <v>0.16666666666666699</v>
      </c>
      <c r="G61" s="132">
        <f t="shared" si="3"/>
        <v>160.00000000000031</v>
      </c>
      <c r="H61" s="135">
        <v>1</v>
      </c>
      <c r="I61" s="54">
        <f t="shared" si="4"/>
        <v>160.00000000000031</v>
      </c>
      <c r="J61" s="136">
        <f t="shared" si="5"/>
        <v>1813.5000000000002</v>
      </c>
      <c r="N61" s="56"/>
    </row>
    <row r="62" spans="1:14" s="23" customFormat="1" ht="24" customHeight="1" x14ac:dyDescent="0.3">
      <c r="A62" s="57"/>
      <c r="B62" s="130" t="s">
        <v>115</v>
      </c>
      <c r="C62" s="131">
        <v>28</v>
      </c>
      <c r="D62" s="54">
        <v>1900</v>
      </c>
      <c r="E62" s="132">
        <f>PARÂMETROS!$H$3</f>
        <v>40</v>
      </c>
      <c r="F62" s="137">
        <v>0.16666666666666699</v>
      </c>
      <c r="G62" s="132">
        <f t="shared" si="3"/>
        <v>160.00000000000031</v>
      </c>
      <c r="H62" s="135">
        <v>1</v>
      </c>
      <c r="I62" s="54">
        <f t="shared" si="4"/>
        <v>160.00000000000031</v>
      </c>
      <c r="J62" s="136">
        <f t="shared" si="5"/>
        <v>2060.0000000000005</v>
      </c>
      <c r="N62" s="56"/>
    </row>
    <row r="63" spans="1:14" s="23" customFormat="1" ht="24" customHeight="1" x14ac:dyDescent="0.3">
      <c r="A63" s="57"/>
      <c r="B63" s="130" t="s">
        <v>115</v>
      </c>
      <c r="C63" s="131">
        <v>30</v>
      </c>
      <c r="D63" s="54">
        <v>2120</v>
      </c>
      <c r="E63" s="132">
        <f>PARÂMETROS!$H$3</f>
        <v>40</v>
      </c>
      <c r="F63" s="137">
        <v>0.25</v>
      </c>
      <c r="G63" s="132">
        <f t="shared" si="3"/>
        <v>240</v>
      </c>
      <c r="H63" s="135">
        <v>1</v>
      </c>
      <c r="I63" s="54">
        <f t="shared" si="4"/>
        <v>240</v>
      </c>
      <c r="J63" s="136">
        <f t="shared" si="5"/>
        <v>2360</v>
      </c>
      <c r="N63" s="56"/>
    </row>
    <row r="64" spans="1:14" s="23" customFormat="1" ht="24" customHeight="1" x14ac:dyDescent="0.3">
      <c r="A64" s="57"/>
      <c r="B64" s="130" t="s">
        <v>115</v>
      </c>
      <c r="C64" s="131">
        <v>32</v>
      </c>
      <c r="D64" s="54">
        <v>2281.25</v>
      </c>
      <c r="E64" s="132">
        <f>PARÂMETROS!$H$3</f>
        <v>40</v>
      </c>
      <c r="F64" s="137">
        <v>0.25</v>
      </c>
      <c r="G64" s="132">
        <f t="shared" si="3"/>
        <v>240</v>
      </c>
      <c r="H64" s="135">
        <v>1</v>
      </c>
      <c r="I64" s="54">
        <f t="shared" si="4"/>
        <v>240</v>
      </c>
      <c r="J64" s="136">
        <f t="shared" si="5"/>
        <v>2521.25</v>
      </c>
      <c r="N64" s="56"/>
    </row>
    <row r="65" spans="1:14" s="23" customFormat="1" ht="24" customHeight="1" x14ac:dyDescent="0.3">
      <c r="A65" s="57"/>
      <c r="B65" s="130" t="s">
        <v>115</v>
      </c>
      <c r="C65" s="131">
        <v>34</v>
      </c>
      <c r="D65" s="54">
        <v>2378.96</v>
      </c>
      <c r="E65" s="132">
        <f>PARÂMETROS!$H$3</f>
        <v>40</v>
      </c>
      <c r="F65" s="137">
        <v>0.25</v>
      </c>
      <c r="G65" s="132">
        <f t="shared" si="3"/>
        <v>240</v>
      </c>
      <c r="H65" s="135">
        <v>1</v>
      </c>
      <c r="I65" s="54">
        <f t="shared" si="4"/>
        <v>240</v>
      </c>
      <c r="J65" s="136">
        <f t="shared" si="5"/>
        <v>2618.96</v>
      </c>
      <c r="N65" s="56"/>
    </row>
    <row r="66" spans="1:14" s="23" customFormat="1" ht="24" customHeight="1" x14ac:dyDescent="0.3">
      <c r="A66" s="57"/>
      <c r="B66" s="130" t="s">
        <v>115</v>
      </c>
      <c r="C66" s="131">
        <v>36</v>
      </c>
      <c r="D66" s="54">
        <v>2430.25</v>
      </c>
      <c r="E66" s="132">
        <f>PARÂMETROS!$H$3</f>
        <v>40</v>
      </c>
      <c r="F66" s="137">
        <v>0.25</v>
      </c>
      <c r="G66" s="132">
        <f t="shared" si="3"/>
        <v>240</v>
      </c>
      <c r="H66" s="135">
        <v>1</v>
      </c>
      <c r="I66" s="54">
        <f t="shared" si="4"/>
        <v>240</v>
      </c>
      <c r="J66" s="136">
        <f t="shared" si="5"/>
        <v>2670.25</v>
      </c>
      <c r="N66" s="56"/>
    </row>
    <row r="67" spans="1:14" s="23" customFormat="1" ht="24" customHeight="1" x14ac:dyDescent="0.3">
      <c r="A67" s="57"/>
      <c r="B67" s="130" t="s">
        <v>115</v>
      </c>
      <c r="C67" s="131">
        <v>38</v>
      </c>
      <c r="D67" s="54">
        <v>2500</v>
      </c>
      <c r="E67" s="132">
        <f>PARÂMETROS!$H$3</f>
        <v>40</v>
      </c>
      <c r="F67" s="137">
        <v>0.25</v>
      </c>
      <c r="G67" s="132">
        <f t="shared" si="3"/>
        <v>240</v>
      </c>
      <c r="H67" s="135">
        <v>1</v>
      </c>
      <c r="I67" s="54">
        <f t="shared" si="4"/>
        <v>240</v>
      </c>
      <c r="J67" s="136">
        <f t="shared" si="5"/>
        <v>2740</v>
      </c>
      <c r="N67" s="56"/>
    </row>
    <row r="68" spans="1:14" s="23" customFormat="1" ht="24" customHeight="1" x14ac:dyDescent="0.3">
      <c r="A68" s="57"/>
      <c r="B68" s="130" t="s">
        <v>115</v>
      </c>
      <c r="C68" s="131">
        <v>40</v>
      </c>
      <c r="D68" s="54">
        <v>2798.67</v>
      </c>
      <c r="E68" s="132">
        <f>PARÂMETROS!$H$3</f>
        <v>40</v>
      </c>
      <c r="F68" s="137">
        <v>0.25</v>
      </c>
      <c r="G68" s="132">
        <f t="shared" ref="G68:G91" si="6">(F68*E68)*24</f>
        <v>240</v>
      </c>
      <c r="H68" s="135">
        <v>1</v>
      </c>
      <c r="I68" s="54">
        <f t="shared" ref="I68:I91" si="7">G68/H68</f>
        <v>240</v>
      </c>
      <c r="J68" s="136">
        <f t="shared" ref="J68:J91" si="8">I68+D68</f>
        <v>3038.67</v>
      </c>
      <c r="N68" s="56"/>
    </row>
    <row r="69" spans="1:14" s="23" customFormat="1" ht="24" customHeight="1" x14ac:dyDescent="0.3">
      <c r="A69" s="57"/>
      <c r="B69" s="130" t="s">
        <v>115</v>
      </c>
      <c r="C69" s="131">
        <v>42</v>
      </c>
      <c r="D69" s="54">
        <v>2925</v>
      </c>
      <c r="E69" s="132">
        <f>PARÂMETROS!$H$3</f>
        <v>40</v>
      </c>
      <c r="F69" s="137">
        <v>0.25</v>
      </c>
      <c r="G69" s="132">
        <f t="shared" si="6"/>
        <v>240</v>
      </c>
      <c r="H69" s="135">
        <v>1</v>
      </c>
      <c r="I69" s="54">
        <f t="shared" si="7"/>
        <v>240</v>
      </c>
      <c r="J69" s="136">
        <f t="shared" si="8"/>
        <v>3165</v>
      </c>
      <c r="N69" s="56"/>
    </row>
    <row r="70" spans="1:14" s="23" customFormat="1" ht="24" customHeight="1" x14ac:dyDescent="0.3">
      <c r="A70" s="57"/>
      <c r="B70" s="130" t="s">
        <v>138</v>
      </c>
      <c r="C70" s="131">
        <v>2</v>
      </c>
      <c r="D70" s="54">
        <v>104.5</v>
      </c>
      <c r="E70" s="132">
        <f>PARÂMETROS!$H$3</f>
        <v>40</v>
      </c>
      <c r="F70" s="137">
        <v>0</v>
      </c>
      <c r="G70" s="132">
        <f t="shared" si="6"/>
        <v>0</v>
      </c>
      <c r="H70" s="135">
        <v>1</v>
      </c>
      <c r="I70" s="54">
        <f t="shared" si="7"/>
        <v>0</v>
      </c>
      <c r="J70" s="136">
        <f t="shared" si="8"/>
        <v>104.5</v>
      </c>
      <c r="N70" s="56"/>
    </row>
    <row r="71" spans="1:14" s="23" customFormat="1" ht="24" customHeight="1" x14ac:dyDescent="0.3">
      <c r="A71" s="57"/>
      <c r="B71" s="130" t="s">
        <v>138</v>
      </c>
      <c r="C71" s="131">
        <v>3</v>
      </c>
      <c r="D71" s="54">
        <v>116.78</v>
      </c>
      <c r="E71" s="132">
        <f>PARÂMETROS!$H$3</f>
        <v>40</v>
      </c>
      <c r="F71" s="137">
        <v>0</v>
      </c>
      <c r="G71" s="132">
        <f t="shared" si="6"/>
        <v>0</v>
      </c>
      <c r="H71" s="135">
        <v>1</v>
      </c>
      <c r="I71" s="54">
        <f t="shared" si="7"/>
        <v>0</v>
      </c>
      <c r="J71" s="136">
        <f t="shared" si="8"/>
        <v>116.78</v>
      </c>
      <c r="N71" s="56"/>
    </row>
    <row r="72" spans="1:14" s="23" customFormat="1" ht="24" customHeight="1" x14ac:dyDescent="0.3">
      <c r="A72" s="57"/>
      <c r="B72" s="130" t="s">
        <v>138</v>
      </c>
      <c r="C72" s="131">
        <v>4</v>
      </c>
      <c r="D72" s="54">
        <v>130</v>
      </c>
      <c r="E72" s="132">
        <f>PARÂMETROS!$H$3</f>
        <v>40</v>
      </c>
      <c r="F72" s="137">
        <v>0</v>
      </c>
      <c r="G72" s="132">
        <f t="shared" si="6"/>
        <v>0</v>
      </c>
      <c r="H72" s="135">
        <v>1</v>
      </c>
      <c r="I72" s="54">
        <f t="shared" si="7"/>
        <v>0</v>
      </c>
      <c r="J72" s="136">
        <f t="shared" si="8"/>
        <v>130</v>
      </c>
      <c r="N72" s="56"/>
    </row>
    <row r="73" spans="1:14" s="23" customFormat="1" ht="24" customHeight="1" x14ac:dyDescent="0.3">
      <c r="A73" s="57"/>
      <c r="B73" s="130" t="s">
        <v>138</v>
      </c>
      <c r="C73" s="131">
        <v>6</v>
      </c>
      <c r="D73" s="54">
        <v>191.06</v>
      </c>
      <c r="E73" s="132">
        <f>PARÂMETROS!$H$3</f>
        <v>40</v>
      </c>
      <c r="F73" s="137">
        <v>0</v>
      </c>
      <c r="G73" s="132">
        <f t="shared" si="6"/>
        <v>0</v>
      </c>
      <c r="H73" s="135">
        <v>1</v>
      </c>
      <c r="I73" s="54">
        <f t="shared" si="7"/>
        <v>0</v>
      </c>
      <c r="J73" s="136">
        <f t="shared" si="8"/>
        <v>191.06</v>
      </c>
      <c r="N73" s="56"/>
    </row>
    <row r="74" spans="1:14" s="23" customFormat="1" ht="24" customHeight="1" x14ac:dyDescent="0.3">
      <c r="A74" s="57"/>
      <c r="B74" s="130" t="s">
        <v>138</v>
      </c>
      <c r="C74" s="131">
        <v>8</v>
      </c>
      <c r="D74" s="54">
        <v>248.46</v>
      </c>
      <c r="E74" s="132">
        <f>PARÂMETROS!$H$3</f>
        <v>40</v>
      </c>
      <c r="F74" s="137">
        <v>0</v>
      </c>
      <c r="G74" s="132">
        <f t="shared" si="6"/>
        <v>0</v>
      </c>
      <c r="H74" s="135">
        <v>1</v>
      </c>
      <c r="I74" s="54">
        <f t="shared" si="7"/>
        <v>0</v>
      </c>
      <c r="J74" s="136">
        <f t="shared" si="8"/>
        <v>248.46</v>
      </c>
      <c r="N74" s="56"/>
    </row>
    <row r="75" spans="1:14" s="23" customFormat="1" ht="24" customHeight="1" x14ac:dyDescent="0.3">
      <c r="A75" s="57"/>
      <c r="B75" s="130" t="s">
        <v>138</v>
      </c>
      <c r="C75" s="131">
        <v>10</v>
      </c>
      <c r="D75" s="54">
        <v>280.93</v>
      </c>
      <c r="E75" s="132">
        <f>PARÂMETROS!$H$3</f>
        <v>40</v>
      </c>
      <c r="F75" s="137">
        <v>0</v>
      </c>
      <c r="G75" s="132">
        <f t="shared" si="6"/>
        <v>0</v>
      </c>
      <c r="H75" s="135">
        <v>1</v>
      </c>
      <c r="I75" s="54">
        <f t="shared" si="7"/>
        <v>0</v>
      </c>
      <c r="J75" s="136">
        <f t="shared" si="8"/>
        <v>280.93</v>
      </c>
      <c r="N75" s="56"/>
    </row>
    <row r="76" spans="1:14" s="23" customFormat="1" ht="24" customHeight="1" x14ac:dyDescent="0.3">
      <c r="A76" s="57"/>
      <c r="B76" s="130" t="s">
        <v>138</v>
      </c>
      <c r="C76" s="131">
        <v>12</v>
      </c>
      <c r="D76" s="54">
        <v>320</v>
      </c>
      <c r="E76" s="132">
        <f>PARÂMETROS!$H$3</f>
        <v>40</v>
      </c>
      <c r="F76" s="137">
        <v>0</v>
      </c>
      <c r="G76" s="132">
        <f t="shared" si="6"/>
        <v>0</v>
      </c>
      <c r="H76" s="135">
        <v>1</v>
      </c>
      <c r="I76" s="54">
        <f t="shared" si="7"/>
        <v>0</v>
      </c>
      <c r="J76" s="136">
        <f t="shared" si="8"/>
        <v>320</v>
      </c>
      <c r="N76" s="56"/>
    </row>
    <row r="77" spans="1:14" s="23" customFormat="1" ht="24" customHeight="1" x14ac:dyDescent="0.3">
      <c r="A77" s="57"/>
      <c r="B77" s="130" t="s">
        <v>138</v>
      </c>
      <c r="C77" s="131">
        <v>14</v>
      </c>
      <c r="D77" s="54">
        <v>380</v>
      </c>
      <c r="E77" s="132">
        <f>PARÂMETROS!$H$3</f>
        <v>40</v>
      </c>
      <c r="F77" s="137">
        <v>0</v>
      </c>
      <c r="G77" s="132">
        <f t="shared" si="6"/>
        <v>0</v>
      </c>
      <c r="H77" s="135">
        <v>1</v>
      </c>
      <c r="I77" s="54">
        <f t="shared" si="7"/>
        <v>0</v>
      </c>
      <c r="J77" s="136">
        <f t="shared" si="8"/>
        <v>380</v>
      </c>
      <c r="N77" s="56"/>
    </row>
    <row r="78" spans="1:14" s="23" customFormat="1" ht="24" customHeight="1" x14ac:dyDescent="0.3">
      <c r="A78" s="57"/>
      <c r="B78" s="130" t="s">
        <v>138</v>
      </c>
      <c r="C78" s="131">
        <v>16</v>
      </c>
      <c r="D78" s="54">
        <v>450</v>
      </c>
      <c r="E78" s="132">
        <f>PARÂMETROS!$H$3</f>
        <v>40</v>
      </c>
      <c r="F78" s="137">
        <v>0</v>
      </c>
      <c r="G78" s="132">
        <f t="shared" si="6"/>
        <v>0</v>
      </c>
      <c r="H78" s="135">
        <v>1</v>
      </c>
      <c r="I78" s="54">
        <f t="shared" si="7"/>
        <v>0</v>
      </c>
      <c r="J78" s="136">
        <f t="shared" si="8"/>
        <v>450</v>
      </c>
      <c r="N78" s="56"/>
    </row>
    <row r="79" spans="1:14" s="23" customFormat="1" ht="24" customHeight="1" x14ac:dyDescent="0.3">
      <c r="A79" s="57"/>
      <c r="B79" s="130" t="s">
        <v>138</v>
      </c>
      <c r="C79" s="131">
        <v>18</v>
      </c>
      <c r="D79" s="54">
        <v>520</v>
      </c>
      <c r="E79" s="132">
        <f>PARÂMETROS!$H$3</f>
        <v>40</v>
      </c>
      <c r="F79" s="137">
        <v>0</v>
      </c>
      <c r="G79" s="132">
        <f t="shared" si="6"/>
        <v>0</v>
      </c>
      <c r="H79" s="135">
        <v>1</v>
      </c>
      <c r="I79" s="54">
        <f t="shared" si="7"/>
        <v>0</v>
      </c>
      <c r="J79" s="136">
        <f t="shared" si="8"/>
        <v>520</v>
      </c>
      <c r="N79" s="56"/>
    </row>
    <row r="80" spans="1:14" s="23" customFormat="1" ht="24" customHeight="1" x14ac:dyDescent="0.3">
      <c r="A80" s="57"/>
      <c r="B80" s="130" t="s">
        <v>138</v>
      </c>
      <c r="C80" s="131">
        <v>20</v>
      </c>
      <c r="D80" s="54">
        <v>750</v>
      </c>
      <c r="E80" s="132">
        <f>PARÂMETROS!$H$3</f>
        <v>40</v>
      </c>
      <c r="F80" s="137">
        <v>0</v>
      </c>
      <c r="G80" s="132">
        <f t="shared" si="6"/>
        <v>0</v>
      </c>
      <c r="H80" s="135">
        <v>1</v>
      </c>
      <c r="I80" s="54">
        <f t="shared" si="7"/>
        <v>0</v>
      </c>
      <c r="J80" s="136">
        <f t="shared" si="8"/>
        <v>750</v>
      </c>
      <c r="N80" s="56"/>
    </row>
    <row r="81" spans="1:14" s="23" customFormat="1" ht="24" customHeight="1" x14ac:dyDescent="0.3">
      <c r="A81" s="57"/>
      <c r="B81" s="130" t="s">
        <v>138</v>
      </c>
      <c r="C81" s="131">
        <v>22</v>
      </c>
      <c r="D81" s="54">
        <v>1300</v>
      </c>
      <c r="E81" s="132">
        <f>PARÂMETROS!$H$3</f>
        <v>40</v>
      </c>
      <c r="F81" s="137">
        <v>0</v>
      </c>
      <c r="G81" s="132">
        <f t="shared" si="6"/>
        <v>0</v>
      </c>
      <c r="H81" s="135">
        <v>1</v>
      </c>
      <c r="I81" s="54">
        <f t="shared" si="7"/>
        <v>0</v>
      </c>
      <c r="J81" s="136">
        <f t="shared" si="8"/>
        <v>1300</v>
      </c>
      <c r="N81" s="56"/>
    </row>
    <row r="82" spans="1:14" s="23" customFormat="1" ht="24" customHeight="1" x14ac:dyDescent="0.3">
      <c r="A82" s="57"/>
      <c r="B82" s="130" t="s">
        <v>138</v>
      </c>
      <c r="C82" s="131">
        <v>24</v>
      </c>
      <c r="D82" s="54">
        <v>1620</v>
      </c>
      <c r="E82" s="132">
        <f>PARÂMETROS!$H$3</f>
        <v>40</v>
      </c>
      <c r="F82" s="137">
        <v>0</v>
      </c>
      <c r="G82" s="132">
        <f t="shared" si="6"/>
        <v>0</v>
      </c>
      <c r="H82" s="135">
        <v>1</v>
      </c>
      <c r="I82" s="54">
        <f t="shared" si="7"/>
        <v>0</v>
      </c>
      <c r="J82" s="136">
        <f t="shared" si="8"/>
        <v>1620</v>
      </c>
      <c r="N82" s="56"/>
    </row>
    <row r="83" spans="1:14" s="23" customFormat="1" ht="24" customHeight="1" x14ac:dyDescent="0.3">
      <c r="A83" s="57"/>
      <c r="B83" s="130" t="s">
        <v>138</v>
      </c>
      <c r="C83" s="131">
        <v>26</v>
      </c>
      <c r="D83" s="54">
        <v>2015.63</v>
      </c>
      <c r="E83" s="132">
        <f>PARÂMETROS!$H$3</f>
        <v>40</v>
      </c>
      <c r="F83" s="137">
        <v>0</v>
      </c>
      <c r="G83" s="132">
        <f t="shared" si="6"/>
        <v>0</v>
      </c>
      <c r="H83" s="135">
        <v>1</v>
      </c>
      <c r="I83" s="54">
        <f t="shared" si="7"/>
        <v>0</v>
      </c>
      <c r="J83" s="136">
        <f t="shared" si="8"/>
        <v>2015.63</v>
      </c>
      <c r="N83" s="56"/>
    </row>
    <row r="84" spans="1:14" s="23" customFormat="1" ht="24" customHeight="1" x14ac:dyDescent="0.3">
      <c r="A84" s="56"/>
      <c r="B84" s="130" t="s">
        <v>138</v>
      </c>
      <c r="C84" s="131">
        <v>28</v>
      </c>
      <c r="D84" s="54">
        <v>2300</v>
      </c>
      <c r="E84" s="132">
        <f>PARÂMETROS!$H$3</f>
        <v>40</v>
      </c>
      <c r="F84" s="137">
        <v>0</v>
      </c>
      <c r="G84" s="132">
        <f t="shared" si="6"/>
        <v>0</v>
      </c>
      <c r="H84" s="135">
        <v>1</v>
      </c>
      <c r="I84" s="54">
        <f t="shared" si="7"/>
        <v>0</v>
      </c>
      <c r="J84" s="136">
        <f t="shared" si="8"/>
        <v>2300</v>
      </c>
    </row>
    <row r="85" spans="1:14" s="23" customFormat="1" ht="24" customHeight="1" x14ac:dyDescent="0.3">
      <c r="A85" s="56"/>
      <c r="B85" s="130" t="s">
        <v>138</v>
      </c>
      <c r="C85" s="131">
        <v>30</v>
      </c>
      <c r="D85" s="54">
        <v>2750.71</v>
      </c>
      <c r="E85" s="132">
        <f>PARÂMETROS!$H$3</f>
        <v>40</v>
      </c>
      <c r="F85" s="137">
        <v>0</v>
      </c>
      <c r="G85" s="132">
        <f t="shared" si="6"/>
        <v>0</v>
      </c>
      <c r="H85" s="135">
        <v>1</v>
      </c>
      <c r="I85" s="54">
        <f t="shared" si="7"/>
        <v>0</v>
      </c>
      <c r="J85" s="136">
        <f t="shared" si="8"/>
        <v>2750.71</v>
      </c>
    </row>
    <row r="86" spans="1:14" s="23" customFormat="1" ht="24" customHeight="1" x14ac:dyDescent="0.3">
      <c r="A86" s="56"/>
      <c r="B86" s="130" t="s">
        <v>138</v>
      </c>
      <c r="C86" s="131">
        <v>32</v>
      </c>
      <c r="D86" s="54">
        <v>3101.93</v>
      </c>
      <c r="E86" s="132">
        <f>PARÂMETROS!$H$3</f>
        <v>40</v>
      </c>
      <c r="F86" s="137">
        <v>0</v>
      </c>
      <c r="G86" s="132">
        <f t="shared" si="6"/>
        <v>0</v>
      </c>
      <c r="H86" s="135">
        <v>1</v>
      </c>
      <c r="I86" s="54">
        <f t="shared" si="7"/>
        <v>0</v>
      </c>
      <c r="J86" s="136">
        <f t="shared" si="8"/>
        <v>3101.93</v>
      </c>
    </row>
    <row r="87" spans="1:14" s="23" customFormat="1" ht="24" customHeight="1" x14ac:dyDescent="0.3">
      <c r="A87" s="56"/>
      <c r="B87" s="130" t="s">
        <v>138</v>
      </c>
      <c r="C87" s="131">
        <v>34</v>
      </c>
      <c r="D87" s="54">
        <v>3546.52</v>
      </c>
      <c r="E87" s="132">
        <f>PARÂMETROS!$H$3</f>
        <v>40</v>
      </c>
      <c r="F87" s="137">
        <v>0</v>
      </c>
      <c r="G87" s="132">
        <f t="shared" si="6"/>
        <v>0</v>
      </c>
      <c r="H87" s="135">
        <v>1</v>
      </c>
      <c r="I87" s="54">
        <f t="shared" si="7"/>
        <v>0</v>
      </c>
      <c r="J87" s="136">
        <f t="shared" si="8"/>
        <v>3546.52</v>
      </c>
    </row>
    <row r="88" spans="1:14" s="23" customFormat="1" ht="24" customHeight="1" x14ac:dyDescent="0.3">
      <c r="A88" s="56"/>
      <c r="B88" s="130" t="s">
        <v>138</v>
      </c>
      <c r="C88" s="131">
        <v>36</v>
      </c>
      <c r="D88" s="54">
        <v>3822.15</v>
      </c>
      <c r="E88" s="132">
        <f>PARÂMETROS!$H$3</f>
        <v>40</v>
      </c>
      <c r="F88" s="137">
        <v>0</v>
      </c>
      <c r="G88" s="132">
        <f t="shared" si="6"/>
        <v>0</v>
      </c>
      <c r="H88" s="135">
        <v>1</v>
      </c>
      <c r="I88" s="54">
        <f t="shared" si="7"/>
        <v>0</v>
      </c>
      <c r="J88" s="136">
        <f t="shared" si="8"/>
        <v>3822.15</v>
      </c>
    </row>
    <row r="89" spans="1:14" s="23" customFormat="1" ht="24" customHeight="1" x14ac:dyDescent="0.3">
      <c r="A89" s="56"/>
      <c r="B89" s="130" t="s">
        <v>138</v>
      </c>
      <c r="C89" s="131">
        <v>38</v>
      </c>
      <c r="D89" s="54">
        <v>4005.36</v>
      </c>
      <c r="E89" s="132">
        <f>PARÂMETROS!$H$3</f>
        <v>40</v>
      </c>
      <c r="F89" s="137">
        <v>0</v>
      </c>
      <c r="G89" s="132">
        <f t="shared" si="6"/>
        <v>0</v>
      </c>
      <c r="H89" s="135">
        <v>1</v>
      </c>
      <c r="I89" s="54">
        <f t="shared" si="7"/>
        <v>0</v>
      </c>
      <c r="J89" s="136">
        <f t="shared" si="8"/>
        <v>4005.36</v>
      </c>
    </row>
    <row r="90" spans="1:14" s="23" customFormat="1" ht="24" customHeight="1" x14ac:dyDescent="0.3">
      <c r="A90" s="56"/>
      <c r="B90" s="130" t="s">
        <v>138</v>
      </c>
      <c r="C90" s="131">
        <v>40</v>
      </c>
      <c r="D90" s="54">
        <v>4852</v>
      </c>
      <c r="E90" s="132">
        <f>PARÂMETROS!$H$3</f>
        <v>40</v>
      </c>
      <c r="F90" s="137">
        <v>0</v>
      </c>
      <c r="G90" s="132">
        <f t="shared" si="6"/>
        <v>0</v>
      </c>
      <c r="H90" s="135">
        <v>1</v>
      </c>
      <c r="I90" s="54">
        <f t="shared" si="7"/>
        <v>0</v>
      </c>
      <c r="J90" s="136">
        <f t="shared" si="8"/>
        <v>4852</v>
      </c>
    </row>
    <row r="91" spans="1:14" s="23" customFormat="1" ht="24" customHeight="1" x14ac:dyDescent="0.3">
      <c r="A91" s="56"/>
      <c r="B91" s="130" t="s">
        <v>138</v>
      </c>
      <c r="C91" s="131">
        <v>42</v>
      </c>
      <c r="D91" s="54">
        <v>5623.45</v>
      </c>
      <c r="E91" s="132">
        <f>PARÂMETROS!$H$3</f>
        <v>40</v>
      </c>
      <c r="F91" s="137">
        <v>0</v>
      </c>
      <c r="G91" s="132">
        <f t="shared" si="6"/>
        <v>0</v>
      </c>
      <c r="H91" s="135">
        <v>1</v>
      </c>
      <c r="I91" s="54">
        <f t="shared" si="7"/>
        <v>0</v>
      </c>
      <c r="J91" s="136">
        <f t="shared" si="8"/>
        <v>5623.45</v>
      </c>
    </row>
    <row r="92" spans="1:14" s="23" customFormat="1" ht="24" customHeight="1" x14ac:dyDescent="0.3">
      <c r="A92" s="56"/>
      <c r="B92" s="56"/>
      <c r="C92" s="44"/>
    </row>
    <row r="93" spans="1:14" s="23" customFormat="1" ht="24" customHeight="1" x14ac:dyDescent="0.3">
      <c r="A93" s="56"/>
      <c r="B93" s="56"/>
      <c r="C93" s="44"/>
    </row>
    <row r="94" spans="1:14" s="23" customFormat="1" ht="24" customHeight="1" x14ac:dyDescent="0.3">
      <c r="A94" s="56"/>
      <c r="B94" s="56"/>
      <c r="C94" s="44"/>
    </row>
    <row r="95" spans="1:14" s="23" customFormat="1" ht="24" customHeight="1" x14ac:dyDescent="0.3">
      <c r="A95" s="56"/>
      <c r="B95" s="56"/>
      <c r="C95" s="44"/>
    </row>
    <row r="96" spans="1:14" s="23" customFormat="1" ht="24" customHeight="1" x14ac:dyDescent="0.3">
      <c r="A96" s="56"/>
      <c r="B96" s="56"/>
      <c r="C96" s="44"/>
      <c r="F96" s="138"/>
    </row>
    <row r="97" spans="1:6" s="23" customFormat="1" ht="24" customHeight="1" x14ac:dyDescent="0.3">
      <c r="A97" s="56"/>
      <c r="B97" s="56"/>
      <c r="C97" s="44"/>
      <c r="F97" s="138"/>
    </row>
    <row r="98" spans="1:6" s="23" customFormat="1" ht="24" customHeight="1" x14ac:dyDescent="0.3">
      <c r="A98" s="56"/>
      <c r="B98" s="56"/>
      <c r="C98" s="44"/>
      <c r="F98" s="138"/>
    </row>
    <row r="99" spans="1:6" s="23" customFormat="1" ht="24" customHeight="1" x14ac:dyDescent="0.3">
      <c r="A99" s="56"/>
      <c r="B99" s="56"/>
      <c r="C99" s="44"/>
      <c r="F99" s="138"/>
    </row>
    <row r="100" spans="1:6" s="23" customFormat="1" ht="24" customHeight="1" x14ac:dyDescent="0.3">
      <c r="A100" s="56"/>
      <c r="B100" s="56"/>
      <c r="C100" s="44"/>
      <c r="F100" s="138"/>
    </row>
    <row r="101" spans="1:6" s="23" customFormat="1" ht="24" customHeight="1" x14ac:dyDescent="0.3">
      <c r="A101" s="56"/>
      <c r="B101" s="56"/>
      <c r="C101" s="44"/>
      <c r="F101" s="138"/>
    </row>
    <row r="102" spans="1:6" s="23" customFormat="1" ht="24" customHeight="1" x14ac:dyDescent="0.3">
      <c r="A102" s="56"/>
      <c r="B102" s="56"/>
      <c r="C102" s="44"/>
      <c r="F102" s="138"/>
    </row>
    <row r="103" spans="1:6" s="23" customFormat="1" ht="24" customHeight="1" x14ac:dyDescent="0.3">
      <c r="A103" s="56"/>
      <c r="B103" s="56"/>
      <c r="C103" s="44"/>
      <c r="F103" s="138"/>
    </row>
    <row r="104" spans="1:6" s="23" customFormat="1" ht="24" customHeight="1" x14ac:dyDescent="0.3">
      <c r="A104" s="56"/>
      <c r="B104" s="56"/>
      <c r="C104" s="44"/>
      <c r="F104" s="138"/>
    </row>
    <row r="105" spans="1:6" s="23" customFormat="1" ht="24" customHeight="1" x14ac:dyDescent="0.3">
      <c r="A105" s="56"/>
      <c r="B105" s="56"/>
      <c r="C105" s="44"/>
      <c r="F105" s="138"/>
    </row>
    <row r="106" spans="1:6" s="23" customFormat="1" ht="24" customHeight="1" x14ac:dyDescent="0.3">
      <c r="A106" s="56"/>
      <c r="B106" s="56"/>
      <c r="C106" s="44"/>
      <c r="F106" s="138"/>
    </row>
    <row r="107" spans="1:6" s="23" customFormat="1" ht="24" customHeight="1" x14ac:dyDescent="0.3">
      <c r="A107" s="56"/>
      <c r="B107" s="56"/>
      <c r="C107" s="44"/>
      <c r="F107" s="138"/>
    </row>
    <row r="108" spans="1:6" s="23" customFormat="1" ht="24" customHeight="1" x14ac:dyDescent="0.3">
      <c r="A108" s="56"/>
      <c r="B108" s="56"/>
      <c r="C108" s="44"/>
      <c r="F108" s="138"/>
    </row>
    <row r="109" spans="1:6" s="23" customFormat="1" ht="24" customHeight="1" x14ac:dyDescent="0.3">
      <c r="A109" s="56"/>
      <c r="B109" s="56"/>
      <c r="C109" s="44"/>
      <c r="F109" s="138"/>
    </row>
    <row r="110" spans="1:6" s="23" customFormat="1" ht="24" customHeight="1" x14ac:dyDescent="0.3">
      <c r="A110" s="56"/>
      <c r="B110" s="56"/>
      <c r="C110" s="44"/>
      <c r="F110" s="138"/>
    </row>
    <row r="111" spans="1:6" s="23" customFormat="1" ht="24" customHeight="1" x14ac:dyDescent="0.3">
      <c r="A111" s="56"/>
      <c r="B111" s="56"/>
      <c r="C111" s="44"/>
      <c r="F111" s="138"/>
    </row>
    <row r="112" spans="1:6" s="23" customFormat="1" ht="24" customHeight="1" x14ac:dyDescent="0.3">
      <c r="A112" s="56"/>
      <c r="B112" s="56"/>
      <c r="C112" s="44"/>
      <c r="F112" s="138"/>
    </row>
    <row r="113" spans="1:6" s="23" customFormat="1" ht="24" customHeight="1" x14ac:dyDescent="0.3">
      <c r="A113" s="56"/>
      <c r="B113" s="56"/>
      <c r="C113" s="44"/>
      <c r="F113" s="138"/>
    </row>
    <row r="114" spans="1:6" s="23" customFormat="1" ht="24" customHeight="1" x14ac:dyDescent="0.3">
      <c r="A114" s="56"/>
      <c r="B114" s="56"/>
      <c r="C114" s="44"/>
      <c r="F114" s="138"/>
    </row>
    <row r="115" spans="1:6" s="23" customFormat="1" ht="24" customHeight="1" x14ac:dyDescent="0.3">
      <c r="A115" s="56"/>
      <c r="B115" s="56"/>
      <c r="C115" s="44"/>
      <c r="F115" s="138"/>
    </row>
    <row r="116" spans="1:6" s="23" customFormat="1" ht="24" customHeight="1" x14ac:dyDescent="0.3">
      <c r="A116" s="56"/>
      <c r="B116" s="56"/>
      <c r="C116" s="44"/>
      <c r="F116" s="138"/>
    </row>
    <row r="117" spans="1:6" s="23" customFormat="1" ht="24" customHeight="1" x14ac:dyDescent="0.3">
      <c r="A117" s="56"/>
      <c r="B117" s="56"/>
      <c r="C117" s="44"/>
      <c r="F117" s="138"/>
    </row>
    <row r="118" spans="1:6" s="23" customFormat="1" ht="24" customHeight="1" x14ac:dyDescent="0.3">
      <c r="A118" s="56"/>
      <c r="B118" s="56"/>
      <c r="C118" s="44"/>
      <c r="F118" s="138"/>
    </row>
    <row r="119" spans="1:6" s="23" customFormat="1" ht="24" customHeight="1" x14ac:dyDescent="0.3">
      <c r="A119" s="56"/>
      <c r="B119" s="56"/>
      <c r="C119" s="44"/>
      <c r="F119" s="138"/>
    </row>
    <row r="120" spans="1:6" s="23" customFormat="1" ht="24" customHeight="1" x14ac:dyDescent="0.3">
      <c r="A120" s="56"/>
      <c r="B120" s="56"/>
      <c r="C120" s="44"/>
      <c r="F120" s="138"/>
    </row>
    <row r="121" spans="1:6" s="23" customFormat="1" ht="24" customHeight="1" x14ac:dyDescent="0.3">
      <c r="A121" s="56"/>
      <c r="B121" s="56"/>
      <c r="C121" s="44"/>
      <c r="F121" s="138"/>
    </row>
    <row r="122" spans="1:6" s="23" customFormat="1" ht="24" customHeight="1" x14ac:dyDescent="0.3">
      <c r="A122" s="56"/>
      <c r="B122" s="56"/>
      <c r="C122" s="44"/>
      <c r="F122" s="138"/>
    </row>
    <row r="123" spans="1:6" s="23" customFormat="1" ht="24" customHeight="1" x14ac:dyDescent="0.3">
      <c r="A123" s="56"/>
      <c r="B123" s="56"/>
      <c r="C123" s="44"/>
      <c r="F123" s="138"/>
    </row>
    <row r="124" spans="1:6" s="23" customFormat="1" ht="24" customHeight="1" x14ac:dyDescent="0.3">
      <c r="A124" s="56"/>
      <c r="B124" s="56"/>
      <c r="C124" s="44"/>
      <c r="F124" s="138"/>
    </row>
    <row r="125" spans="1:6" s="23" customFormat="1" ht="24" customHeight="1" x14ac:dyDescent="0.3">
      <c r="A125" s="56"/>
      <c r="B125" s="56"/>
      <c r="C125" s="44"/>
      <c r="F125" s="138"/>
    </row>
    <row r="126" spans="1:6" s="23" customFormat="1" ht="24" customHeight="1" x14ac:dyDescent="0.3">
      <c r="A126" s="56"/>
      <c r="B126" s="56"/>
      <c r="C126" s="44"/>
      <c r="F126" s="138"/>
    </row>
    <row r="127" spans="1:6" s="23" customFormat="1" ht="24" customHeight="1" x14ac:dyDescent="0.3">
      <c r="A127" s="56"/>
      <c r="B127" s="56"/>
      <c r="C127" s="44"/>
      <c r="F127" s="138"/>
    </row>
    <row r="128" spans="1:6" s="23" customFormat="1" ht="24" customHeight="1" x14ac:dyDescent="0.3">
      <c r="A128" s="56"/>
      <c r="B128" s="56"/>
      <c r="C128" s="44"/>
      <c r="F128" s="138"/>
    </row>
    <row r="129" spans="1:6" s="23" customFormat="1" ht="24" customHeight="1" x14ac:dyDescent="0.3">
      <c r="A129" s="56"/>
      <c r="B129" s="56"/>
      <c r="C129" s="44"/>
      <c r="F129" s="138"/>
    </row>
    <row r="130" spans="1:6" s="23" customFormat="1" ht="24" customHeight="1" x14ac:dyDescent="0.3">
      <c r="A130" s="56"/>
      <c r="B130" s="56"/>
      <c r="C130" s="44"/>
      <c r="F130" s="138"/>
    </row>
    <row r="131" spans="1:6" s="23" customFormat="1" ht="24" customHeight="1" x14ac:dyDescent="0.3">
      <c r="A131" s="56"/>
      <c r="B131" s="56"/>
      <c r="C131" s="44"/>
      <c r="F131" s="138"/>
    </row>
    <row r="132" spans="1:6" s="23" customFormat="1" ht="24" customHeight="1" x14ac:dyDescent="0.3">
      <c r="A132" s="56"/>
      <c r="B132" s="56"/>
      <c r="C132" s="44"/>
      <c r="F132" s="138"/>
    </row>
    <row r="133" spans="1:6" s="23" customFormat="1" ht="24" customHeight="1" x14ac:dyDescent="0.3">
      <c r="A133" s="56"/>
      <c r="B133" s="56"/>
      <c r="C133" s="44"/>
      <c r="F133" s="138"/>
    </row>
    <row r="134" spans="1:6" s="23" customFormat="1" ht="24" customHeight="1" x14ac:dyDescent="0.3">
      <c r="A134" s="56"/>
      <c r="B134" s="56"/>
      <c r="C134" s="44"/>
      <c r="F134" s="138"/>
    </row>
    <row r="135" spans="1:6" s="23" customFormat="1" ht="24" customHeight="1" x14ac:dyDescent="0.3">
      <c r="A135" s="56"/>
      <c r="B135" s="56"/>
      <c r="C135" s="44"/>
      <c r="F135" s="138"/>
    </row>
    <row r="136" spans="1:6" s="23" customFormat="1" ht="24" customHeight="1" x14ac:dyDescent="0.3">
      <c r="A136" s="56"/>
      <c r="B136" s="56"/>
      <c r="C136" s="44"/>
      <c r="F136" s="138"/>
    </row>
    <row r="137" spans="1:6" s="23" customFormat="1" ht="24" customHeight="1" x14ac:dyDescent="0.3">
      <c r="A137" s="56"/>
      <c r="B137" s="56"/>
      <c r="C137" s="44"/>
      <c r="F137" s="138"/>
    </row>
    <row r="138" spans="1:6" s="23" customFormat="1" ht="24" customHeight="1" x14ac:dyDescent="0.3">
      <c r="A138" s="56"/>
      <c r="B138" s="56"/>
      <c r="C138" s="44"/>
      <c r="F138" s="138"/>
    </row>
    <row r="139" spans="1:6" s="23" customFormat="1" ht="24" customHeight="1" x14ac:dyDescent="0.3">
      <c r="A139" s="56"/>
      <c r="B139" s="56"/>
      <c r="C139" s="44"/>
      <c r="F139" s="138"/>
    </row>
    <row r="140" spans="1:6" s="23" customFormat="1" ht="24" customHeight="1" x14ac:dyDescent="0.3">
      <c r="A140" s="56"/>
      <c r="B140" s="56"/>
      <c r="C140" s="44"/>
      <c r="F140" s="138"/>
    </row>
    <row r="141" spans="1:6" s="23" customFormat="1" ht="24" customHeight="1" x14ac:dyDescent="0.3">
      <c r="A141" s="56"/>
      <c r="B141" s="56"/>
      <c r="C141" s="44"/>
      <c r="F141" s="138"/>
    </row>
    <row r="142" spans="1:6" s="23" customFormat="1" ht="24" customHeight="1" x14ac:dyDescent="0.3">
      <c r="A142" s="56"/>
      <c r="B142" s="56"/>
      <c r="C142" s="44"/>
      <c r="F142" s="138"/>
    </row>
    <row r="143" spans="1:6" s="23" customFormat="1" ht="24" customHeight="1" x14ac:dyDescent="0.3">
      <c r="A143" s="56"/>
      <c r="B143" s="56"/>
      <c r="C143" s="44"/>
      <c r="F143" s="138"/>
    </row>
    <row r="144" spans="1:6" s="23" customFormat="1" ht="24" customHeight="1" x14ac:dyDescent="0.3">
      <c r="A144" s="56"/>
      <c r="B144" s="56"/>
      <c r="C144" s="44"/>
      <c r="F144" s="138"/>
    </row>
    <row r="145" spans="1:6" s="23" customFormat="1" ht="24" customHeight="1" x14ac:dyDescent="0.3">
      <c r="A145" s="56"/>
      <c r="B145" s="56"/>
      <c r="C145" s="44"/>
      <c r="F145" s="138"/>
    </row>
    <row r="146" spans="1:6" s="23" customFormat="1" ht="24" customHeight="1" x14ac:dyDescent="0.3">
      <c r="A146" s="56"/>
      <c r="B146" s="56"/>
      <c r="C146" s="44"/>
      <c r="F146" s="138"/>
    </row>
    <row r="147" spans="1:6" s="23" customFormat="1" ht="24" customHeight="1" x14ac:dyDescent="0.3">
      <c r="A147" s="56"/>
      <c r="B147" s="56"/>
      <c r="C147" s="44"/>
      <c r="F147" s="138"/>
    </row>
    <row r="148" spans="1:6" s="23" customFormat="1" ht="24" customHeight="1" x14ac:dyDescent="0.3">
      <c r="A148" s="56"/>
      <c r="B148" s="56"/>
      <c r="C148" s="44"/>
      <c r="F148" s="138"/>
    </row>
    <row r="149" spans="1:6" s="23" customFormat="1" ht="24" customHeight="1" x14ac:dyDescent="0.3">
      <c r="A149" s="56"/>
      <c r="B149" s="56"/>
      <c r="C149" s="44"/>
      <c r="F149" s="138"/>
    </row>
    <row r="150" spans="1:6" s="23" customFormat="1" ht="24" customHeight="1" x14ac:dyDescent="0.3">
      <c r="A150" s="56"/>
      <c r="B150" s="56"/>
      <c r="C150" s="44"/>
      <c r="F150" s="138"/>
    </row>
    <row r="151" spans="1:6" s="23" customFormat="1" ht="24" customHeight="1" x14ac:dyDescent="0.3">
      <c r="A151" s="56"/>
      <c r="B151" s="56"/>
      <c r="C151" s="44"/>
      <c r="F151" s="138"/>
    </row>
    <row r="152" spans="1:6" s="23" customFormat="1" ht="24" customHeight="1" x14ac:dyDescent="0.3">
      <c r="A152" s="56"/>
      <c r="B152" s="56"/>
      <c r="C152" s="44"/>
      <c r="F152" s="138"/>
    </row>
    <row r="153" spans="1:6" s="23" customFormat="1" ht="24" customHeight="1" x14ac:dyDescent="0.3">
      <c r="A153" s="56"/>
      <c r="B153" s="56"/>
      <c r="C153" s="44"/>
      <c r="F153" s="138"/>
    </row>
    <row r="154" spans="1:6" s="23" customFormat="1" ht="24" customHeight="1" x14ac:dyDescent="0.3">
      <c r="A154" s="56"/>
      <c r="B154" s="56"/>
      <c r="C154" s="44"/>
      <c r="F154" s="138"/>
    </row>
    <row r="155" spans="1:6" s="23" customFormat="1" ht="24" customHeight="1" x14ac:dyDescent="0.3">
      <c r="A155" s="56"/>
      <c r="B155" s="56"/>
      <c r="C155" s="44"/>
      <c r="F155" s="138"/>
    </row>
    <row r="156" spans="1:6" s="23" customFormat="1" ht="24" customHeight="1" x14ac:dyDescent="0.3">
      <c r="A156" s="56"/>
      <c r="B156" s="56"/>
      <c r="C156" s="44"/>
      <c r="F156" s="138"/>
    </row>
    <row r="157" spans="1:6" s="23" customFormat="1" ht="24" customHeight="1" x14ac:dyDescent="0.3">
      <c r="A157" s="56"/>
      <c r="B157" s="56"/>
      <c r="C157" s="44"/>
      <c r="F157" s="138"/>
    </row>
    <row r="158" spans="1:6" s="23" customFormat="1" ht="24" customHeight="1" x14ac:dyDescent="0.3">
      <c r="A158" s="56"/>
      <c r="B158" s="56"/>
      <c r="C158" s="44"/>
      <c r="F158" s="138"/>
    </row>
    <row r="159" spans="1:6" s="23" customFormat="1" ht="24" customHeight="1" x14ac:dyDescent="0.3">
      <c r="A159" s="56"/>
      <c r="B159" s="56"/>
      <c r="C159" s="44"/>
      <c r="F159" s="138"/>
    </row>
    <row r="160" spans="1:6" s="23" customFormat="1" ht="24" customHeight="1" x14ac:dyDescent="0.3">
      <c r="A160" s="56"/>
      <c r="B160" s="56"/>
      <c r="C160" s="44"/>
      <c r="F160" s="138"/>
    </row>
    <row r="161" spans="1:6" s="23" customFormat="1" ht="24" customHeight="1" x14ac:dyDescent="0.3">
      <c r="A161" s="56"/>
      <c r="B161" s="56"/>
      <c r="C161" s="44"/>
      <c r="F161" s="138"/>
    </row>
    <row r="162" spans="1:6" s="23" customFormat="1" ht="24" customHeight="1" x14ac:dyDescent="0.3">
      <c r="A162" s="56"/>
      <c r="B162" s="56"/>
      <c r="C162" s="44"/>
      <c r="F162" s="138"/>
    </row>
    <row r="163" spans="1:6" s="23" customFormat="1" ht="24" customHeight="1" x14ac:dyDescent="0.3">
      <c r="A163" s="56"/>
      <c r="B163" s="56"/>
      <c r="C163" s="44"/>
      <c r="F163" s="138"/>
    </row>
    <row r="164" spans="1:6" s="23" customFormat="1" ht="24" customHeight="1" x14ac:dyDescent="0.3">
      <c r="A164" s="56"/>
      <c r="B164" s="56"/>
      <c r="C164" s="44"/>
      <c r="F164" s="138"/>
    </row>
    <row r="165" spans="1:6" s="23" customFormat="1" ht="24" customHeight="1" x14ac:dyDescent="0.3">
      <c r="A165" s="56"/>
      <c r="B165" s="56"/>
      <c r="C165" s="44"/>
      <c r="F165" s="138"/>
    </row>
    <row r="166" spans="1:6" s="23" customFormat="1" ht="24" customHeight="1" x14ac:dyDescent="0.3">
      <c r="A166" s="56"/>
      <c r="B166" s="56"/>
      <c r="C166" s="44"/>
      <c r="F166" s="138"/>
    </row>
    <row r="167" spans="1:6" s="23" customFormat="1" ht="24" customHeight="1" x14ac:dyDescent="0.3">
      <c r="A167" s="56"/>
      <c r="B167" s="56"/>
      <c r="C167" s="44"/>
      <c r="F167" s="138"/>
    </row>
    <row r="168" spans="1:6" s="23" customFormat="1" ht="24" customHeight="1" x14ac:dyDescent="0.3">
      <c r="A168" s="56"/>
      <c r="B168" s="56"/>
      <c r="C168" s="44"/>
      <c r="F168" s="138"/>
    </row>
    <row r="169" spans="1:6" s="23" customFormat="1" ht="24" customHeight="1" x14ac:dyDescent="0.3">
      <c r="A169" s="56"/>
      <c r="B169" s="56"/>
      <c r="C169" s="44"/>
      <c r="F169" s="138"/>
    </row>
    <row r="170" spans="1:6" s="23" customFormat="1" ht="24" customHeight="1" x14ac:dyDescent="0.3">
      <c r="A170" s="56"/>
      <c r="B170" s="56"/>
      <c r="C170" s="44"/>
      <c r="F170" s="138"/>
    </row>
    <row r="171" spans="1:6" s="23" customFormat="1" ht="24" customHeight="1" x14ac:dyDescent="0.3">
      <c r="A171" s="56"/>
      <c r="B171" s="56"/>
      <c r="C171" s="44"/>
      <c r="F171" s="138"/>
    </row>
    <row r="172" spans="1:6" s="23" customFormat="1" ht="24" customHeight="1" x14ac:dyDescent="0.3">
      <c r="A172" s="56"/>
      <c r="B172" s="56"/>
      <c r="C172" s="44"/>
      <c r="F172" s="138"/>
    </row>
    <row r="173" spans="1:6" s="23" customFormat="1" ht="24" customHeight="1" x14ac:dyDescent="0.3">
      <c r="A173" s="56"/>
      <c r="B173" s="56"/>
      <c r="C173" s="44"/>
      <c r="F173" s="138"/>
    </row>
    <row r="174" spans="1:6" s="23" customFormat="1" ht="24" customHeight="1" x14ac:dyDescent="0.3">
      <c r="A174" s="56"/>
      <c r="B174" s="56"/>
      <c r="C174" s="44"/>
      <c r="F174" s="138"/>
    </row>
    <row r="175" spans="1:6" s="23" customFormat="1" ht="24" customHeight="1" x14ac:dyDescent="0.3">
      <c r="A175" s="56"/>
      <c r="B175" s="56"/>
      <c r="C175" s="44"/>
      <c r="F175" s="138"/>
    </row>
    <row r="176" spans="1:6" s="23" customFormat="1" ht="24" customHeight="1" x14ac:dyDescent="0.3">
      <c r="A176" s="56"/>
      <c r="B176" s="56"/>
      <c r="C176" s="44"/>
      <c r="F176" s="138"/>
    </row>
    <row r="177" spans="1:6" s="23" customFormat="1" ht="24" customHeight="1" x14ac:dyDescent="0.3">
      <c r="A177" s="56"/>
      <c r="B177" s="56"/>
      <c r="C177" s="44"/>
      <c r="F177" s="138"/>
    </row>
    <row r="178" spans="1:6" s="23" customFormat="1" ht="24" customHeight="1" x14ac:dyDescent="0.3">
      <c r="A178" s="56"/>
      <c r="B178" s="56"/>
      <c r="C178" s="44"/>
      <c r="F178" s="138"/>
    </row>
    <row r="179" spans="1:6" s="23" customFormat="1" ht="24" customHeight="1" x14ac:dyDescent="0.3">
      <c r="A179" s="56"/>
      <c r="B179" s="56"/>
      <c r="C179" s="44"/>
      <c r="F179" s="138"/>
    </row>
    <row r="180" spans="1:6" s="23" customFormat="1" ht="24" customHeight="1" x14ac:dyDescent="0.3">
      <c r="A180" s="56"/>
      <c r="B180" s="56"/>
      <c r="C180" s="44"/>
      <c r="F180" s="138"/>
    </row>
    <row r="181" spans="1:6" s="23" customFormat="1" ht="24" customHeight="1" x14ac:dyDescent="0.3">
      <c r="A181" s="56"/>
      <c r="B181" s="56"/>
      <c r="C181" s="44"/>
      <c r="F181" s="138"/>
    </row>
    <row r="182" spans="1:6" s="23" customFormat="1" ht="24" customHeight="1" x14ac:dyDescent="0.3">
      <c r="A182" s="56"/>
      <c r="B182" s="56"/>
      <c r="C182" s="44"/>
      <c r="F182" s="138"/>
    </row>
    <row r="183" spans="1:6" s="23" customFormat="1" ht="24" customHeight="1" x14ac:dyDescent="0.3">
      <c r="A183" s="56"/>
      <c r="B183" s="56"/>
      <c r="C183" s="44"/>
      <c r="F183" s="138"/>
    </row>
    <row r="184" spans="1:6" s="23" customFormat="1" ht="24" customHeight="1" x14ac:dyDescent="0.3">
      <c r="A184" s="56"/>
      <c r="B184" s="56"/>
      <c r="C184" s="44"/>
    </row>
    <row r="185" spans="1:6" s="23" customFormat="1" ht="24" customHeight="1" x14ac:dyDescent="0.3">
      <c r="A185" s="56"/>
      <c r="B185" s="56"/>
      <c r="C185" s="44"/>
    </row>
    <row r="186" spans="1:6" s="23" customFormat="1" ht="24" customHeight="1" x14ac:dyDescent="0.3">
      <c r="A186" s="56"/>
      <c r="B186" s="56"/>
      <c r="C186" s="44"/>
    </row>
    <row r="187" spans="1:6" s="23" customFormat="1" ht="24" customHeight="1" x14ac:dyDescent="0.3">
      <c r="A187" s="56"/>
      <c r="B187" s="56"/>
      <c r="C187" s="44"/>
    </row>
    <row r="188" spans="1:6" s="23" customFormat="1" ht="24" customHeight="1" x14ac:dyDescent="0.3">
      <c r="A188" s="56"/>
      <c r="B188" s="56"/>
      <c r="C188" s="44"/>
    </row>
    <row r="189" spans="1:6" s="23" customFormat="1" ht="24" customHeight="1" x14ac:dyDescent="0.3">
      <c r="A189" s="56"/>
      <c r="B189" s="56"/>
      <c r="C189" s="44"/>
    </row>
    <row r="190" spans="1:6" s="23" customFormat="1" ht="24" customHeight="1" x14ac:dyDescent="0.3">
      <c r="A190" s="56"/>
      <c r="B190" s="56"/>
      <c r="C190" s="44"/>
    </row>
    <row r="191" spans="1:6" s="23" customFormat="1" ht="24" customHeight="1" x14ac:dyDescent="0.3">
      <c r="A191" s="56"/>
      <c r="B191" s="56"/>
      <c r="C191" s="44"/>
    </row>
    <row r="192" spans="1:6" s="23" customFormat="1" ht="24" customHeight="1" x14ac:dyDescent="0.3">
      <c r="A192" s="56"/>
      <c r="B192" s="56"/>
      <c r="C192" s="44"/>
    </row>
    <row r="193" spans="1:3" s="23" customFormat="1" ht="24" customHeight="1" x14ac:dyDescent="0.3">
      <c r="A193" s="56"/>
      <c r="B193" s="56"/>
      <c r="C193" s="44"/>
    </row>
    <row r="194" spans="1:3" s="23" customFormat="1" ht="24" customHeight="1" x14ac:dyDescent="0.3">
      <c r="A194" s="56"/>
      <c r="B194" s="56"/>
      <c r="C194" s="44"/>
    </row>
    <row r="195" spans="1:3" s="23" customFormat="1" ht="24" customHeight="1" x14ac:dyDescent="0.3">
      <c r="A195" s="56"/>
      <c r="B195" s="56"/>
      <c r="C195" s="44"/>
    </row>
    <row r="196" spans="1:3" s="23" customFormat="1" ht="24" customHeight="1" x14ac:dyDescent="0.3">
      <c r="A196" s="56"/>
      <c r="B196" s="56"/>
      <c r="C196" s="44"/>
    </row>
    <row r="197" spans="1:3" s="23" customFormat="1" ht="24" customHeight="1" x14ac:dyDescent="0.3">
      <c r="A197" s="56"/>
      <c r="B197" s="56"/>
      <c r="C197" s="44"/>
    </row>
    <row r="198" spans="1:3" s="23" customFormat="1" ht="24" customHeight="1" x14ac:dyDescent="0.3">
      <c r="A198" s="56"/>
      <c r="B198" s="56"/>
      <c r="C198" s="44"/>
    </row>
    <row r="199" spans="1:3" s="23" customFormat="1" ht="24" customHeight="1" x14ac:dyDescent="0.3">
      <c r="A199" s="56"/>
      <c r="B199" s="56"/>
      <c r="C199" s="44"/>
    </row>
    <row r="200" spans="1:3" s="23" customFormat="1" ht="24" customHeight="1" x14ac:dyDescent="0.3">
      <c r="A200" s="56"/>
      <c r="B200" s="56"/>
      <c r="C200" s="44"/>
    </row>
    <row r="201" spans="1:3" s="23" customFormat="1" ht="24" customHeight="1" x14ac:dyDescent="0.3">
      <c r="A201" s="56"/>
      <c r="B201" s="56"/>
      <c r="C201" s="44"/>
    </row>
    <row r="202" spans="1:3" s="23" customFormat="1" ht="24" customHeight="1" x14ac:dyDescent="0.3">
      <c r="A202" s="56"/>
      <c r="B202" s="56"/>
      <c r="C202" s="44"/>
    </row>
    <row r="203" spans="1:3" s="23" customFormat="1" ht="24" customHeight="1" x14ac:dyDescent="0.3">
      <c r="A203" s="56"/>
      <c r="B203" s="56"/>
      <c r="C203" s="44"/>
    </row>
    <row r="204" spans="1:3" s="23" customFormat="1" ht="24" customHeight="1" x14ac:dyDescent="0.3">
      <c r="A204" s="56"/>
      <c r="B204" s="56"/>
      <c r="C204" s="44"/>
    </row>
    <row r="205" spans="1:3" s="23" customFormat="1" ht="24" customHeight="1" x14ac:dyDescent="0.3">
      <c r="A205" s="56"/>
      <c r="B205" s="56"/>
      <c r="C205" s="44"/>
    </row>
    <row r="206" spans="1:3" s="23" customFormat="1" ht="24" customHeight="1" x14ac:dyDescent="0.3">
      <c r="A206" s="56"/>
      <c r="B206" s="56"/>
      <c r="C206" s="44"/>
    </row>
    <row r="207" spans="1:3" s="23" customFormat="1" ht="24" customHeight="1" x14ac:dyDescent="0.3">
      <c r="A207" s="56"/>
      <c r="B207" s="56"/>
      <c r="C207" s="44"/>
    </row>
    <row r="208" spans="1:3" s="23" customFormat="1" ht="24" customHeight="1" x14ac:dyDescent="0.3">
      <c r="A208" s="56"/>
      <c r="B208" s="56"/>
      <c r="C208" s="44"/>
    </row>
    <row r="209" spans="1:3" s="23" customFormat="1" ht="24" customHeight="1" x14ac:dyDescent="0.3">
      <c r="A209" s="56"/>
      <c r="B209" s="56"/>
      <c r="C209" s="44"/>
    </row>
    <row r="210" spans="1:3" s="23" customFormat="1" ht="24" customHeight="1" x14ac:dyDescent="0.3">
      <c r="A210" s="56"/>
      <c r="B210" s="56"/>
      <c r="C210" s="44"/>
    </row>
    <row r="211" spans="1:3" s="23" customFormat="1" ht="24" customHeight="1" x14ac:dyDescent="0.3">
      <c r="A211" s="56"/>
      <c r="B211" s="56"/>
      <c r="C211" s="44"/>
    </row>
    <row r="212" spans="1:3" s="23" customFormat="1" ht="24" customHeight="1" x14ac:dyDescent="0.3">
      <c r="A212" s="56"/>
      <c r="B212" s="56"/>
      <c r="C212" s="44"/>
    </row>
    <row r="213" spans="1:3" s="23" customFormat="1" ht="24" customHeight="1" x14ac:dyDescent="0.3">
      <c r="A213" s="56"/>
      <c r="B213" s="56"/>
      <c r="C213" s="44"/>
    </row>
    <row r="214" spans="1:3" s="23" customFormat="1" ht="24" customHeight="1" x14ac:dyDescent="0.3">
      <c r="A214" s="56"/>
      <c r="B214" s="56"/>
      <c r="C214" s="44"/>
    </row>
    <row r="215" spans="1:3" s="23" customFormat="1" ht="24" customHeight="1" x14ac:dyDescent="0.3">
      <c r="A215" s="56"/>
      <c r="B215" s="56"/>
      <c r="C215" s="44"/>
    </row>
    <row r="216" spans="1:3" s="23" customFormat="1" ht="24" customHeight="1" x14ac:dyDescent="0.3">
      <c r="A216" s="56"/>
      <c r="B216" s="56"/>
      <c r="C216" s="44"/>
    </row>
    <row r="217" spans="1:3" s="23" customFormat="1" ht="24" customHeight="1" x14ac:dyDescent="0.3">
      <c r="A217" s="56"/>
      <c r="B217" s="56"/>
      <c r="C217" s="44"/>
    </row>
    <row r="218" spans="1:3" s="23" customFormat="1" ht="24" customHeight="1" x14ac:dyDescent="0.3">
      <c r="A218" s="56"/>
      <c r="B218" s="56"/>
      <c r="C218" s="44"/>
    </row>
    <row r="219" spans="1:3" s="23" customFormat="1" ht="24" customHeight="1" x14ac:dyDescent="0.3">
      <c r="A219" s="56"/>
      <c r="B219" s="56"/>
      <c r="C219" s="44"/>
    </row>
    <row r="220" spans="1:3" s="23" customFormat="1" ht="24" customHeight="1" x14ac:dyDescent="0.3">
      <c r="A220" s="56"/>
      <c r="B220" s="56"/>
      <c r="C220" s="44"/>
    </row>
    <row r="221" spans="1:3" s="23" customFormat="1" ht="24" customHeight="1" x14ac:dyDescent="0.3">
      <c r="A221" s="56"/>
      <c r="B221" s="56"/>
      <c r="C221" s="44"/>
    </row>
    <row r="222" spans="1:3" s="23" customFormat="1" ht="24" customHeight="1" x14ac:dyDescent="0.3">
      <c r="A222" s="56"/>
      <c r="B222" s="56"/>
      <c r="C222" s="44"/>
    </row>
    <row r="223" spans="1:3" s="23" customFormat="1" ht="24" customHeight="1" x14ac:dyDescent="0.3">
      <c r="A223" s="56"/>
      <c r="B223" s="56"/>
      <c r="C223" s="44"/>
    </row>
    <row r="224" spans="1:3" s="23" customFormat="1" ht="24" customHeight="1" x14ac:dyDescent="0.3">
      <c r="A224" s="56"/>
      <c r="B224" s="56"/>
      <c r="C224" s="44"/>
    </row>
    <row r="225" spans="1:3" s="23" customFormat="1" ht="24" customHeight="1" x14ac:dyDescent="0.3">
      <c r="A225" s="56"/>
      <c r="B225" s="56"/>
      <c r="C225" s="44"/>
    </row>
    <row r="226" spans="1:3" s="23" customFormat="1" ht="24" customHeight="1" x14ac:dyDescent="0.3">
      <c r="A226" s="56"/>
      <c r="B226" s="56"/>
      <c r="C226" s="44"/>
    </row>
    <row r="227" spans="1:3" s="23" customFormat="1" ht="24" customHeight="1" x14ac:dyDescent="0.3">
      <c r="A227" s="56"/>
      <c r="B227" s="56"/>
      <c r="C227" s="44"/>
    </row>
    <row r="228" spans="1:3" s="23" customFormat="1" ht="24" customHeight="1" x14ac:dyDescent="0.3">
      <c r="A228" s="56"/>
      <c r="B228" s="56"/>
      <c r="C228" s="44"/>
    </row>
    <row r="229" spans="1:3" s="23" customFormat="1" ht="24" customHeight="1" x14ac:dyDescent="0.3">
      <c r="A229" s="56"/>
      <c r="B229" s="56"/>
      <c r="C229" s="44"/>
    </row>
    <row r="230" spans="1:3" s="23" customFormat="1" ht="24" customHeight="1" x14ac:dyDescent="0.3">
      <c r="A230" s="56"/>
      <c r="B230" s="56"/>
      <c r="C230" s="44"/>
    </row>
    <row r="231" spans="1:3" s="23" customFormat="1" ht="24" customHeight="1" x14ac:dyDescent="0.3">
      <c r="A231" s="56"/>
      <c r="B231" s="56"/>
      <c r="C231" s="44"/>
    </row>
    <row r="232" spans="1:3" s="23" customFormat="1" ht="24" customHeight="1" x14ac:dyDescent="0.3">
      <c r="A232" s="56"/>
      <c r="B232" s="56"/>
      <c r="C232" s="44"/>
    </row>
    <row r="233" spans="1:3" s="23" customFormat="1" ht="24" customHeight="1" x14ac:dyDescent="0.3">
      <c r="A233" s="56"/>
      <c r="B233" s="56"/>
      <c r="C233" s="44"/>
    </row>
    <row r="234" spans="1:3" s="23" customFormat="1" ht="24" customHeight="1" x14ac:dyDescent="0.3">
      <c r="A234" s="56"/>
      <c r="B234" s="56"/>
      <c r="C234" s="44"/>
    </row>
    <row r="235" spans="1:3" s="23" customFormat="1" ht="24" customHeight="1" x14ac:dyDescent="0.3">
      <c r="A235" s="56"/>
      <c r="B235" s="56"/>
      <c r="C235" s="44"/>
    </row>
    <row r="236" spans="1:3" s="23" customFormat="1" ht="24" customHeight="1" x14ac:dyDescent="0.3">
      <c r="A236" s="56"/>
      <c r="B236" s="56"/>
      <c r="C236" s="44"/>
    </row>
    <row r="237" spans="1:3" s="23" customFormat="1" ht="24" customHeight="1" x14ac:dyDescent="0.3">
      <c r="A237" s="56"/>
      <c r="B237" s="56"/>
      <c r="C237" s="44"/>
    </row>
    <row r="238" spans="1:3" s="23" customFormat="1" ht="24" customHeight="1" x14ac:dyDescent="0.3">
      <c r="A238" s="56"/>
      <c r="B238" s="56"/>
      <c r="C238" s="44"/>
    </row>
    <row r="239" spans="1:3" s="23" customFormat="1" ht="24" customHeight="1" x14ac:dyDescent="0.3">
      <c r="A239" s="56"/>
      <c r="B239" s="56"/>
      <c r="C239" s="44"/>
    </row>
    <row r="240" spans="1:3" s="23" customFormat="1" ht="24" customHeight="1" x14ac:dyDescent="0.3">
      <c r="A240" s="56"/>
      <c r="B240" s="56"/>
      <c r="C240" s="44"/>
    </row>
    <row r="241" spans="1:3" s="23" customFormat="1" ht="24" customHeight="1" x14ac:dyDescent="0.3">
      <c r="A241" s="56"/>
      <c r="B241" s="56"/>
      <c r="C241" s="44"/>
    </row>
    <row r="242" spans="1:3" s="23" customFormat="1" ht="24" customHeight="1" x14ac:dyDescent="0.3">
      <c r="A242" s="56"/>
      <c r="B242" s="56"/>
      <c r="C242" s="44"/>
    </row>
    <row r="243" spans="1:3" s="23" customFormat="1" ht="24" customHeight="1" x14ac:dyDescent="0.3">
      <c r="A243" s="56"/>
      <c r="B243" s="56"/>
      <c r="C243" s="44"/>
    </row>
    <row r="244" spans="1:3" s="23" customFormat="1" ht="24" customHeight="1" x14ac:dyDescent="0.3">
      <c r="A244" s="56"/>
      <c r="B244" s="56"/>
      <c r="C244" s="44"/>
    </row>
    <row r="245" spans="1:3" s="23" customFormat="1" ht="24" customHeight="1" x14ac:dyDescent="0.3">
      <c r="A245" s="56"/>
      <c r="B245" s="56"/>
      <c r="C245" s="44"/>
    </row>
    <row r="246" spans="1:3" s="23" customFormat="1" ht="24" customHeight="1" x14ac:dyDescent="0.3">
      <c r="A246" s="56"/>
      <c r="B246" s="56"/>
      <c r="C246" s="44"/>
    </row>
    <row r="247" spans="1:3" s="23" customFormat="1" ht="24" customHeight="1" x14ac:dyDescent="0.3">
      <c r="A247" s="56"/>
      <c r="B247" s="56"/>
      <c r="C247" s="44"/>
    </row>
    <row r="248" spans="1:3" s="23" customFormat="1" ht="24" customHeight="1" x14ac:dyDescent="0.3">
      <c r="A248" s="56"/>
      <c r="B248" s="56"/>
      <c r="C248" s="44"/>
    </row>
    <row r="249" spans="1:3" s="23" customFormat="1" ht="24" customHeight="1" x14ac:dyDescent="0.3">
      <c r="A249" s="56"/>
      <c r="B249" s="56"/>
      <c r="C249" s="44"/>
    </row>
    <row r="250" spans="1:3" s="23" customFormat="1" ht="24" customHeight="1" x14ac:dyDescent="0.3">
      <c r="A250" s="56"/>
      <c r="B250" s="56"/>
      <c r="C250" s="44"/>
    </row>
    <row r="251" spans="1:3" s="23" customFormat="1" ht="24" customHeight="1" x14ac:dyDescent="0.3">
      <c r="A251" s="56"/>
      <c r="B251" s="56"/>
      <c r="C251" s="44"/>
    </row>
    <row r="252" spans="1:3" s="23" customFormat="1" ht="24" customHeight="1" x14ac:dyDescent="0.3">
      <c r="A252" s="56"/>
      <c r="B252" s="56"/>
      <c r="C252" s="44"/>
    </row>
    <row r="253" spans="1:3" s="23" customFormat="1" ht="24" customHeight="1" x14ac:dyDescent="0.3">
      <c r="A253" s="56"/>
      <c r="B253" s="56"/>
      <c r="C253" s="44"/>
    </row>
    <row r="254" spans="1:3" s="23" customFormat="1" ht="24" customHeight="1" x14ac:dyDescent="0.3">
      <c r="A254" s="56"/>
      <c r="B254" s="56"/>
      <c r="C254" s="44"/>
    </row>
    <row r="255" spans="1:3" s="23" customFormat="1" ht="24" customHeight="1" x14ac:dyDescent="0.3">
      <c r="A255" s="56"/>
      <c r="B255" s="56"/>
      <c r="C255" s="44"/>
    </row>
    <row r="256" spans="1:3" s="23" customFormat="1" ht="24" customHeight="1" x14ac:dyDescent="0.3">
      <c r="A256" s="56"/>
      <c r="B256" s="56"/>
      <c r="C256" s="44"/>
    </row>
    <row r="257" spans="1:3" s="23" customFormat="1" ht="24" customHeight="1" x14ac:dyDescent="0.3">
      <c r="A257" s="56"/>
      <c r="B257" s="56"/>
      <c r="C257" s="44"/>
    </row>
    <row r="258" spans="1:3" s="23" customFormat="1" ht="24" customHeight="1" x14ac:dyDescent="0.3">
      <c r="A258" s="56"/>
      <c r="B258" s="56"/>
      <c r="C258" s="44"/>
    </row>
    <row r="259" spans="1:3" s="23" customFormat="1" ht="24" customHeight="1" x14ac:dyDescent="0.3">
      <c r="A259" s="56"/>
      <c r="B259" s="56"/>
      <c r="C259" s="44"/>
    </row>
    <row r="260" spans="1:3" s="23" customFormat="1" ht="24" customHeight="1" x14ac:dyDescent="0.3">
      <c r="A260" s="56"/>
      <c r="B260" s="56"/>
      <c r="C260" s="44"/>
    </row>
    <row r="261" spans="1:3" s="23" customFormat="1" ht="24" customHeight="1" x14ac:dyDescent="0.3">
      <c r="A261" s="56"/>
      <c r="B261" s="56"/>
      <c r="C261" s="44"/>
    </row>
    <row r="262" spans="1:3" s="23" customFormat="1" ht="24" customHeight="1" x14ac:dyDescent="0.3">
      <c r="A262" s="56"/>
      <c r="B262" s="56"/>
      <c r="C262" s="44"/>
    </row>
    <row r="263" spans="1:3" s="23" customFormat="1" ht="24" customHeight="1" x14ac:dyDescent="0.3">
      <c r="A263" s="56"/>
      <c r="B263" s="56"/>
      <c r="C263" s="44"/>
    </row>
    <row r="264" spans="1:3" s="23" customFormat="1" ht="24" customHeight="1" x14ac:dyDescent="0.3">
      <c r="A264" s="56"/>
      <c r="B264" s="56"/>
      <c r="C264" s="44"/>
    </row>
    <row r="265" spans="1:3" s="23" customFormat="1" ht="24" customHeight="1" x14ac:dyDescent="0.3">
      <c r="A265" s="56"/>
      <c r="B265" s="56"/>
      <c r="C265" s="44"/>
    </row>
    <row r="266" spans="1:3" s="23" customFormat="1" ht="24" customHeight="1" x14ac:dyDescent="0.3">
      <c r="A266" s="56"/>
      <c r="B266" s="56"/>
      <c r="C266" s="44"/>
    </row>
    <row r="267" spans="1:3" s="23" customFormat="1" ht="24" customHeight="1" x14ac:dyDescent="0.3">
      <c r="A267" s="56"/>
      <c r="B267" s="56"/>
      <c r="C267" s="44"/>
    </row>
    <row r="268" spans="1:3" s="23" customFormat="1" ht="24" customHeight="1" x14ac:dyDescent="0.3">
      <c r="A268" s="56"/>
      <c r="B268" s="56"/>
      <c r="C268" s="44"/>
    </row>
    <row r="269" spans="1:3" s="23" customFormat="1" ht="24" customHeight="1" x14ac:dyDescent="0.3">
      <c r="A269" s="56"/>
      <c r="B269" s="56"/>
      <c r="C269" s="44"/>
    </row>
    <row r="270" spans="1:3" s="23" customFormat="1" ht="24" customHeight="1" x14ac:dyDescent="0.3">
      <c r="A270" s="56"/>
      <c r="B270" s="56"/>
      <c r="C270" s="44"/>
    </row>
    <row r="271" spans="1:3" s="23" customFormat="1" ht="24" customHeight="1" x14ac:dyDescent="0.3">
      <c r="A271" s="56"/>
      <c r="B271" s="56"/>
      <c r="C271" s="44"/>
    </row>
    <row r="272" spans="1:3" s="23" customFormat="1" ht="24" customHeight="1" x14ac:dyDescent="0.3">
      <c r="A272" s="56"/>
      <c r="B272" s="56"/>
      <c r="C272" s="44"/>
    </row>
    <row r="273" spans="1:3" s="23" customFormat="1" ht="24" customHeight="1" x14ac:dyDescent="0.3">
      <c r="A273" s="56"/>
      <c r="B273" s="56"/>
      <c r="C273" s="44"/>
    </row>
    <row r="274" spans="1:3" s="23" customFormat="1" ht="24" customHeight="1" x14ac:dyDescent="0.3">
      <c r="A274" s="56"/>
      <c r="B274" s="56"/>
      <c r="C274" s="44"/>
    </row>
    <row r="275" spans="1:3" s="23" customFormat="1" ht="24" customHeight="1" x14ac:dyDescent="0.3">
      <c r="A275" s="56"/>
      <c r="B275" s="56"/>
      <c r="C275" s="44"/>
    </row>
    <row r="276" spans="1:3" s="23" customFormat="1" ht="24" customHeight="1" x14ac:dyDescent="0.3">
      <c r="A276" s="56"/>
      <c r="B276" s="56"/>
      <c r="C276" s="44"/>
    </row>
    <row r="277" spans="1:3" s="23" customFormat="1" ht="24" customHeight="1" x14ac:dyDescent="0.3">
      <c r="A277" s="56"/>
      <c r="B277" s="56"/>
      <c r="C277" s="44"/>
    </row>
    <row r="278" spans="1:3" s="23" customFormat="1" ht="24" customHeight="1" x14ac:dyDescent="0.3">
      <c r="A278" s="56"/>
      <c r="B278" s="56"/>
      <c r="C278" s="44"/>
    </row>
    <row r="279" spans="1:3" s="23" customFormat="1" ht="24" customHeight="1" x14ac:dyDescent="0.3">
      <c r="A279" s="56"/>
      <c r="B279" s="56"/>
      <c r="C279" s="44"/>
    </row>
    <row r="280" spans="1:3" s="23" customFormat="1" ht="24" customHeight="1" x14ac:dyDescent="0.3">
      <c r="A280" s="56"/>
      <c r="B280" s="56"/>
      <c r="C280" s="44"/>
    </row>
    <row r="281" spans="1:3" s="23" customFormat="1" ht="24" customHeight="1" x14ac:dyDescent="0.3">
      <c r="A281" s="56"/>
      <c r="B281" s="56"/>
      <c r="C281" s="44"/>
    </row>
    <row r="282" spans="1:3" s="23" customFormat="1" ht="24" customHeight="1" x14ac:dyDescent="0.3">
      <c r="A282" s="56"/>
      <c r="B282" s="56"/>
      <c r="C282" s="44"/>
    </row>
    <row r="283" spans="1:3" s="23" customFormat="1" ht="24" customHeight="1" x14ac:dyDescent="0.3">
      <c r="A283" s="56"/>
      <c r="B283" s="56"/>
      <c r="C283" s="44"/>
    </row>
    <row r="284" spans="1:3" s="23" customFormat="1" ht="24" customHeight="1" x14ac:dyDescent="0.3">
      <c r="A284" s="56"/>
      <c r="B284" s="56"/>
      <c r="C284" s="44"/>
    </row>
    <row r="285" spans="1:3" s="23" customFormat="1" ht="24" customHeight="1" x14ac:dyDescent="0.3">
      <c r="A285" s="56"/>
      <c r="B285" s="56"/>
      <c r="C285" s="44"/>
    </row>
    <row r="286" spans="1:3" s="23" customFormat="1" ht="24" customHeight="1" x14ac:dyDescent="0.3">
      <c r="A286" s="56"/>
      <c r="B286" s="56"/>
      <c r="C286" s="44"/>
    </row>
    <row r="287" spans="1:3" s="23" customFormat="1" ht="24" customHeight="1" x14ac:dyDescent="0.3">
      <c r="A287" s="56"/>
      <c r="B287" s="56"/>
      <c r="C287" s="44"/>
    </row>
    <row r="288" spans="1:3" s="23" customFormat="1" ht="24" customHeight="1" x14ac:dyDescent="0.3">
      <c r="A288" s="56"/>
      <c r="B288" s="56"/>
      <c r="C288" s="44"/>
    </row>
    <row r="289" spans="1:3" s="23" customFormat="1" ht="24" customHeight="1" x14ac:dyDescent="0.3">
      <c r="A289" s="56"/>
      <c r="B289" s="56"/>
      <c r="C289" s="44"/>
    </row>
    <row r="290" spans="1:3" s="23" customFormat="1" ht="24" customHeight="1" x14ac:dyDescent="0.3">
      <c r="A290" s="56"/>
      <c r="B290" s="56"/>
      <c r="C290" s="44"/>
    </row>
    <row r="291" spans="1:3" s="23" customFormat="1" ht="24" customHeight="1" x14ac:dyDescent="0.3">
      <c r="A291" s="56"/>
      <c r="B291" s="56"/>
      <c r="C291" s="44"/>
    </row>
    <row r="292" spans="1:3" s="23" customFormat="1" ht="24" customHeight="1" x14ac:dyDescent="0.3">
      <c r="A292" s="56"/>
      <c r="B292" s="56"/>
      <c r="C292" s="44"/>
    </row>
    <row r="293" spans="1:3" s="23" customFormat="1" ht="24" customHeight="1" x14ac:dyDescent="0.3">
      <c r="A293" s="56"/>
      <c r="B293" s="56"/>
      <c r="C293" s="44"/>
    </row>
    <row r="294" spans="1:3" s="23" customFormat="1" ht="24" customHeight="1" x14ac:dyDescent="0.3">
      <c r="A294" s="56"/>
      <c r="B294" s="56"/>
      <c r="C294" s="44"/>
    </row>
    <row r="295" spans="1:3" s="23" customFormat="1" ht="24" customHeight="1" x14ac:dyDescent="0.3">
      <c r="A295" s="56"/>
      <c r="B295" s="56"/>
      <c r="C295" s="44"/>
    </row>
    <row r="296" spans="1:3" s="23" customFormat="1" ht="24" customHeight="1" x14ac:dyDescent="0.3">
      <c r="A296" s="56"/>
      <c r="B296" s="56"/>
      <c r="C296" s="44"/>
    </row>
    <row r="297" spans="1:3" s="23" customFormat="1" ht="24" customHeight="1" x14ac:dyDescent="0.3">
      <c r="A297" s="56"/>
      <c r="B297" s="56"/>
      <c r="C297" s="44"/>
    </row>
    <row r="298" spans="1:3" s="23" customFormat="1" ht="24" customHeight="1" x14ac:dyDescent="0.3">
      <c r="A298" s="56"/>
      <c r="B298" s="56"/>
      <c r="C298" s="44"/>
    </row>
    <row r="299" spans="1:3" s="23" customFormat="1" ht="24" customHeight="1" x14ac:dyDescent="0.3">
      <c r="A299" s="56"/>
      <c r="B299" s="56"/>
      <c r="C299" s="44"/>
    </row>
    <row r="300" spans="1:3" s="23" customFormat="1" ht="24" customHeight="1" x14ac:dyDescent="0.3">
      <c r="A300" s="56"/>
      <c r="B300" s="56"/>
      <c r="C300" s="44"/>
    </row>
    <row r="301" spans="1:3" s="23" customFormat="1" ht="24" customHeight="1" x14ac:dyDescent="0.3">
      <c r="A301" s="56"/>
      <c r="B301" s="56"/>
      <c r="C301" s="44"/>
    </row>
    <row r="302" spans="1:3" s="23" customFormat="1" ht="24" customHeight="1" x14ac:dyDescent="0.3">
      <c r="A302" s="56"/>
      <c r="B302" s="56"/>
      <c r="C302" s="44"/>
    </row>
    <row r="303" spans="1:3" s="23" customFormat="1" ht="24" customHeight="1" x14ac:dyDescent="0.3">
      <c r="A303" s="56"/>
      <c r="B303" s="56"/>
      <c r="C303" s="44"/>
    </row>
    <row r="304" spans="1:3" s="23" customFormat="1" ht="24" customHeight="1" x14ac:dyDescent="0.3">
      <c r="A304" s="56"/>
      <c r="B304" s="56"/>
      <c r="C304" s="44"/>
    </row>
    <row r="305" spans="1:3" s="23" customFormat="1" ht="24" customHeight="1" x14ac:dyDescent="0.3">
      <c r="A305" s="56"/>
      <c r="B305" s="56"/>
      <c r="C305" s="44"/>
    </row>
    <row r="306" spans="1:3" s="23" customFormat="1" ht="24" customHeight="1" x14ac:dyDescent="0.3">
      <c r="A306" s="56"/>
      <c r="B306" s="56"/>
      <c r="C306" s="44"/>
    </row>
    <row r="307" spans="1:3" s="23" customFormat="1" ht="24" customHeight="1" x14ac:dyDescent="0.3">
      <c r="A307" s="56"/>
      <c r="B307" s="56"/>
      <c r="C307" s="44"/>
    </row>
    <row r="308" spans="1:3" s="23" customFormat="1" ht="24" customHeight="1" x14ac:dyDescent="0.3">
      <c r="A308" s="56"/>
      <c r="B308" s="56"/>
      <c r="C308" s="44"/>
    </row>
    <row r="309" spans="1:3" s="23" customFormat="1" ht="24" customHeight="1" x14ac:dyDescent="0.3">
      <c r="A309" s="56"/>
      <c r="B309" s="56"/>
      <c r="C309" s="44"/>
    </row>
    <row r="310" spans="1:3" s="23" customFormat="1" ht="24" customHeight="1" x14ac:dyDescent="0.3">
      <c r="A310" s="56"/>
      <c r="B310" s="56"/>
      <c r="C310" s="44"/>
    </row>
    <row r="311" spans="1:3" s="23" customFormat="1" ht="24" customHeight="1" x14ac:dyDescent="0.3">
      <c r="A311" s="56"/>
      <c r="B311" s="56"/>
      <c r="C311" s="44"/>
    </row>
    <row r="312" spans="1:3" s="23" customFormat="1" ht="24" customHeight="1" x14ac:dyDescent="0.3">
      <c r="A312" s="56"/>
      <c r="B312" s="56"/>
      <c r="C312" s="44"/>
    </row>
    <row r="313" spans="1:3" s="23" customFormat="1" ht="24" customHeight="1" x14ac:dyDescent="0.3">
      <c r="A313" s="56"/>
      <c r="B313" s="56"/>
      <c r="C313" s="44"/>
    </row>
    <row r="314" spans="1:3" s="23" customFormat="1" ht="24" customHeight="1" x14ac:dyDescent="0.3">
      <c r="A314" s="56"/>
      <c r="B314" s="56"/>
      <c r="C314" s="44"/>
    </row>
    <row r="315" spans="1:3" s="23" customFormat="1" ht="24" customHeight="1" x14ac:dyDescent="0.3">
      <c r="A315" s="56"/>
      <c r="B315" s="56"/>
      <c r="C315" s="44"/>
    </row>
    <row r="316" spans="1:3" s="23" customFormat="1" ht="24" customHeight="1" x14ac:dyDescent="0.3">
      <c r="A316" s="56"/>
      <c r="B316" s="56"/>
      <c r="C316" s="44"/>
    </row>
    <row r="317" spans="1:3" s="23" customFormat="1" ht="24" customHeight="1" x14ac:dyDescent="0.3">
      <c r="A317" s="56"/>
      <c r="B317" s="56"/>
      <c r="C317" s="44"/>
    </row>
    <row r="318" spans="1:3" s="23" customFormat="1" ht="24" customHeight="1" x14ac:dyDescent="0.3">
      <c r="A318" s="56"/>
      <c r="B318" s="56"/>
      <c r="C318" s="44"/>
    </row>
    <row r="319" spans="1:3" s="23" customFormat="1" ht="24" customHeight="1" x14ac:dyDescent="0.3">
      <c r="A319" s="56"/>
      <c r="B319" s="56"/>
      <c r="C319" s="44"/>
    </row>
    <row r="320" spans="1:3" s="23" customFormat="1" ht="24" customHeight="1" x14ac:dyDescent="0.3">
      <c r="A320" s="56"/>
      <c r="B320" s="56"/>
      <c r="C320" s="44"/>
    </row>
    <row r="321" spans="1:3" s="23" customFormat="1" ht="24" customHeight="1" x14ac:dyDescent="0.3">
      <c r="A321" s="56"/>
      <c r="B321" s="56"/>
      <c r="C321" s="44"/>
    </row>
    <row r="322" spans="1:3" s="23" customFormat="1" ht="24" customHeight="1" x14ac:dyDescent="0.3">
      <c r="A322" s="56"/>
      <c r="B322" s="56"/>
      <c r="C322" s="44"/>
    </row>
    <row r="323" spans="1:3" s="23" customFormat="1" ht="24" customHeight="1" x14ac:dyDescent="0.3">
      <c r="A323" s="56"/>
      <c r="B323" s="56"/>
      <c r="C323" s="44"/>
    </row>
    <row r="324" spans="1:3" s="23" customFormat="1" ht="24" customHeight="1" x14ac:dyDescent="0.3">
      <c r="A324" s="56"/>
      <c r="B324" s="56"/>
      <c r="C324" s="44"/>
    </row>
    <row r="325" spans="1:3" s="23" customFormat="1" ht="24" customHeight="1" x14ac:dyDescent="0.3">
      <c r="A325" s="56"/>
      <c r="B325" s="56"/>
      <c r="C325" s="44"/>
    </row>
    <row r="326" spans="1:3" s="23" customFormat="1" ht="24" customHeight="1" x14ac:dyDescent="0.3">
      <c r="A326" s="56"/>
      <c r="B326" s="56"/>
      <c r="C326" s="44"/>
    </row>
    <row r="327" spans="1:3" s="23" customFormat="1" ht="24" customHeight="1" x14ac:dyDescent="0.3">
      <c r="A327" s="56"/>
      <c r="B327" s="56"/>
      <c r="C327" s="44"/>
    </row>
    <row r="328" spans="1:3" s="23" customFormat="1" ht="24" customHeight="1" x14ac:dyDescent="0.3">
      <c r="A328" s="56"/>
      <c r="B328" s="56"/>
      <c r="C328" s="44"/>
    </row>
    <row r="329" spans="1:3" s="23" customFormat="1" ht="24" customHeight="1" x14ac:dyDescent="0.3">
      <c r="A329" s="56"/>
      <c r="B329" s="56"/>
      <c r="C329" s="44"/>
    </row>
    <row r="330" spans="1:3" s="23" customFormat="1" ht="24" customHeight="1" x14ac:dyDescent="0.3">
      <c r="A330" s="56"/>
      <c r="B330" s="56"/>
      <c r="C330" s="44"/>
    </row>
    <row r="331" spans="1:3" s="23" customFormat="1" ht="24" customHeight="1" x14ac:dyDescent="0.3">
      <c r="A331" s="56"/>
      <c r="B331" s="56"/>
      <c r="C331" s="44"/>
    </row>
    <row r="332" spans="1:3" s="23" customFormat="1" ht="24" customHeight="1" x14ac:dyDescent="0.3">
      <c r="A332" s="56"/>
      <c r="B332" s="56"/>
      <c r="C332" s="44"/>
    </row>
    <row r="333" spans="1:3" s="23" customFormat="1" ht="24" customHeight="1" x14ac:dyDescent="0.3">
      <c r="A333" s="56"/>
      <c r="B333" s="56"/>
      <c r="C333" s="44"/>
    </row>
    <row r="334" spans="1:3" s="23" customFormat="1" ht="24" customHeight="1" x14ac:dyDescent="0.3">
      <c r="A334" s="56"/>
      <c r="B334" s="56"/>
      <c r="C334" s="44"/>
    </row>
    <row r="335" spans="1:3" s="23" customFormat="1" ht="24" customHeight="1" x14ac:dyDescent="0.3">
      <c r="A335" s="56"/>
      <c r="B335" s="56"/>
      <c r="C335" s="44"/>
    </row>
    <row r="336" spans="1:3" s="23" customFormat="1" ht="24" customHeight="1" x14ac:dyDescent="0.3">
      <c r="A336" s="56"/>
      <c r="B336" s="56"/>
      <c r="C336" s="44"/>
    </row>
    <row r="337" spans="1:3" s="23" customFormat="1" ht="24" customHeight="1" x14ac:dyDescent="0.3">
      <c r="A337" s="56"/>
      <c r="B337" s="56"/>
      <c r="C337" s="44"/>
    </row>
    <row r="338" spans="1:3" s="23" customFormat="1" ht="24" customHeight="1" x14ac:dyDescent="0.3">
      <c r="A338" s="56"/>
      <c r="B338" s="56"/>
      <c r="C338" s="44"/>
    </row>
    <row r="339" spans="1:3" s="23" customFormat="1" ht="24" customHeight="1" x14ac:dyDescent="0.3">
      <c r="A339" s="56"/>
      <c r="B339" s="56"/>
      <c r="C339" s="44"/>
    </row>
    <row r="340" spans="1:3" s="23" customFormat="1" ht="24" customHeight="1" x14ac:dyDescent="0.3">
      <c r="A340" s="56"/>
      <c r="B340" s="56"/>
      <c r="C340" s="44"/>
    </row>
    <row r="341" spans="1:3" s="23" customFormat="1" ht="24" customHeight="1" x14ac:dyDescent="0.3">
      <c r="A341" s="56"/>
      <c r="B341" s="56"/>
      <c r="C341" s="44"/>
    </row>
    <row r="342" spans="1:3" s="23" customFormat="1" ht="24" customHeight="1" x14ac:dyDescent="0.3">
      <c r="A342" s="56"/>
      <c r="B342" s="56"/>
      <c r="C342" s="44"/>
    </row>
    <row r="343" spans="1:3" s="23" customFormat="1" ht="24" customHeight="1" x14ac:dyDescent="0.3">
      <c r="A343" s="56"/>
      <c r="B343" s="56"/>
      <c r="C343" s="44"/>
    </row>
    <row r="344" spans="1:3" s="23" customFormat="1" ht="24" customHeight="1" x14ac:dyDescent="0.3">
      <c r="A344" s="56"/>
      <c r="B344" s="56"/>
      <c r="C344" s="44"/>
    </row>
    <row r="345" spans="1:3" s="23" customFormat="1" ht="24" customHeight="1" x14ac:dyDescent="0.3">
      <c r="A345" s="56"/>
      <c r="B345" s="56"/>
      <c r="C345" s="44"/>
    </row>
    <row r="346" spans="1:3" s="23" customFormat="1" ht="24" customHeight="1" x14ac:dyDescent="0.3">
      <c r="A346" s="56"/>
      <c r="B346" s="56"/>
      <c r="C346" s="44"/>
    </row>
    <row r="347" spans="1:3" s="23" customFormat="1" ht="24" customHeight="1" x14ac:dyDescent="0.3">
      <c r="A347" s="56"/>
      <c r="B347" s="56"/>
      <c r="C347" s="44"/>
    </row>
    <row r="348" spans="1:3" s="23" customFormat="1" ht="24" customHeight="1" x14ac:dyDescent="0.3">
      <c r="A348" s="56"/>
      <c r="B348" s="56"/>
      <c r="C348" s="44"/>
    </row>
    <row r="349" spans="1:3" s="23" customFormat="1" ht="24" customHeight="1" x14ac:dyDescent="0.3">
      <c r="A349" s="56"/>
      <c r="B349" s="56"/>
      <c r="C349" s="44"/>
    </row>
    <row r="350" spans="1:3" s="23" customFormat="1" ht="24" customHeight="1" x14ac:dyDescent="0.3">
      <c r="A350" s="56"/>
      <c r="B350" s="56"/>
      <c r="C350" s="44"/>
    </row>
    <row r="351" spans="1:3" s="23" customFormat="1" ht="24" customHeight="1" x14ac:dyDescent="0.3">
      <c r="A351" s="56"/>
      <c r="B351" s="56"/>
      <c r="C351" s="44"/>
    </row>
    <row r="352" spans="1:3" s="23" customFormat="1" ht="24" customHeight="1" x14ac:dyDescent="0.3">
      <c r="A352" s="56"/>
      <c r="B352" s="56"/>
      <c r="C352" s="44"/>
    </row>
    <row r="353" spans="1:3" s="23" customFormat="1" ht="24" customHeight="1" x14ac:dyDescent="0.3">
      <c r="A353" s="56"/>
      <c r="B353" s="56"/>
      <c r="C353" s="44"/>
    </row>
    <row r="354" spans="1:3" s="23" customFormat="1" ht="24" customHeight="1" x14ac:dyDescent="0.3">
      <c r="A354" s="56"/>
      <c r="B354" s="56"/>
      <c r="C354" s="44"/>
    </row>
    <row r="355" spans="1:3" s="23" customFormat="1" ht="24" customHeight="1" x14ac:dyDescent="0.3">
      <c r="A355" s="56"/>
      <c r="B355" s="56"/>
      <c r="C355" s="44"/>
    </row>
    <row r="356" spans="1:3" s="23" customFormat="1" ht="24" customHeight="1" x14ac:dyDescent="0.3">
      <c r="A356" s="56"/>
      <c r="B356" s="56"/>
      <c r="C356" s="44"/>
    </row>
    <row r="357" spans="1:3" s="23" customFormat="1" ht="24" customHeight="1" x14ac:dyDescent="0.3">
      <c r="A357" s="56"/>
      <c r="B357" s="56"/>
      <c r="C357" s="44"/>
    </row>
    <row r="358" spans="1:3" s="23" customFormat="1" ht="24" customHeight="1" x14ac:dyDescent="0.3">
      <c r="A358" s="56"/>
      <c r="B358" s="56"/>
      <c r="C358" s="44"/>
    </row>
    <row r="359" spans="1:3" s="23" customFormat="1" ht="24" customHeight="1" x14ac:dyDescent="0.3">
      <c r="A359" s="56"/>
      <c r="B359" s="56"/>
      <c r="C359" s="44"/>
    </row>
    <row r="360" spans="1:3" s="23" customFormat="1" ht="24" customHeight="1" x14ac:dyDescent="0.3">
      <c r="A360" s="56"/>
      <c r="B360" s="56"/>
      <c r="C360" s="44"/>
    </row>
    <row r="361" spans="1:3" s="23" customFormat="1" ht="24" customHeight="1" x14ac:dyDescent="0.3">
      <c r="A361" s="56"/>
      <c r="B361" s="56"/>
      <c r="C361" s="44"/>
    </row>
    <row r="362" spans="1:3" s="23" customFormat="1" ht="24" customHeight="1" x14ac:dyDescent="0.3">
      <c r="A362" s="56"/>
      <c r="B362" s="56"/>
      <c r="C362" s="44"/>
    </row>
    <row r="363" spans="1:3" s="23" customFormat="1" ht="24" customHeight="1" x14ac:dyDescent="0.3">
      <c r="A363" s="56"/>
      <c r="B363" s="56"/>
      <c r="C363" s="44"/>
    </row>
    <row r="364" spans="1:3" s="23" customFormat="1" ht="24" customHeight="1" x14ac:dyDescent="0.3">
      <c r="A364" s="56"/>
      <c r="B364" s="56"/>
      <c r="C364" s="44"/>
    </row>
    <row r="365" spans="1:3" s="23" customFormat="1" ht="24" customHeight="1" x14ac:dyDescent="0.3">
      <c r="A365" s="56"/>
      <c r="B365" s="56"/>
      <c r="C365" s="44"/>
    </row>
    <row r="366" spans="1:3" s="23" customFormat="1" ht="24" customHeight="1" x14ac:dyDescent="0.3">
      <c r="A366" s="56"/>
      <c r="B366" s="56"/>
      <c r="C366" s="44"/>
    </row>
    <row r="367" spans="1:3" s="23" customFormat="1" ht="24" customHeight="1" x14ac:dyDescent="0.3">
      <c r="A367" s="56"/>
      <c r="B367" s="56"/>
      <c r="C367" s="44"/>
    </row>
    <row r="368" spans="1:3" s="23" customFormat="1" ht="24" customHeight="1" x14ac:dyDescent="0.3">
      <c r="A368" s="56"/>
      <c r="B368" s="56"/>
      <c r="C368" s="44"/>
    </row>
    <row r="369" spans="1:3" s="23" customFormat="1" ht="24" customHeight="1" x14ac:dyDescent="0.3">
      <c r="A369" s="56"/>
      <c r="B369" s="56"/>
      <c r="C369" s="44"/>
    </row>
    <row r="370" spans="1:3" s="23" customFormat="1" ht="24" customHeight="1" x14ac:dyDescent="0.3">
      <c r="A370" s="56"/>
      <c r="B370" s="56"/>
      <c r="C370" s="44"/>
    </row>
    <row r="371" spans="1:3" s="23" customFormat="1" ht="24" customHeight="1" x14ac:dyDescent="0.3">
      <c r="A371" s="56"/>
      <c r="B371" s="56"/>
      <c r="C371" s="44"/>
    </row>
    <row r="372" spans="1:3" s="23" customFormat="1" ht="24" customHeight="1" x14ac:dyDescent="0.3">
      <c r="A372" s="56"/>
      <c r="B372" s="56"/>
      <c r="C372" s="44"/>
    </row>
    <row r="373" spans="1:3" s="23" customFormat="1" ht="24" customHeight="1" x14ac:dyDescent="0.3">
      <c r="A373" s="56"/>
      <c r="B373" s="56"/>
      <c r="C373" s="44"/>
    </row>
    <row r="374" spans="1:3" s="23" customFormat="1" ht="24" customHeight="1" x14ac:dyDescent="0.3">
      <c r="A374" s="56"/>
      <c r="B374" s="56"/>
      <c r="C374" s="44"/>
    </row>
    <row r="375" spans="1:3" s="23" customFormat="1" ht="24" customHeight="1" x14ac:dyDescent="0.3">
      <c r="A375" s="56"/>
      <c r="B375" s="56"/>
      <c r="C375" s="44"/>
    </row>
    <row r="376" spans="1:3" s="23" customFormat="1" ht="24" customHeight="1" x14ac:dyDescent="0.3">
      <c r="A376" s="56"/>
      <c r="B376" s="56"/>
      <c r="C376" s="44"/>
    </row>
    <row r="377" spans="1:3" s="23" customFormat="1" ht="24" customHeight="1" x14ac:dyDescent="0.3">
      <c r="A377" s="56"/>
      <c r="B377" s="56"/>
      <c r="C377" s="44"/>
    </row>
    <row r="378" spans="1:3" s="23" customFormat="1" ht="24" customHeight="1" x14ac:dyDescent="0.3">
      <c r="A378" s="56"/>
      <c r="B378" s="56"/>
      <c r="C378" s="44"/>
    </row>
    <row r="379" spans="1:3" s="23" customFormat="1" ht="24" customHeight="1" x14ac:dyDescent="0.3">
      <c r="A379" s="56"/>
      <c r="B379" s="56"/>
      <c r="C379" s="44"/>
    </row>
    <row r="380" spans="1:3" s="23" customFormat="1" ht="24" customHeight="1" x14ac:dyDescent="0.3">
      <c r="A380" s="56"/>
      <c r="B380" s="56"/>
      <c r="C380" s="44"/>
    </row>
    <row r="381" spans="1:3" s="23" customFormat="1" ht="24" customHeight="1" x14ac:dyDescent="0.3">
      <c r="A381" s="56"/>
      <c r="B381" s="56"/>
      <c r="C381" s="44"/>
    </row>
    <row r="382" spans="1:3" s="23" customFormat="1" ht="24" customHeight="1" x14ac:dyDescent="0.3">
      <c r="A382" s="56"/>
      <c r="B382" s="56"/>
      <c r="C382" s="44"/>
    </row>
    <row r="383" spans="1:3" s="23" customFormat="1" ht="24" customHeight="1" x14ac:dyDescent="0.3">
      <c r="A383" s="56"/>
      <c r="B383" s="56"/>
      <c r="C383" s="44"/>
    </row>
    <row r="384" spans="1:3" s="23" customFormat="1" ht="24" customHeight="1" x14ac:dyDescent="0.3">
      <c r="A384" s="56"/>
      <c r="B384" s="56"/>
      <c r="C384" s="44"/>
    </row>
    <row r="385" spans="1:3" s="23" customFormat="1" ht="24" customHeight="1" x14ac:dyDescent="0.3">
      <c r="A385" s="56"/>
      <c r="B385" s="56"/>
      <c r="C385" s="44"/>
    </row>
    <row r="386" spans="1:3" s="23" customFormat="1" ht="24" customHeight="1" x14ac:dyDescent="0.3">
      <c r="A386" s="56"/>
      <c r="B386" s="56"/>
      <c r="C386" s="44"/>
    </row>
    <row r="387" spans="1:3" s="23" customFormat="1" ht="24" customHeight="1" x14ac:dyDescent="0.3">
      <c r="A387" s="56"/>
      <c r="B387" s="56"/>
      <c r="C387" s="44"/>
    </row>
    <row r="388" spans="1:3" s="23" customFormat="1" ht="24" customHeight="1" x14ac:dyDescent="0.3">
      <c r="A388" s="56"/>
      <c r="B388" s="56"/>
      <c r="C388" s="44"/>
    </row>
    <row r="389" spans="1:3" s="23" customFormat="1" ht="24" customHeight="1" x14ac:dyDescent="0.3">
      <c r="A389" s="56"/>
      <c r="B389" s="56"/>
      <c r="C389" s="44"/>
    </row>
    <row r="390" spans="1:3" s="23" customFormat="1" ht="24" customHeight="1" x14ac:dyDescent="0.3">
      <c r="A390" s="56"/>
      <c r="B390" s="56"/>
      <c r="C390" s="44"/>
    </row>
    <row r="391" spans="1:3" s="23" customFormat="1" ht="24" customHeight="1" x14ac:dyDescent="0.3">
      <c r="A391" s="56"/>
      <c r="B391" s="56"/>
      <c r="C391" s="44"/>
    </row>
    <row r="392" spans="1:3" s="23" customFormat="1" ht="24" customHeight="1" x14ac:dyDescent="0.3">
      <c r="A392" s="56"/>
      <c r="B392" s="56"/>
      <c r="C392" s="44"/>
    </row>
    <row r="393" spans="1:3" s="23" customFormat="1" ht="24" customHeight="1" x14ac:dyDescent="0.3">
      <c r="A393" s="56"/>
      <c r="B393" s="56"/>
      <c r="C393" s="44"/>
    </row>
    <row r="394" spans="1:3" s="23" customFormat="1" ht="24" customHeight="1" x14ac:dyDescent="0.3">
      <c r="A394" s="56"/>
      <c r="B394" s="56"/>
      <c r="C394" s="44"/>
    </row>
    <row r="395" spans="1:3" s="23" customFormat="1" ht="24" customHeight="1" x14ac:dyDescent="0.3">
      <c r="A395" s="56"/>
      <c r="B395" s="56"/>
      <c r="C395" s="44"/>
    </row>
    <row r="396" spans="1:3" s="23" customFormat="1" ht="24" customHeight="1" x14ac:dyDescent="0.3">
      <c r="A396" s="56"/>
      <c r="B396" s="56"/>
      <c r="C396" s="44"/>
    </row>
    <row r="397" spans="1:3" s="23" customFormat="1" ht="24" customHeight="1" x14ac:dyDescent="0.3">
      <c r="A397" s="56"/>
      <c r="B397" s="56"/>
      <c r="C397" s="44"/>
    </row>
    <row r="398" spans="1:3" s="23" customFormat="1" ht="24" customHeight="1" x14ac:dyDescent="0.3">
      <c r="A398" s="56"/>
      <c r="B398" s="56"/>
      <c r="C398" s="44"/>
    </row>
    <row r="399" spans="1:3" s="23" customFormat="1" ht="24" customHeight="1" x14ac:dyDescent="0.3">
      <c r="A399" s="56"/>
      <c r="B399" s="56"/>
      <c r="C399" s="44"/>
    </row>
    <row r="400" spans="1:3" s="23" customFormat="1" ht="24" customHeight="1" x14ac:dyDescent="0.3">
      <c r="A400" s="56"/>
      <c r="B400" s="56"/>
      <c r="C400" s="44"/>
    </row>
    <row r="401" spans="1:26" s="23" customFormat="1" ht="24" customHeight="1" x14ac:dyDescent="0.3">
      <c r="A401" s="56"/>
      <c r="B401" s="56"/>
      <c r="C401" s="44"/>
    </row>
    <row r="402" spans="1:26" s="23" customFormat="1" ht="24" customHeight="1" x14ac:dyDescent="0.3">
      <c r="A402" s="56"/>
      <c r="B402" s="56"/>
      <c r="C402" s="44"/>
    </row>
    <row r="403" spans="1:26" s="23" customFormat="1" ht="24" customHeight="1" x14ac:dyDescent="0.3">
      <c r="A403" s="56"/>
      <c r="B403" s="56"/>
      <c r="C403" s="44"/>
    </row>
    <row r="404" spans="1:26" s="23" customFormat="1" ht="24" customHeight="1" x14ac:dyDescent="0.3">
      <c r="A404" s="43"/>
      <c r="B404" s="43"/>
      <c r="C404" s="44"/>
    </row>
    <row r="405" spans="1:26" s="23" customFormat="1" ht="24" customHeight="1" x14ac:dyDescent="0.3">
      <c r="A405" s="43"/>
      <c r="B405" s="43"/>
      <c r="C405" s="44"/>
    </row>
    <row r="406" spans="1:26" s="23" customFormat="1" ht="24" customHeight="1" x14ac:dyDescent="0.3">
      <c r="A406" s="43"/>
      <c r="B406" s="43"/>
      <c r="C406" s="44"/>
    </row>
    <row r="407" spans="1:26" s="23" customFormat="1" ht="24" customHeight="1" x14ac:dyDescent="0.3">
      <c r="A407" s="43"/>
      <c r="B407" s="43"/>
      <c r="C407" s="44"/>
    </row>
    <row r="408" spans="1:26" s="23" customFormat="1" ht="24" customHeight="1" x14ac:dyDescent="0.3">
      <c r="A408" s="43"/>
      <c r="B408" s="43"/>
      <c r="C408" s="44"/>
    </row>
    <row r="409" spans="1:26" s="23" customFormat="1" ht="24" customHeight="1" x14ac:dyDescent="0.3">
      <c r="A409" s="43"/>
      <c r="B409" s="43"/>
      <c r="C409" s="44"/>
    </row>
    <row r="410" spans="1:26" s="23" customFormat="1" ht="24" customHeight="1" x14ac:dyDescent="0.3">
      <c r="A410" s="43"/>
      <c r="B410" s="43"/>
      <c r="C410" s="44"/>
    </row>
    <row r="411" spans="1:26" s="60" customFormat="1" ht="24" customHeight="1" x14ac:dyDescent="0.3">
      <c r="A411" s="43"/>
      <c r="B411" s="43"/>
      <c r="C411" s="44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s="60" customFormat="1" ht="24" customHeight="1" x14ac:dyDescent="0.3">
      <c r="A412" s="43"/>
      <c r="B412" s="43"/>
      <c r="C412" s="44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s="60" customFormat="1" ht="24" customHeight="1" x14ac:dyDescent="0.3">
      <c r="A413" s="43"/>
      <c r="B413" s="43"/>
      <c r="C413" s="44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s="60" customFormat="1" ht="24" customHeight="1" x14ac:dyDescent="0.3">
      <c r="A414" s="43"/>
      <c r="B414" s="43"/>
      <c r="C414" s="44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s="60" customFormat="1" ht="24" customHeight="1" x14ac:dyDescent="0.3">
      <c r="A415" s="43"/>
      <c r="B415" s="43"/>
      <c r="C415" s="44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s="60" customFormat="1" ht="24" customHeight="1" x14ac:dyDescent="0.3">
      <c r="A416" s="43"/>
      <c r="B416" s="43"/>
      <c r="C416" s="44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s="60" customFormat="1" ht="24" customHeight="1" x14ac:dyDescent="0.3">
      <c r="A417" s="43"/>
      <c r="B417" s="43"/>
      <c r="C417" s="44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s="60" customFormat="1" ht="24" customHeight="1" x14ac:dyDescent="0.3">
      <c r="A418" s="43"/>
      <c r="B418" s="43"/>
      <c r="C418" s="44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s="60" customFormat="1" ht="24" customHeight="1" x14ac:dyDescent="0.3">
      <c r="A419" s="43"/>
      <c r="B419" s="43"/>
      <c r="C419" s="44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s="60" customFormat="1" ht="24" customHeight="1" x14ac:dyDescent="0.3">
      <c r="A420" s="43"/>
      <c r="B420" s="43"/>
      <c r="C420" s="44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s="60" customFormat="1" ht="24" customHeight="1" x14ac:dyDescent="0.3">
      <c r="A421" s="43"/>
      <c r="B421" s="43"/>
      <c r="C421" s="44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s="60" customFormat="1" ht="24" customHeight="1" x14ac:dyDescent="0.3">
      <c r="A422" s="43"/>
      <c r="B422" s="43"/>
      <c r="C422" s="44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s="60" customFormat="1" ht="24" customHeight="1" x14ac:dyDescent="0.3">
      <c r="A423" s="43"/>
      <c r="B423" s="43"/>
      <c r="C423" s="44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s="60" customFormat="1" ht="24" customHeight="1" x14ac:dyDescent="0.3">
      <c r="A424" s="43"/>
      <c r="B424" s="43"/>
      <c r="C424" s="44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s="60" customFormat="1" ht="24" customHeight="1" x14ac:dyDescent="0.3">
      <c r="A425" s="43"/>
      <c r="B425" s="43"/>
      <c r="C425" s="44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s="60" customFormat="1" ht="24" customHeight="1" x14ac:dyDescent="0.3">
      <c r="A426" s="43"/>
      <c r="B426" s="43"/>
      <c r="C426" s="44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s="60" customFormat="1" ht="24" customHeight="1" x14ac:dyDescent="0.3">
      <c r="A427" s="43"/>
      <c r="B427" s="43"/>
      <c r="C427" s="44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s="60" customFormat="1" ht="24" customHeight="1" x14ac:dyDescent="0.3">
      <c r="A428" s="43"/>
      <c r="B428" s="43"/>
      <c r="C428" s="44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s="60" customFormat="1" ht="24" customHeight="1" x14ac:dyDescent="0.3">
      <c r="A429" s="43"/>
      <c r="B429" s="43"/>
      <c r="C429" s="44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s="60" customFormat="1" ht="24" customHeight="1" x14ac:dyDescent="0.3">
      <c r="A430" s="43"/>
      <c r="B430" s="43"/>
      <c r="C430" s="44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s="60" customFormat="1" ht="24" customHeight="1" x14ac:dyDescent="0.3">
      <c r="A431" s="43"/>
      <c r="B431" s="43"/>
      <c r="C431" s="44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s="60" customFormat="1" ht="24" customHeight="1" x14ac:dyDescent="0.3">
      <c r="A432" s="43"/>
      <c r="B432" s="43"/>
      <c r="C432" s="44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s="60" customFormat="1" ht="24" customHeight="1" x14ac:dyDescent="0.3">
      <c r="A433" s="43"/>
      <c r="B433" s="43"/>
      <c r="C433" s="44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s="60" customFormat="1" ht="24" customHeight="1" x14ac:dyDescent="0.3">
      <c r="A434" s="43"/>
      <c r="B434" s="43"/>
      <c r="C434" s="44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s="60" customFormat="1" ht="24" customHeight="1" x14ac:dyDescent="0.3">
      <c r="A435" s="43"/>
      <c r="B435" s="43"/>
      <c r="C435" s="44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s="60" customFormat="1" ht="24" customHeight="1" x14ac:dyDescent="0.3">
      <c r="A436" s="43"/>
      <c r="B436" s="43"/>
      <c r="C436" s="44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s="60" customFormat="1" ht="24" customHeight="1" x14ac:dyDescent="0.3">
      <c r="A437" s="43"/>
      <c r="B437" s="43"/>
      <c r="C437" s="44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s="60" customFormat="1" ht="24" customHeight="1" x14ac:dyDescent="0.3">
      <c r="A438" s="43"/>
      <c r="B438" s="43"/>
      <c r="C438" s="44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s="60" customFormat="1" ht="24" customHeight="1" x14ac:dyDescent="0.3">
      <c r="A439" s="43"/>
      <c r="B439" s="43"/>
      <c r="C439" s="44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s="60" customFormat="1" ht="24" customHeight="1" x14ac:dyDescent="0.3">
      <c r="A440" s="43"/>
      <c r="B440" s="43"/>
      <c r="C440" s="44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s="60" customFormat="1" ht="24" customHeight="1" x14ac:dyDescent="0.3">
      <c r="A441" s="43"/>
      <c r="B441" s="43"/>
      <c r="C441" s="44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s="60" customFormat="1" ht="24" customHeight="1" x14ac:dyDescent="0.3">
      <c r="A442" s="43"/>
      <c r="B442" s="43"/>
      <c r="C442" s="44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s="60" customFormat="1" ht="24" customHeight="1" x14ac:dyDescent="0.3">
      <c r="A443" s="43"/>
      <c r="B443" s="43"/>
      <c r="C443" s="44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s="60" customFormat="1" ht="24" customHeight="1" x14ac:dyDescent="0.3">
      <c r="A444" s="43"/>
      <c r="B444" s="43"/>
      <c r="C444" s="44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s="60" customFormat="1" ht="24" customHeight="1" x14ac:dyDescent="0.3">
      <c r="A445" s="43"/>
      <c r="B445" s="43"/>
      <c r="C445" s="44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s="60" customFormat="1" ht="24" customHeight="1" x14ac:dyDescent="0.3">
      <c r="A446" s="43"/>
      <c r="B446" s="43"/>
      <c r="C446" s="44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s="60" customFormat="1" ht="24" customHeight="1" x14ac:dyDescent="0.3">
      <c r="A447" s="43"/>
      <c r="B447" s="43"/>
      <c r="C447" s="44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s="60" customFormat="1" ht="24" customHeight="1" x14ac:dyDescent="0.3">
      <c r="A448" s="43"/>
      <c r="B448" s="43"/>
      <c r="C448" s="44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s="60" customFormat="1" ht="24" customHeight="1" x14ac:dyDescent="0.3">
      <c r="A449" s="43"/>
      <c r="B449" s="43"/>
      <c r="C449" s="44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s="60" customFormat="1" ht="24" customHeight="1" x14ac:dyDescent="0.3">
      <c r="A450" s="43"/>
      <c r="B450" s="43"/>
      <c r="C450" s="44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s="60" customFormat="1" ht="24" customHeight="1" x14ac:dyDescent="0.3">
      <c r="A451" s="43"/>
      <c r="B451" s="43"/>
      <c r="C451" s="44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s="60" customFormat="1" ht="24" customHeight="1" x14ac:dyDescent="0.3">
      <c r="A452" s="43"/>
      <c r="B452" s="43"/>
      <c r="C452" s="44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s="60" customFormat="1" ht="24" customHeight="1" x14ac:dyDescent="0.3">
      <c r="A453" s="43"/>
      <c r="B453" s="43"/>
      <c r="C453" s="44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s="60" customFormat="1" ht="24" customHeight="1" x14ac:dyDescent="0.3">
      <c r="A454" s="43"/>
      <c r="B454" s="43"/>
      <c r="C454" s="44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s="60" customFormat="1" ht="24" customHeight="1" x14ac:dyDescent="0.3">
      <c r="A455" s="43"/>
      <c r="B455" s="43"/>
      <c r="C455" s="44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s="60" customFormat="1" ht="24" customHeight="1" x14ac:dyDescent="0.3">
      <c r="A456" s="43"/>
      <c r="B456" s="43"/>
      <c r="C456" s="44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s="60" customFormat="1" ht="24" customHeight="1" x14ac:dyDescent="0.3">
      <c r="A457" s="43"/>
      <c r="B457" s="43"/>
      <c r="C457" s="44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s="60" customFormat="1" ht="24" customHeight="1" x14ac:dyDescent="0.3">
      <c r="A458" s="43"/>
      <c r="B458" s="43"/>
      <c r="C458" s="44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s="60" customFormat="1" ht="24" customHeight="1" x14ac:dyDescent="0.3">
      <c r="A459" s="43"/>
      <c r="B459" s="43"/>
      <c r="C459" s="44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s="60" customFormat="1" ht="24" customHeight="1" x14ac:dyDescent="0.3">
      <c r="A460" s="43"/>
      <c r="B460" s="43"/>
      <c r="C460" s="44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s="60" customFormat="1" ht="24" customHeight="1" x14ac:dyDescent="0.3">
      <c r="A461" s="43"/>
      <c r="B461" s="43"/>
      <c r="C461" s="44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s="60" customFormat="1" ht="24" customHeight="1" x14ac:dyDescent="0.3">
      <c r="A462" s="43"/>
      <c r="B462" s="43"/>
      <c r="C462" s="44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s="60" customFormat="1" ht="24" customHeight="1" x14ac:dyDescent="0.3">
      <c r="A463" s="43"/>
      <c r="B463" s="43"/>
      <c r="C463" s="44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s="60" customFormat="1" ht="24" customHeight="1" x14ac:dyDescent="0.3">
      <c r="A464" s="43"/>
      <c r="B464" s="43"/>
      <c r="C464" s="44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s="60" customFormat="1" ht="24" customHeight="1" x14ac:dyDescent="0.3">
      <c r="A465" s="43"/>
      <c r="B465" s="43"/>
      <c r="C465" s="44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s="60" customFormat="1" ht="24" customHeight="1" x14ac:dyDescent="0.3">
      <c r="A466" s="43"/>
      <c r="B466" s="43"/>
      <c r="C466" s="44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s="60" customFormat="1" ht="24" customHeight="1" x14ac:dyDescent="0.3">
      <c r="A467" s="43"/>
      <c r="B467" s="43"/>
      <c r="C467" s="44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s="60" customFormat="1" ht="24" customHeight="1" x14ac:dyDescent="0.3">
      <c r="A468" s="43"/>
      <c r="B468" s="43"/>
      <c r="C468" s="44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s="60" customFormat="1" ht="24" customHeight="1" x14ac:dyDescent="0.3">
      <c r="A469" s="43"/>
      <c r="B469" s="43"/>
      <c r="C469" s="44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s="60" customFormat="1" ht="24" customHeight="1" x14ac:dyDescent="0.3">
      <c r="A470" s="43"/>
      <c r="B470" s="43"/>
      <c r="C470" s="44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s="60" customFormat="1" ht="24" customHeight="1" x14ac:dyDescent="0.3">
      <c r="A471" s="43"/>
      <c r="B471" s="43"/>
      <c r="C471" s="44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s="60" customFormat="1" ht="24" customHeight="1" x14ac:dyDescent="0.3">
      <c r="A472" s="43"/>
      <c r="B472" s="43"/>
      <c r="C472" s="44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s="60" customFormat="1" ht="24" customHeight="1" x14ac:dyDescent="0.3">
      <c r="A473" s="43"/>
      <c r="B473" s="43"/>
      <c r="C473" s="44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s="60" customFormat="1" ht="24" customHeight="1" x14ac:dyDescent="0.3">
      <c r="A474" s="43"/>
      <c r="B474" s="43"/>
      <c r="C474" s="44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s="60" customFormat="1" ht="24" customHeight="1" x14ac:dyDescent="0.3">
      <c r="A475" s="43"/>
      <c r="B475" s="43"/>
      <c r="C475" s="44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s="60" customFormat="1" ht="24" customHeight="1" x14ac:dyDescent="0.3">
      <c r="A476" s="43"/>
      <c r="B476" s="43"/>
      <c r="C476" s="44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s="60" customFormat="1" ht="24" customHeight="1" x14ac:dyDescent="0.3">
      <c r="A477" s="43"/>
      <c r="B477" s="43"/>
      <c r="C477" s="44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s="60" customFormat="1" ht="24" customHeight="1" x14ac:dyDescent="0.3">
      <c r="A478" s="43"/>
      <c r="B478" s="43"/>
      <c r="C478" s="44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s="60" customFormat="1" ht="24" customHeight="1" x14ac:dyDescent="0.3">
      <c r="A479" s="43"/>
      <c r="B479" s="43"/>
      <c r="C479" s="44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s="60" customFormat="1" ht="24" customHeight="1" x14ac:dyDescent="0.3">
      <c r="A480" s="43"/>
      <c r="B480" s="43"/>
      <c r="C480" s="44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s="60" customFormat="1" ht="24" customHeight="1" x14ac:dyDescent="0.3">
      <c r="A481" s="43"/>
      <c r="B481" s="43"/>
      <c r="C481" s="44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s="60" customFormat="1" ht="24" customHeight="1" x14ac:dyDescent="0.3">
      <c r="A482" s="43"/>
      <c r="B482" s="43"/>
      <c r="C482" s="44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s="60" customFormat="1" ht="24" customHeight="1" x14ac:dyDescent="0.3">
      <c r="A483" s="43"/>
      <c r="B483" s="43"/>
      <c r="C483" s="44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s="60" customFormat="1" ht="24" customHeight="1" x14ac:dyDescent="0.3">
      <c r="A484" s="43"/>
      <c r="B484" s="43"/>
      <c r="C484" s="44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s="60" customFormat="1" ht="24" customHeight="1" x14ac:dyDescent="0.3">
      <c r="A485" s="43"/>
      <c r="B485" s="43"/>
      <c r="C485" s="44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s="60" customFormat="1" ht="24" customHeight="1" x14ac:dyDescent="0.3">
      <c r="A486" s="43"/>
      <c r="B486" s="43"/>
      <c r="C486" s="44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s="60" customFormat="1" ht="24" customHeight="1" x14ac:dyDescent="0.3">
      <c r="A487" s="43"/>
      <c r="B487" s="43"/>
      <c r="C487" s="44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s="60" customFormat="1" ht="24" customHeight="1" x14ac:dyDescent="0.3">
      <c r="A488" s="43"/>
      <c r="B488" s="43"/>
      <c r="C488" s="44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s="60" customFormat="1" ht="24" customHeight="1" x14ac:dyDescent="0.3">
      <c r="A489" s="43"/>
      <c r="B489" s="43"/>
      <c r="C489" s="44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s="60" customFormat="1" ht="24" customHeight="1" x14ac:dyDescent="0.3">
      <c r="A490" s="43"/>
      <c r="B490" s="43"/>
      <c r="C490" s="44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s="60" customFormat="1" ht="24" customHeight="1" x14ac:dyDescent="0.3">
      <c r="A491" s="43"/>
      <c r="B491" s="43"/>
      <c r="C491" s="44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s="60" customFormat="1" ht="24" customHeight="1" x14ac:dyDescent="0.3">
      <c r="A492" s="43"/>
      <c r="B492" s="43"/>
      <c r="C492" s="44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s="60" customFormat="1" ht="24" customHeight="1" x14ac:dyDescent="0.3">
      <c r="A493" s="43"/>
      <c r="B493" s="43"/>
      <c r="C493" s="44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s="60" customFormat="1" ht="24" customHeight="1" x14ac:dyDescent="0.3">
      <c r="A494" s="43"/>
      <c r="B494" s="43"/>
      <c r="C494" s="44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s="60" customFormat="1" ht="24" customHeight="1" x14ac:dyDescent="0.3">
      <c r="A495" s="43"/>
      <c r="B495" s="43"/>
      <c r="C495" s="44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s="60" customFormat="1" ht="24" customHeight="1" x14ac:dyDescent="0.3">
      <c r="A496" s="43"/>
      <c r="B496" s="43"/>
      <c r="C496" s="44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s="60" customFormat="1" ht="24" customHeight="1" x14ac:dyDescent="0.3">
      <c r="A497" s="43"/>
      <c r="B497" s="43"/>
      <c r="C497" s="44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s="60" customFormat="1" ht="24" customHeight="1" x14ac:dyDescent="0.3">
      <c r="A498" s="43"/>
      <c r="B498" s="43"/>
      <c r="C498" s="44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s="60" customFormat="1" ht="24" customHeight="1" x14ac:dyDescent="0.3">
      <c r="A499" s="43"/>
      <c r="B499" s="43"/>
      <c r="C499" s="44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s="60" customFormat="1" ht="24" customHeight="1" x14ac:dyDescent="0.3">
      <c r="A500" s="43"/>
      <c r="B500" s="43"/>
      <c r="C500" s="44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s="60" customFormat="1" ht="24" customHeight="1" x14ac:dyDescent="0.3">
      <c r="A501" s="43"/>
      <c r="B501" s="43"/>
      <c r="C501" s="44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s="60" customFormat="1" ht="24" customHeight="1" x14ac:dyDescent="0.3">
      <c r="A502" s="43"/>
      <c r="B502" s="43"/>
      <c r="C502" s="44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s="60" customFormat="1" ht="24" customHeight="1" x14ac:dyDescent="0.3">
      <c r="A503" s="43"/>
      <c r="B503" s="43"/>
      <c r="C503" s="44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s="60" customFormat="1" ht="24" customHeight="1" x14ac:dyDescent="0.3">
      <c r="A504" s="43"/>
      <c r="B504" s="43"/>
      <c r="C504" s="44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s="60" customFormat="1" ht="24" customHeight="1" x14ac:dyDescent="0.3">
      <c r="A505" s="43"/>
      <c r="B505" s="43"/>
      <c r="C505" s="44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s="60" customFormat="1" ht="24" customHeight="1" x14ac:dyDescent="0.3">
      <c r="A506" s="43"/>
      <c r="B506" s="43"/>
      <c r="C506" s="44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s="60" customFormat="1" ht="24" customHeight="1" x14ac:dyDescent="0.3">
      <c r="A507" s="43"/>
      <c r="B507" s="43"/>
      <c r="C507" s="44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s="60" customFormat="1" ht="24" customHeight="1" x14ac:dyDescent="0.3">
      <c r="A508" s="43"/>
      <c r="B508" s="43"/>
      <c r="C508" s="44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s="60" customFormat="1" ht="24" customHeight="1" x14ac:dyDescent="0.3">
      <c r="A509" s="43"/>
      <c r="B509" s="43"/>
      <c r="C509" s="44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s="60" customFormat="1" ht="24" customHeight="1" x14ac:dyDescent="0.3">
      <c r="A510" s="43"/>
      <c r="B510" s="43"/>
      <c r="C510" s="44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s="60" customFormat="1" ht="24" customHeight="1" x14ac:dyDescent="0.3">
      <c r="A511" s="43"/>
      <c r="B511" s="43"/>
      <c r="C511" s="44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s="60" customFormat="1" ht="24" customHeight="1" x14ac:dyDescent="0.3">
      <c r="A512" s="43"/>
      <c r="B512" s="43"/>
      <c r="C512" s="44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s="60" customFormat="1" ht="24" customHeight="1" x14ac:dyDescent="0.3">
      <c r="A513" s="43"/>
      <c r="B513" s="43"/>
      <c r="C513" s="44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s="60" customFormat="1" ht="24" customHeight="1" x14ac:dyDescent="0.3">
      <c r="A514" s="43"/>
      <c r="B514" s="43"/>
      <c r="C514" s="44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s="60" customFormat="1" ht="24" customHeight="1" x14ac:dyDescent="0.3">
      <c r="A515" s="43"/>
      <c r="B515" s="43"/>
      <c r="C515" s="44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s="60" customFormat="1" ht="24" customHeight="1" x14ac:dyDescent="0.3">
      <c r="A516" s="43"/>
      <c r="B516" s="43"/>
      <c r="C516" s="44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s="60" customFormat="1" ht="24" customHeight="1" x14ac:dyDescent="0.3">
      <c r="A517" s="43"/>
      <c r="B517" s="43"/>
      <c r="C517" s="44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s="60" customFormat="1" ht="24" customHeight="1" x14ac:dyDescent="0.3">
      <c r="A518" s="43"/>
      <c r="B518" s="43"/>
      <c r="C518" s="44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s="60" customFormat="1" ht="24" customHeight="1" x14ac:dyDescent="0.3">
      <c r="A519" s="43"/>
      <c r="B519" s="43"/>
      <c r="C519" s="44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s="60" customFormat="1" ht="24" customHeight="1" x14ac:dyDescent="0.3">
      <c r="A520" s="43"/>
      <c r="B520" s="43"/>
      <c r="C520" s="44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s="60" customFormat="1" ht="24" customHeight="1" x14ac:dyDescent="0.3">
      <c r="A521" s="43"/>
      <c r="B521" s="43"/>
      <c r="C521" s="44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s="60" customFormat="1" ht="24" customHeight="1" x14ac:dyDescent="0.3">
      <c r="A522" s="43"/>
      <c r="B522" s="43"/>
      <c r="C522" s="44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s="60" customFormat="1" ht="24" customHeight="1" x14ac:dyDescent="0.3">
      <c r="A523" s="43"/>
      <c r="B523" s="43"/>
      <c r="C523" s="44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s="60" customFormat="1" ht="24" customHeight="1" x14ac:dyDescent="0.3">
      <c r="A524" s="43"/>
      <c r="B524" s="43"/>
      <c r="C524" s="44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s="60" customFormat="1" ht="24" customHeight="1" x14ac:dyDescent="0.3">
      <c r="A525" s="43"/>
      <c r="B525" s="43"/>
      <c r="C525" s="44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s="60" customFormat="1" ht="24" customHeight="1" x14ac:dyDescent="0.3">
      <c r="A526" s="43"/>
      <c r="B526" s="43"/>
      <c r="C526" s="44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s="60" customFormat="1" ht="24" customHeight="1" x14ac:dyDescent="0.3">
      <c r="A527" s="43"/>
      <c r="B527" s="43"/>
      <c r="C527" s="44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s="60" customFormat="1" ht="24" customHeight="1" x14ac:dyDescent="0.3">
      <c r="A528" s="43"/>
      <c r="B528" s="43"/>
      <c r="C528" s="44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s="60" customFormat="1" ht="24" customHeight="1" x14ac:dyDescent="0.3">
      <c r="A529" s="43"/>
      <c r="B529" s="43"/>
      <c r="C529" s="44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s="60" customFormat="1" ht="24" customHeight="1" x14ac:dyDescent="0.3">
      <c r="A530" s="43"/>
      <c r="B530" s="43"/>
      <c r="C530" s="44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s="60" customFormat="1" ht="24" customHeight="1" x14ac:dyDescent="0.3">
      <c r="A531" s="43"/>
      <c r="B531" s="43"/>
      <c r="C531" s="44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s="60" customFormat="1" ht="24" customHeight="1" x14ac:dyDescent="0.3">
      <c r="A532" s="43"/>
      <c r="B532" s="43"/>
      <c r="C532" s="44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s="60" customFormat="1" ht="24" customHeight="1" x14ac:dyDescent="0.3">
      <c r="A533" s="43"/>
      <c r="B533" s="43"/>
      <c r="C533" s="44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s="60" customFormat="1" ht="24" customHeight="1" x14ac:dyDescent="0.3">
      <c r="A534" s="43"/>
      <c r="B534" s="43"/>
      <c r="C534" s="44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s="60" customFormat="1" ht="24" customHeight="1" x14ac:dyDescent="0.3">
      <c r="A535" s="43"/>
      <c r="B535" s="43"/>
      <c r="C535" s="44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s="60" customFormat="1" ht="24" customHeight="1" x14ac:dyDescent="0.3">
      <c r="A536" s="43"/>
      <c r="B536" s="43"/>
      <c r="C536" s="44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s="60" customFormat="1" ht="24" customHeight="1" x14ac:dyDescent="0.3">
      <c r="A537" s="43"/>
      <c r="B537" s="43"/>
      <c r="C537" s="44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s="60" customFormat="1" ht="24" customHeight="1" x14ac:dyDescent="0.3">
      <c r="A538" s="43"/>
      <c r="B538" s="43"/>
      <c r="C538" s="44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s="60" customFormat="1" ht="24" customHeight="1" x14ac:dyDescent="0.3">
      <c r="A539" s="43"/>
      <c r="B539" s="43"/>
      <c r="C539" s="44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s="60" customFormat="1" ht="24" customHeight="1" x14ac:dyDescent="0.3">
      <c r="A540" s="43"/>
      <c r="B540" s="43"/>
      <c r="C540" s="44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s="60" customFormat="1" ht="24" customHeight="1" x14ac:dyDescent="0.3">
      <c r="A541" s="43"/>
      <c r="B541" s="43"/>
      <c r="C541" s="44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s="60" customFormat="1" ht="24" customHeight="1" x14ac:dyDescent="0.3">
      <c r="A542" s="43"/>
      <c r="B542" s="43"/>
      <c r="C542" s="44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s="60" customFormat="1" ht="24" customHeight="1" x14ac:dyDescent="0.3">
      <c r="A543" s="43"/>
      <c r="B543" s="43"/>
      <c r="C543" s="44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s="60" customFormat="1" ht="24" customHeight="1" x14ac:dyDescent="0.3">
      <c r="A544" s="43"/>
      <c r="B544" s="43"/>
      <c r="C544" s="44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s="60" customFormat="1" ht="24" customHeight="1" x14ac:dyDescent="0.3">
      <c r="A545" s="43"/>
      <c r="B545" s="43"/>
      <c r="C545" s="44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s="60" customFormat="1" ht="24" customHeight="1" x14ac:dyDescent="0.3">
      <c r="A546" s="43"/>
      <c r="B546" s="43"/>
      <c r="C546" s="44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s="60" customFormat="1" ht="24" customHeight="1" x14ac:dyDescent="0.3">
      <c r="A547" s="43"/>
      <c r="B547" s="43"/>
      <c r="C547" s="44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s="60" customFormat="1" ht="24" customHeight="1" x14ac:dyDescent="0.3">
      <c r="A548" s="43"/>
      <c r="B548" s="43"/>
      <c r="C548" s="44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s="60" customFormat="1" ht="24" customHeight="1" x14ac:dyDescent="0.3">
      <c r="A549" s="43"/>
      <c r="B549" s="43"/>
      <c r="C549" s="44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s="60" customFormat="1" ht="24" customHeight="1" x14ac:dyDescent="0.3">
      <c r="A550" s="43"/>
      <c r="B550" s="43"/>
      <c r="C550" s="44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s="60" customFormat="1" ht="24" customHeight="1" x14ac:dyDescent="0.3">
      <c r="A551" s="43"/>
      <c r="B551" s="43"/>
      <c r="C551" s="44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s="60" customFormat="1" ht="24" customHeight="1" x14ac:dyDescent="0.3">
      <c r="A552" s="43"/>
      <c r="B552" s="43"/>
      <c r="C552" s="44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s="60" customFormat="1" ht="24" customHeight="1" x14ac:dyDescent="0.3">
      <c r="A553" s="43"/>
      <c r="B553" s="43"/>
      <c r="C553" s="44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s="60" customFormat="1" ht="24" customHeight="1" x14ac:dyDescent="0.3">
      <c r="A554" s="43"/>
      <c r="B554" s="43"/>
      <c r="C554" s="44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s="60" customFormat="1" ht="24" customHeight="1" x14ac:dyDescent="0.3">
      <c r="A555" s="43"/>
      <c r="B555" s="43"/>
      <c r="C555" s="44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s="60" customFormat="1" ht="24" customHeight="1" x14ac:dyDescent="0.3">
      <c r="A556" s="43"/>
      <c r="B556" s="43"/>
      <c r="C556" s="44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s="60" customFormat="1" ht="24" customHeight="1" x14ac:dyDescent="0.3">
      <c r="A557" s="43"/>
      <c r="B557" s="43"/>
      <c r="C557" s="44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s="60" customFormat="1" ht="24" customHeight="1" x14ac:dyDescent="0.3">
      <c r="A558" s="43"/>
      <c r="B558" s="43"/>
      <c r="C558" s="44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s="60" customFormat="1" ht="24" customHeight="1" x14ac:dyDescent="0.3">
      <c r="A559" s="43"/>
      <c r="B559" s="43"/>
      <c r="C559" s="44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s="60" customFormat="1" ht="24" customHeight="1" x14ac:dyDescent="0.3">
      <c r="A560" s="43"/>
      <c r="B560" s="43"/>
      <c r="C560" s="44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s="60" customFormat="1" ht="24" customHeight="1" x14ac:dyDescent="0.3">
      <c r="A561" s="43"/>
      <c r="B561" s="43"/>
      <c r="C561" s="44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s="60" customFormat="1" ht="24" customHeight="1" x14ac:dyDescent="0.3">
      <c r="A562" s="43"/>
      <c r="B562" s="43"/>
      <c r="C562" s="44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s="60" customFormat="1" ht="24" customHeight="1" x14ac:dyDescent="0.3">
      <c r="A563" s="43"/>
      <c r="B563" s="43"/>
      <c r="C563" s="44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s="60" customFormat="1" ht="24" customHeight="1" x14ac:dyDescent="0.3">
      <c r="A564" s="43"/>
      <c r="B564" s="43"/>
      <c r="C564" s="44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s="60" customFormat="1" ht="24" customHeight="1" x14ac:dyDescent="0.3">
      <c r="A565" s="43"/>
      <c r="B565" s="43"/>
      <c r="C565" s="44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s="60" customFormat="1" ht="24" customHeight="1" x14ac:dyDescent="0.3">
      <c r="A566" s="43"/>
      <c r="B566" s="43"/>
      <c r="C566" s="44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s="60" customFormat="1" ht="24" customHeight="1" x14ac:dyDescent="0.3">
      <c r="A567" s="43"/>
      <c r="B567" s="43"/>
      <c r="C567" s="44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s="60" customFormat="1" ht="24" customHeight="1" x14ac:dyDescent="0.3">
      <c r="A568" s="43"/>
      <c r="B568" s="43"/>
      <c r="C568" s="44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s="60" customFormat="1" ht="24" customHeight="1" x14ac:dyDescent="0.3">
      <c r="A569" s="43"/>
      <c r="B569" s="43"/>
      <c r="C569" s="44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s="60" customFormat="1" ht="24" customHeight="1" x14ac:dyDescent="0.3">
      <c r="A570" s="43"/>
      <c r="B570" s="43"/>
      <c r="C570" s="44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s="60" customFormat="1" ht="24" customHeight="1" x14ac:dyDescent="0.3">
      <c r="A571" s="43"/>
      <c r="B571" s="43"/>
      <c r="C571" s="44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s="60" customFormat="1" ht="24" customHeight="1" x14ac:dyDescent="0.3">
      <c r="A572" s="43"/>
      <c r="B572" s="43"/>
      <c r="C572" s="44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s="60" customFormat="1" ht="24" customHeight="1" x14ac:dyDescent="0.3">
      <c r="A573" s="43"/>
      <c r="B573" s="43"/>
      <c r="C573" s="44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s="60" customFormat="1" ht="24" customHeight="1" x14ac:dyDescent="0.3">
      <c r="A574" s="43"/>
      <c r="B574" s="43"/>
      <c r="C574" s="44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s="60" customFormat="1" ht="24" customHeight="1" x14ac:dyDescent="0.3">
      <c r="A575" s="43"/>
      <c r="B575" s="43"/>
      <c r="C575" s="44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s="60" customFormat="1" ht="24" customHeight="1" x14ac:dyDescent="0.3">
      <c r="A576" s="43"/>
      <c r="B576" s="43"/>
      <c r="C576" s="44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s="60" customFormat="1" ht="24" customHeight="1" x14ac:dyDescent="0.3">
      <c r="A577" s="43"/>
      <c r="B577" s="43"/>
      <c r="C577" s="44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s="60" customFormat="1" ht="24" customHeight="1" x14ac:dyDescent="0.3">
      <c r="A578" s="43"/>
      <c r="B578" s="43"/>
      <c r="C578" s="44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s="60" customFormat="1" ht="24" customHeight="1" x14ac:dyDescent="0.3">
      <c r="A579" s="43"/>
      <c r="B579" s="43"/>
      <c r="C579" s="44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s="60" customFormat="1" ht="24" customHeight="1" x14ac:dyDescent="0.3">
      <c r="A580" s="43"/>
      <c r="B580" s="43"/>
      <c r="C580" s="44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s="60" customFormat="1" ht="24" customHeight="1" x14ac:dyDescent="0.3">
      <c r="A581" s="43"/>
      <c r="B581" s="43"/>
      <c r="C581" s="44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s="60" customFormat="1" ht="24" customHeight="1" x14ac:dyDescent="0.3">
      <c r="A582" s="43"/>
      <c r="B582" s="43"/>
      <c r="C582" s="44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s="60" customFormat="1" ht="24" customHeight="1" x14ac:dyDescent="0.3">
      <c r="A583" s="43"/>
      <c r="B583" s="43"/>
      <c r="C583" s="44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s="60" customFormat="1" ht="24" customHeight="1" x14ac:dyDescent="0.3">
      <c r="A584" s="43"/>
      <c r="B584" s="43"/>
      <c r="C584" s="44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s="60" customFormat="1" ht="24" customHeight="1" x14ac:dyDescent="0.3">
      <c r="A585" s="43"/>
      <c r="B585" s="43"/>
      <c r="C585" s="44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s="60" customFormat="1" ht="24" customHeight="1" x14ac:dyDescent="0.3">
      <c r="A586" s="43"/>
      <c r="B586" s="43"/>
      <c r="C586" s="44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s="60" customFormat="1" ht="24" customHeight="1" x14ac:dyDescent="0.3">
      <c r="A587" s="43"/>
      <c r="B587" s="43"/>
      <c r="C587" s="44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s="60" customFormat="1" ht="24" customHeight="1" x14ac:dyDescent="0.3">
      <c r="A588" s="43"/>
      <c r="B588" s="43"/>
      <c r="C588" s="44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s="60" customFormat="1" ht="24" customHeight="1" x14ac:dyDescent="0.3">
      <c r="A589" s="43"/>
      <c r="B589" s="43"/>
      <c r="C589" s="44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s="60" customFormat="1" ht="24" customHeight="1" x14ac:dyDescent="0.3">
      <c r="A590" s="43"/>
      <c r="B590" s="43"/>
      <c r="C590" s="44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s="60" customFormat="1" ht="24" customHeight="1" x14ac:dyDescent="0.3">
      <c r="A591" s="43"/>
      <c r="B591" s="43"/>
      <c r="C591" s="44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s="60" customFormat="1" ht="24" customHeight="1" x14ac:dyDescent="0.3">
      <c r="A592" s="43"/>
      <c r="B592" s="43"/>
      <c r="C592" s="44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s="60" customFormat="1" ht="24" customHeight="1" x14ac:dyDescent="0.3">
      <c r="A593" s="43"/>
      <c r="B593" s="43"/>
      <c r="C593" s="44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s="60" customFormat="1" ht="24" customHeight="1" x14ac:dyDescent="0.3">
      <c r="A594" s="43"/>
      <c r="B594" s="43"/>
      <c r="C594" s="44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s="60" customFormat="1" ht="24" customHeight="1" x14ac:dyDescent="0.3">
      <c r="A595" s="43"/>
      <c r="B595" s="43"/>
      <c r="C595" s="44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s="60" customFormat="1" ht="24" customHeight="1" x14ac:dyDescent="0.3">
      <c r="A596" s="43"/>
      <c r="B596" s="43"/>
      <c r="C596" s="44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s="60" customFormat="1" ht="24" customHeight="1" x14ac:dyDescent="0.3">
      <c r="A597" s="43"/>
      <c r="B597" s="43"/>
      <c r="C597" s="44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s="60" customFormat="1" ht="24" customHeight="1" x14ac:dyDescent="0.3">
      <c r="A598" s="43"/>
      <c r="B598" s="43"/>
      <c r="C598" s="44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s="60" customFormat="1" ht="24" customHeight="1" x14ac:dyDescent="0.3">
      <c r="A599" s="43"/>
      <c r="B599" s="43"/>
      <c r="C599" s="44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s="60" customFormat="1" ht="24" customHeight="1" x14ac:dyDescent="0.3">
      <c r="A600" s="43"/>
      <c r="B600" s="43"/>
      <c r="C600" s="44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s="60" customFormat="1" ht="24" customHeight="1" x14ac:dyDescent="0.3">
      <c r="A601" s="43"/>
      <c r="B601" s="43"/>
      <c r="C601" s="44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s="60" customFormat="1" ht="24" customHeight="1" x14ac:dyDescent="0.3">
      <c r="A602" s="43"/>
      <c r="B602" s="43"/>
      <c r="C602" s="44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s="60" customFormat="1" ht="24" customHeight="1" x14ac:dyDescent="0.3">
      <c r="A603" s="43"/>
      <c r="B603" s="43"/>
      <c r="C603" s="44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s="60" customFormat="1" ht="24" customHeight="1" x14ac:dyDescent="0.3">
      <c r="A604" s="43"/>
      <c r="B604" s="43"/>
      <c r="C604" s="44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s="60" customFormat="1" ht="24" customHeight="1" x14ac:dyDescent="0.3">
      <c r="A605" s="43"/>
      <c r="B605" s="43"/>
      <c r="C605" s="44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s="60" customFormat="1" ht="24" customHeight="1" x14ac:dyDescent="0.3">
      <c r="A606" s="43"/>
      <c r="B606" s="43"/>
      <c r="C606" s="44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s="60" customFormat="1" ht="24" customHeight="1" x14ac:dyDescent="0.3">
      <c r="A607" s="43"/>
      <c r="B607" s="43"/>
      <c r="C607" s="44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s="60" customFormat="1" ht="24" customHeight="1" x14ac:dyDescent="0.3">
      <c r="A608" s="43"/>
      <c r="B608" s="43"/>
      <c r="C608" s="44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s="60" customFormat="1" ht="24" customHeight="1" x14ac:dyDescent="0.3">
      <c r="A609" s="43"/>
      <c r="B609" s="43"/>
      <c r="C609" s="44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s="60" customFormat="1" ht="24" customHeight="1" x14ac:dyDescent="0.3">
      <c r="A610" s="43"/>
      <c r="B610" s="43"/>
      <c r="C610" s="44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s="60" customFormat="1" ht="24" customHeight="1" x14ac:dyDescent="0.3">
      <c r="A611" s="43"/>
      <c r="B611" s="43"/>
      <c r="C611" s="44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s="60" customFormat="1" ht="24" customHeight="1" x14ac:dyDescent="0.3">
      <c r="A612" s="43"/>
      <c r="B612" s="43"/>
      <c r="C612" s="44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s="60" customFormat="1" ht="24" customHeight="1" x14ac:dyDescent="0.3">
      <c r="A613" s="43"/>
      <c r="B613" s="43"/>
      <c r="C613" s="44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s="60" customFormat="1" ht="24" customHeight="1" x14ac:dyDescent="0.3">
      <c r="A614" s="43"/>
      <c r="B614" s="43"/>
      <c r="C614" s="44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s="60" customFormat="1" ht="24" customHeight="1" x14ac:dyDescent="0.3">
      <c r="A615" s="43"/>
      <c r="B615" s="43"/>
      <c r="C615" s="44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s="60" customFormat="1" ht="24" customHeight="1" x14ac:dyDescent="0.3">
      <c r="A616" s="43"/>
      <c r="B616" s="43"/>
      <c r="C616" s="44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s="60" customFormat="1" ht="24" customHeight="1" x14ac:dyDescent="0.3">
      <c r="A617" s="43"/>
      <c r="B617" s="43"/>
      <c r="C617" s="44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s="60" customFormat="1" ht="24" customHeight="1" x14ac:dyDescent="0.3">
      <c r="A618" s="43"/>
      <c r="B618" s="43"/>
      <c r="C618" s="44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s="60" customFormat="1" ht="24" customHeight="1" x14ac:dyDescent="0.3">
      <c r="A619" s="43"/>
      <c r="B619" s="43"/>
      <c r="C619" s="44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s="60" customFormat="1" ht="24" customHeight="1" x14ac:dyDescent="0.3">
      <c r="A620" s="43"/>
      <c r="B620" s="43"/>
      <c r="C620" s="44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s="60" customFormat="1" ht="24" customHeight="1" x14ac:dyDescent="0.3">
      <c r="A621" s="43"/>
      <c r="B621" s="43"/>
      <c r="C621" s="44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s="60" customFormat="1" ht="24" customHeight="1" x14ac:dyDescent="0.3">
      <c r="A622" s="43"/>
      <c r="B622" s="43"/>
      <c r="C622" s="44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s="60" customFormat="1" ht="24" customHeight="1" x14ac:dyDescent="0.3">
      <c r="A623" s="43"/>
      <c r="B623" s="43"/>
      <c r="C623" s="44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s="60" customFormat="1" ht="24" customHeight="1" x14ac:dyDescent="0.3">
      <c r="A624" s="43"/>
      <c r="B624" s="43"/>
      <c r="C624" s="44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s="60" customFormat="1" ht="24" customHeight="1" x14ac:dyDescent="0.3">
      <c r="A625" s="43"/>
      <c r="B625" s="43"/>
      <c r="C625" s="44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s="60" customFormat="1" ht="24" customHeight="1" x14ac:dyDescent="0.3">
      <c r="A626" s="43"/>
      <c r="B626" s="43"/>
      <c r="C626" s="44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s="60" customFormat="1" ht="24" customHeight="1" x14ac:dyDescent="0.3">
      <c r="A627" s="43"/>
      <c r="B627" s="43"/>
      <c r="C627" s="44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s="60" customFormat="1" ht="24" customHeight="1" x14ac:dyDescent="0.3">
      <c r="A628" s="43"/>
      <c r="B628" s="43"/>
      <c r="C628" s="44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s="60" customFormat="1" ht="24" customHeight="1" x14ac:dyDescent="0.3">
      <c r="A629" s="43"/>
      <c r="B629" s="43"/>
      <c r="C629" s="44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s="60" customFormat="1" ht="24" customHeight="1" x14ac:dyDescent="0.3">
      <c r="A630" s="43"/>
      <c r="B630" s="43"/>
      <c r="C630" s="44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s="60" customFormat="1" ht="24" customHeight="1" x14ac:dyDescent="0.3">
      <c r="A631" s="43"/>
      <c r="B631" s="43"/>
      <c r="C631" s="44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s="60" customFormat="1" ht="24" customHeight="1" x14ac:dyDescent="0.3">
      <c r="A632" s="43"/>
      <c r="B632" s="43"/>
      <c r="C632" s="44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s="60" customFormat="1" ht="24" customHeight="1" x14ac:dyDescent="0.3">
      <c r="A633" s="43"/>
      <c r="B633" s="43"/>
      <c r="C633" s="44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s="60" customFormat="1" ht="24" customHeight="1" x14ac:dyDescent="0.3">
      <c r="A634" s="43"/>
      <c r="B634" s="43"/>
      <c r="C634" s="44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s="60" customFormat="1" ht="24" customHeight="1" x14ac:dyDescent="0.3">
      <c r="A635" s="43"/>
      <c r="B635" s="43"/>
      <c r="C635" s="44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s="60" customFormat="1" ht="24" customHeight="1" x14ac:dyDescent="0.3">
      <c r="A636" s="43"/>
      <c r="B636" s="43"/>
      <c r="C636" s="44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s="60" customFormat="1" ht="24" customHeight="1" x14ac:dyDescent="0.3">
      <c r="A637" s="43"/>
      <c r="B637" s="43"/>
      <c r="C637" s="44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s="60" customFormat="1" ht="24" customHeight="1" x14ac:dyDescent="0.3">
      <c r="A638" s="43"/>
      <c r="B638" s="43"/>
      <c r="C638" s="44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s="60" customFormat="1" ht="24" customHeight="1" x14ac:dyDescent="0.3">
      <c r="A639" s="43"/>
      <c r="B639" s="43"/>
      <c r="C639" s="44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s="60" customFormat="1" ht="24" customHeight="1" x14ac:dyDescent="0.3">
      <c r="A640" s="43"/>
      <c r="B640" s="43"/>
      <c r="C640" s="44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s="60" customFormat="1" ht="24" customHeight="1" x14ac:dyDescent="0.3">
      <c r="A641" s="43"/>
      <c r="B641" s="43"/>
      <c r="C641" s="44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s="60" customFormat="1" ht="24" customHeight="1" x14ac:dyDescent="0.3">
      <c r="A642" s="43"/>
      <c r="B642" s="43"/>
      <c r="C642" s="44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s="60" customFormat="1" ht="24" customHeight="1" x14ac:dyDescent="0.3">
      <c r="A643" s="43"/>
      <c r="B643" s="43"/>
      <c r="C643" s="44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s="60" customFormat="1" ht="24" customHeight="1" x14ac:dyDescent="0.3">
      <c r="A644" s="43"/>
      <c r="B644" s="43"/>
      <c r="C644" s="44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s="60" customFormat="1" ht="24" customHeight="1" x14ac:dyDescent="0.3">
      <c r="A645" s="43"/>
      <c r="B645" s="43"/>
      <c r="C645" s="44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s="60" customFormat="1" ht="24" customHeight="1" x14ac:dyDescent="0.3">
      <c r="A646" s="43"/>
      <c r="B646" s="43"/>
      <c r="C646" s="44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s="60" customFormat="1" ht="24" customHeight="1" x14ac:dyDescent="0.3">
      <c r="A647" s="43"/>
      <c r="B647" s="43"/>
      <c r="C647" s="44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s="60" customFormat="1" ht="24" customHeight="1" x14ac:dyDescent="0.3">
      <c r="A648" s="43"/>
      <c r="B648" s="43"/>
      <c r="C648" s="44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s="60" customFormat="1" ht="24" customHeight="1" x14ac:dyDescent="0.3">
      <c r="A649" s="43"/>
      <c r="B649" s="43"/>
      <c r="C649" s="44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s="60" customFormat="1" ht="24" customHeight="1" x14ac:dyDescent="0.3">
      <c r="A650" s="43"/>
      <c r="B650" s="43"/>
      <c r="C650" s="44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s="60" customFormat="1" ht="24" customHeight="1" x14ac:dyDescent="0.3">
      <c r="A651" s="43"/>
      <c r="B651" s="43"/>
      <c r="C651" s="44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s="60" customFormat="1" ht="24" customHeight="1" x14ac:dyDescent="0.3">
      <c r="A652" s="43"/>
      <c r="B652" s="43"/>
      <c r="C652" s="44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s="60" customFormat="1" ht="24" customHeight="1" x14ac:dyDescent="0.3">
      <c r="A653" s="43"/>
      <c r="B653" s="43"/>
      <c r="C653" s="44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s="60" customFormat="1" ht="24" customHeight="1" x14ac:dyDescent="0.3">
      <c r="A654" s="43"/>
      <c r="B654" s="43"/>
      <c r="C654" s="44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s="60" customFormat="1" ht="24" customHeight="1" x14ac:dyDescent="0.3">
      <c r="A655" s="43"/>
      <c r="B655" s="43"/>
      <c r="C655" s="44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s="60" customFormat="1" ht="24" customHeight="1" x14ac:dyDescent="0.3">
      <c r="A656" s="43"/>
      <c r="B656" s="43"/>
      <c r="C656" s="44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s="60" customFormat="1" ht="24" customHeight="1" x14ac:dyDescent="0.3">
      <c r="A657" s="43"/>
      <c r="B657" s="43"/>
      <c r="C657" s="44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s="60" customFormat="1" ht="24" customHeight="1" x14ac:dyDescent="0.3">
      <c r="A658" s="43"/>
      <c r="B658" s="43"/>
      <c r="C658" s="44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s="60" customFormat="1" ht="24" customHeight="1" x14ac:dyDescent="0.3">
      <c r="A659" s="43"/>
      <c r="B659" s="43"/>
      <c r="C659" s="44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s="60" customFormat="1" ht="24" customHeight="1" x14ac:dyDescent="0.3">
      <c r="A660" s="43"/>
      <c r="B660" s="43"/>
      <c r="C660" s="44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s="60" customFormat="1" ht="24" customHeight="1" x14ac:dyDescent="0.3">
      <c r="A661" s="43"/>
      <c r="B661" s="43"/>
      <c r="C661" s="44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s="60" customFormat="1" ht="24" customHeight="1" x14ac:dyDescent="0.3">
      <c r="A662" s="43"/>
      <c r="B662" s="43"/>
      <c r="C662" s="44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s="60" customFormat="1" ht="24" customHeight="1" x14ac:dyDescent="0.3">
      <c r="A663" s="43"/>
      <c r="B663" s="43"/>
      <c r="C663" s="44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s="60" customFormat="1" ht="24" customHeight="1" x14ac:dyDescent="0.3">
      <c r="A664" s="43"/>
      <c r="B664" s="43"/>
      <c r="C664" s="44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s="60" customFormat="1" ht="24" customHeight="1" x14ac:dyDescent="0.3">
      <c r="A665" s="43"/>
      <c r="B665" s="43"/>
      <c r="C665" s="44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s="60" customFormat="1" ht="24" customHeight="1" x14ac:dyDescent="0.3">
      <c r="A666" s="43"/>
      <c r="B666" s="43"/>
      <c r="C666" s="44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s="60" customFormat="1" ht="24" customHeight="1" x14ac:dyDescent="0.3">
      <c r="A667" s="43"/>
      <c r="B667" s="43"/>
      <c r="C667" s="44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s="60" customFormat="1" ht="24" customHeight="1" x14ac:dyDescent="0.3">
      <c r="A668" s="43"/>
      <c r="B668" s="43"/>
      <c r="C668" s="44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s="60" customFormat="1" ht="24" customHeight="1" x14ac:dyDescent="0.3">
      <c r="A669" s="43"/>
      <c r="B669" s="43"/>
      <c r="C669" s="44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s="60" customFormat="1" ht="24" customHeight="1" x14ac:dyDescent="0.3">
      <c r="A670" s="43"/>
      <c r="B670" s="43"/>
      <c r="C670" s="44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s="60" customFormat="1" ht="24" customHeight="1" x14ac:dyDescent="0.3">
      <c r="A671" s="43"/>
      <c r="B671" s="43"/>
      <c r="C671" s="44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s="60" customFormat="1" ht="24" customHeight="1" x14ac:dyDescent="0.3">
      <c r="A672" s="43"/>
      <c r="B672" s="43"/>
      <c r="C672" s="44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s="60" customFormat="1" ht="24" customHeight="1" x14ac:dyDescent="0.3">
      <c r="A673" s="43"/>
      <c r="B673" s="43"/>
      <c r="C673" s="44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s="60" customFormat="1" ht="24" customHeight="1" x14ac:dyDescent="0.3">
      <c r="A674" s="43"/>
      <c r="B674" s="43"/>
      <c r="C674" s="44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s="60" customFormat="1" ht="24" customHeight="1" x14ac:dyDescent="0.3">
      <c r="A675" s="43"/>
      <c r="B675" s="43"/>
      <c r="C675" s="44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s="60" customFormat="1" ht="24" customHeight="1" x14ac:dyDescent="0.3">
      <c r="A676" s="43"/>
      <c r="B676" s="43"/>
      <c r="C676" s="44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s="60" customFormat="1" ht="24" customHeight="1" x14ac:dyDescent="0.3">
      <c r="A677" s="43"/>
      <c r="B677" s="43"/>
      <c r="C677" s="44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s="60" customFormat="1" ht="24" customHeight="1" x14ac:dyDescent="0.3">
      <c r="A678" s="43"/>
      <c r="B678" s="43"/>
      <c r="C678" s="44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s="60" customFormat="1" ht="24" customHeight="1" x14ac:dyDescent="0.3">
      <c r="A679" s="43"/>
      <c r="B679" s="43"/>
      <c r="C679" s="44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s="60" customFormat="1" ht="24" customHeight="1" x14ac:dyDescent="0.3">
      <c r="A680" s="43"/>
      <c r="B680" s="43"/>
      <c r="C680" s="44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s="60" customFormat="1" ht="24" customHeight="1" x14ac:dyDescent="0.3">
      <c r="A681" s="43"/>
      <c r="B681" s="43"/>
      <c r="C681" s="44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s="60" customFormat="1" ht="24" customHeight="1" x14ac:dyDescent="0.3">
      <c r="A682" s="43"/>
      <c r="B682" s="43"/>
      <c r="C682" s="44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s="60" customFormat="1" ht="24" customHeight="1" x14ac:dyDescent="0.3">
      <c r="A683" s="43"/>
      <c r="B683" s="43"/>
      <c r="C683" s="44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s="60" customFormat="1" ht="24" customHeight="1" x14ac:dyDescent="0.3">
      <c r="A684" s="43"/>
      <c r="B684" s="43"/>
      <c r="C684" s="44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s="60" customFormat="1" ht="24" customHeight="1" x14ac:dyDescent="0.3">
      <c r="A685" s="43"/>
      <c r="B685" s="43"/>
      <c r="C685" s="44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s="60" customFormat="1" ht="24" customHeight="1" x14ac:dyDescent="0.3">
      <c r="A686" s="43"/>
      <c r="B686" s="43"/>
      <c r="C686" s="44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s="60" customFormat="1" ht="24" customHeight="1" x14ac:dyDescent="0.3">
      <c r="A687" s="43"/>
      <c r="B687" s="43"/>
      <c r="C687" s="44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s="60" customFormat="1" ht="24" customHeight="1" x14ac:dyDescent="0.3">
      <c r="A688" s="43"/>
      <c r="B688" s="43"/>
      <c r="C688" s="44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s="60" customFormat="1" ht="24" customHeight="1" x14ac:dyDescent="0.3">
      <c r="A689" s="43"/>
      <c r="B689" s="43"/>
      <c r="C689" s="44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s="60" customFormat="1" ht="24" customHeight="1" x14ac:dyDescent="0.3">
      <c r="A690" s="43"/>
      <c r="B690" s="43"/>
      <c r="C690" s="44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s="60" customFormat="1" ht="24" customHeight="1" x14ac:dyDescent="0.3">
      <c r="A691" s="43"/>
      <c r="B691" s="43"/>
      <c r="C691" s="44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s="60" customFormat="1" ht="24" customHeight="1" x14ac:dyDescent="0.3">
      <c r="A692" s="43"/>
      <c r="B692" s="43"/>
      <c r="C692" s="44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s="60" customFormat="1" ht="24" customHeight="1" x14ac:dyDescent="0.3">
      <c r="A693" s="43"/>
      <c r="B693" s="43"/>
      <c r="C693" s="44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s="60" customFormat="1" ht="24" customHeight="1" x14ac:dyDescent="0.3">
      <c r="A694" s="43"/>
      <c r="B694" s="43"/>
      <c r="C694" s="44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s="60" customFormat="1" ht="24" customHeight="1" x14ac:dyDescent="0.3">
      <c r="A695" s="43"/>
      <c r="B695" s="43"/>
      <c r="C695" s="44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s="60" customFormat="1" ht="24" customHeight="1" x14ac:dyDescent="0.3">
      <c r="A696" s="43"/>
      <c r="B696" s="43"/>
      <c r="C696" s="44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s="60" customFormat="1" ht="24" customHeight="1" x14ac:dyDescent="0.3">
      <c r="A697" s="43"/>
      <c r="B697" s="43"/>
      <c r="C697" s="44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s="60" customFormat="1" ht="24" customHeight="1" x14ac:dyDescent="0.3">
      <c r="A698" s="43"/>
      <c r="B698" s="43"/>
      <c r="C698" s="44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s="60" customFormat="1" ht="24" customHeight="1" x14ac:dyDescent="0.3">
      <c r="A699" s="43"/>
      <c r="B699" s="43"/>
      <c r="C699" s="44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s="60" customFormat="1" ht="24" customHeight="1" x14ac:dyDescent="0.3">
      <c r="A700" s="43"/>
      <c r="B700" s="43"/>
      <c r="C700" s="44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s="60" customFormat="1" ht="24" customHeight="1" x14ac:dyDescent="0.3">
      <c r="A701" s="43"/>
      <c r="B701" s="43"/>
      <c r="C701" s="44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s="60" customFormat="1" ht="24" customHeight="1" x14ac:dyDescent="0.3">
      <c r="A702" s="43"/>
      <c r="B702" s="43"/>
      <c r="C702" s="44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s="60" customFormat="1" ht="24" customHeight="1" x14ac:dyDescent="0.3">
      <c r="A703" s="43"/>
      <c r="B703" s="43"/>
      <c r="C703" s="44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s="60" customFormat="1" ht="24" customHeight="1" x14ac:dyDescent="0.3">
      <c r="A704" s="43"/>
      <c r="B704" s="43"/>
      <c r="C704" s="44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s="60" customFormat="1" ht="24" customHeight="1" x14ac:dyDescent="0.3">
      <c r="A705" s="43"/>
      <c r="B705" s="43"/>
      <c r="C705" s="44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s="60" customFormat="1" ht="24" customHeight="1" x14ac:dyDescent="0.3">
      <c r="A706" s="43"/>
      <c r="B706" s="43"/>
      <c r="C706" s="44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s="60" customFormat="1" ht="24" customHeight="1" x14ac:dyDescent="0.3">
      <c r="A707" s="43"/>
      <c r="B707" s="43"/>
      <c r="C707" s="44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s="60" customFormat="1" ht="24" customHeight="1" x14ac:dyDescent="0.3">
      <c r="A708" s="43"/>
      <c r="B708" s="43"/>
      <c r="C708" s="44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s="60" customFormat="1" ht="24" customHeight="1" x14ac:dyDescent="0.3">
      <c r="A709" s="43"/>
      <c r="B709" s="43"/>
      <c r="C709" s="44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s="60" customFormat="1" ht="24" customHeight="1" x14ac:dyDescent="0.3">
      <c r="A710" s="43"/>
      <c r="B710" s="43"/>
      <c r="C710" s="44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s="60" customFormat="1" ht="24" customHeight="1" x14ac:dyDescent="0.3">
      <c r="A711" s="43"/>
      <c r="B711" s="43"/>
      <c r="C711" s="44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s="60" customFormat="1" ht="24" customHeight="1" x14ac:dyDescent="0.3">
      <c r="A712" s="43"/>
      <c r="B712" s="43"/>
      <c r="C712" s="44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s="60" customFormat="1" ht="24" customHeight="1" x14ac:dyDescent="0.3">
      <c r="A713" s="43"/>
      <c r="B713" s="43"/>
      <c r="C713" s="44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s="60" customFormat="1" ht="24" customHeight="1" x14ac:dyDescent="0.3">
      <c r="A714" s="43"/>
      <c r="B714" s="43"/>
      <c r="C714" s="44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s="60" customFormat="1" ht="24" customHeight="1" x14ac:dyDescent="0.3">
      <c r="A715" s="43"/>
      <c r="B715" s="43"/>
      <c r="C715" s="44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s="60" customFormat="1" ht="24" customHeight="1" x14ac:dyDescent="0.3">
      <c r="A716" s="43"/>
      <c r="B716" s="43"/>
      <c r="C716" s="44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s="60" customFormat="1" ht="24" customHeight="1" x14ac:dyDescent="0.3">
      <c r="A717" s="43"/>
      <c r="B717" s="43"/>
      <c r="C717" s="44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s="60" customFormat="1" ht="24" customHeight="1" x14ac:dyDescent="0.3">
      <c r="A718" s="43"/>
      <c r="B718" s="43"/>
      <c r="C718" s="44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s="60" customFormat="1" ht="24" customHeight="1" x14ac:dyDescent="0.3">
      <c r="A719" s="43"/>
      <c r="B719" s="43"/>
      <c r="C719" s="44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s="60" customFormat="1" ht="24" customHeight="1" x14ac:dyDescent="0.3">
      <c r="A720" s="43"/>
      <c r="B720" s="43"/>
      <c r="C720" s="44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s="60" customFormat="1" ht="24" customHeight="1" x14ac:dyDescent="0.3">
      <c r="A721" s="43"/>
      <c r="B721" s="43"/>
      <c r="C721" s="44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s="60" customFormat="1" ht="24" customHeight="1" x14ac:dyDescent="0.3">
      <c r="A722" s="43"/>
      <c r="B722" s="43"/>
      <c r="C722" s="44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s="60" customFormat="1" ht="24" customHeight="1" x14ac:dyDescent="0.3">
      <c r="A723" s="43"/>
      <c r="B723" s="43"/>
      <c r="C723" s="44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s="60" customFormat="1" ht="24" customHeight="1" x14ac:dyDescent="0.3">
      <c r="A724" s="43"/>
      <c r="B724" s="43"/>
      <c r="C724" s="44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s="60" customFormat="1" ht="24" customHeight="1" x14ac:dyDescent="0.3">
      <c r="A725" s="43"/>
      <c r="B725" s="43"/>
      <c r="C725" s="44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s="60" customFormat="1" ht="24" customHeight="1" x14ac:dyDescent="0.3">
      <c r="A726" s="43"/>
      <c r="B726" s="43"/>
      <c r="C726" s="44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s="60" customFormat="1" ht="24" customHeight="1" x14ac:dyDescent="0.3">
      <c r="A727" s="43"/>
      <c r="B727" s="43"/>
      <c r="C727" s="44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s="60" customFormat="1" ht="24" customHeight="1" x14ac:dyDescent="0.3">
      <c r="A728" s="43"/>
      <c r="B728" s="43"/>
      <c r="C728" s="44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s="60" customFormat="1" ht="24" customHeight="1" x14ac:dyDescent="0.3">
      <c r="A729" s="43"/>
      <c r="B729" s="43"/>
      <c r="C729" s="44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s="60" customFormat="1" ht="24" customHeight="1" x14ac:dyDescent="0.3">
      <c r="A730" s="43"/>
      <c r="B730" s="43"/>
      <c r="C730" s="44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s="60" customFormat="1" ht="24" customHeight="1" x14ac:dyDescent="0.3">
      <c r="A731" s="43"/>
      <c r="B731" s="43"/>
      <c r="C731" s="44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s="60" customFormat="1" ht="24" customHeight="1" x14ac:dyDescent="0.3">
      <c r="A732" s="43"/>
      <c r="B732" s="43"/>
      <c r="C732" s="44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s="60" customFormat="1" ht="24" customHeight="1" x14ac:dyDescent="0.3">
      <c r="A733" s="43"/>
      <c r="B733" s="43"/>
      <c r="C733" s="44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s="60" customFormat="1" ht="24" customHeight="1" x14ac:dyDescent="0.3">
      <c r="A734" s="43"/>
      <c r="B734" s="43"/>
      <c r="C734" s="44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s="60" customFormat="1" ht="24" customHeight="1" x14ac:dyDescent="0.3">
      <c r="A735" s="43"/>
      <c r="B735" s="43"/>
      <c r="C735" s="44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s="60" customFormat="1" ht="24" customHeight="1" x14ac:dyDescent="0.3">
      <c r="A736" s="43"/>
      <c r="B736" s="43"/>
      <c r="C736" s="44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s="60" customFormat="1" ht="24" customHeight="1" x14ac:dyDescent="0.3">
      <c r="A737" s="43"/>
      <c r="B737" s="43"/>
      <c r="C737" s="44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s="60" customFormat="1" ht="24" customHeight="1" x14ac:dyDescent="0.3">
      <c r="A738" s="43"/>
      <c r="B738" s="43"/>
      <c r="C738" s="44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s="60" customFormat="1" ht="24" customHeight="1" x14ac:dyDescent="0.3">
      <c r="A739" s="43"/>
      <c r="B739" s="43"/>
      <c r="C739" s="44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s="60" customFormat="1" ht="24" customHeight="1" x14ac:dyDescent="0.3">
      <c r="A740" s="43"/>
      <c r="B740" s="43"/>
      <c r="C740" s="44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s="60" customFormat="1" ht="24" customHeight="1" x14ac:dyDescent="0.3">
      <c r="A741" s="43"/>
      <c r="B741" s="43"/>
      <c r="C741" s="44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s="60" customFormat="1" ht="24" customHeight="1" x14ac:dyDescent="0.3">
      <c r="A742" s="43"/>
      <c r="B742" s="43"/>
      <c r="C742" s="44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s="60" customFormat="1" ht="24" customHeight="1" x14ac:dyDescent="0.3">
      <c r="A743" s="43"/>
      <c r="B743" s="43"/>
      <c r="C743" s="44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s="60" customFormat="1" ht="24" customHeight="1" x14ac:dyDescent="0.3">
      <c r="A744" s="43"/>
      <c r="B744" s="43"/>
      <c r="C744" s="44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s="60" customFormat="1" ht="24" customHeight="1" x14ac:dyDescent="0.3">
      <c r="A745" s="43"/>
      <c r="B745" s="43"/>
      <c r="C745" s="44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s="60" customFormat="1" ht="24" customHeight="1" x14ac:dyDescent="0.3">
      <c r="A746" s="43"/>
      <c r="B746" s="43"/>
      <c r="C746" s="44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s="60" customFormat="1" ht="24" customHeight="1" x14ac:dyDescent="0.3">
      <c r="A747" s="43"/>
      <c r="B747" s="43"/>
      <c r="C747" s="44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s="60" customFormat="1" ht="24" customHeight="1" x14ac:dyDescent="0.3">
      <c r="A748" s="43"/>
      <c r="B748" s="43"/>
      <c r="C748" s="44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s="60" customFormat="1" ht="24" customHeight="1" x14ac:dyDescent="0.3">
      <c r="A749" s="43"/>
      <c r="B749" s="43"/>
      <c r="C749" s="44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s="60" customFormat="1" ht="24" customHeight="1" x14ac:dyDescent="0.3">
      <c r="A750" s="43"/>
      <c r="B750" s="43"/>
      <c r="C750" s="44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s="60" customFormat="1" ht="24" customHeight="1" x14ac:dyDescent="0.3">
      <c r="A751" s="43"/>
      <c r="B751" s="43"/>
      <c r="C751" s="44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s="60" customFormat="1" ht="24" customHeight="1" x14ac:dyDescent="0.3">
      <c r="A752" s="43"/>
      <c r="B752" s="43"/>
      <c r="C752" s="44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s="60" customFormat="1" ht="24" customHeight="1" x14ac:dyDescent="0.3">
      <c r="A753" s="43"/>
      <c r="B753" s="43"/>
      <c r="C753" s="44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s="60" customFormat="1" ht="24" customHeight="1" x14ac:dyDescent="0.3">
      <c r="A754" s="43"/>
      <c r="B754" s="43"/>
      <c r="C754" s="44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s="60" customFormat="1" ht="24" customHeight="1" x14ac:dyDescent="0.3">
      <c r="A755" s="43"/>
      <c r="B755" s="43"/>
      <c r="C755" s="44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s="60" customFormat="1" ht="24" customHeight="1" x14ac:dyDescent="0.3">
      <c r="A756" s="43"/>
      <c r="B756" s="43"/>
      <c r="C756" s="44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s="60" customFormat="1" ht="24" customHeight="1" x14ac:dyDescent="0.3">
      <c r="A757" s="43"/>
      <c r="B757" s="43"/>
      <c r="C757" s="44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s="60" customFormat="1" ht="24" customHeight="1" x14ac:dyDescent="0.3">
      <c r="A758" s="43"/>
      <c r="B758" s="43"/>
      <c r="C758" s="44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s="60" customFormat="1" ht="24" customHeight="1" x14ac:dyDescent="0.3">
      <c r="A759" s="43"/>
      <c r="B759" s="43"/>
      <c r="C759" s="44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s="60" customFormat="1" ht="24" customHeight="1" x14ac:dyDescent="0.3">
      <c r="A760" s="43"/>
      <c r="B760" s="43"/>
      <c r="C760" s="44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s="60" customFormat="1" ht="24" customHeight="1" x14ac:dyDescent="0.3">
      <c r="A761" s="43"/>
      <c r="B761" s="43"/>
      <c r="C761" s="44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s="60" customFormat="1" ht="24" customHeight="1" x14ac:dyDescent="0.3">
      <c r="A762" s="43"/>
      <c r="B762" s="43"/>
      <c r="C762" s="44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s="60" customFormat="1" ht="24" customHeight="1" x14ac:dyDescent="0.3">
      <c r="A763" s="43"/>
      <c r="B763" s="43"/>
      <c r="C763" s="44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s="60" customFormat="1" ht="24" customHeight="1" x14ac:dyDescent="0.3">
      <c r="A764" s="43"/>
      <c r="B764" s="43"/>
      <c r="C764" s="44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s="60" customFormat="1" ht="24" customHeight="1" x14ac:dyDescent="0.3">
      <c r="A765" s="43"/>
      <c r="B765" s="43"/>
      <c r="C765" s="44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s="60" customFormat="1" ht="24" customHeight="1" x14ac:dyDescent="0.3">
      <c r="A766" s="43"/>
      <c r="B766" s="43"/>
      <c r="C766" s="44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s="60" customFormat="1" ht="24" customHeight="1" x14ac:dyDescent="0.3">
      <c r="A767" s="43"/>
      <c r="B767" s="43"/>
      <c r="C767" s="44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s="60" customFormat="1" ht="24" customHeight="1" x14ac:dyDescent="0.3">
      <c r="A768" s="43"/>
      <c r="B768" s="43"/>
      <c r="C768" s="44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s="60" customFormat="1" ht="24" customHeight="1" x14ac:dyDescent="0.3">
      <c r="A769" s="43"/>
      <c r="B769" s="43"/>
      <c r="C769" s="44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s="60" customFormat="1" ht="24" customHeight="1" x14ac:dyDescent="0.3">
      <c r="A770" s="43"/>
      <c r="B770" s="43"/>
      <c r="C770" s="44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s="60" customFormat="1" ht="24" customHeight="1" x14ac:dyDescent="0.3">
      <c r="A771" s="43"/>
      <c r="B771" s="43"/>
      <c r="C771" s="44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s="60" customFormat="1" ht="24" customHeight="1" x14ac:dyDescent="0.3">
      <c r="A772" s="43"/>
      <c r="B772" s="43"/>
      <c r="C772" s="44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s="60" customFormat="1" ht="24" customHeight="1" x14ac:dyDescent="0.3">
      <c r="A773" s="43"/>
      <c r="B773" s="43"/>
      <c r="C773" s="44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s="60" customFormat="1" ht="24" customHeight="1" x14ac:dyDescent="0.3">
      <c r="A774" s="43"/>
      <c r="B774" s="43"/>
      <c r="C774" s="44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s="60" customFormat="1" ht="24" customHeight="1" x14ac:dyDescent="0.3">
      <c r="A775" s="43"/>
      <c r="B775" s="43"/>
      <c r="C775" s="44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s="60" customFormat="1" ht="24" customHeight="1" x14ac:dyDescent="0.3">
      <c r="A776" s="43"/>
      <c r="B776" s="43"/>
      <c r="C776" s="44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s="60" customFormat="1" ht="24" customHeight="1" x14ac:dyDescent="0.3">
      <c r="A777" s="43"/>
      <c r="B777" s="43"/>
      <c r="C777" s="44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s="60" customFormat="1" ht="24" customHeight="1" x14ac:dyDescent="0.3">
      <c r="A778" s="43"/>
      <c r="B778" s="43"/>
      <c r="C778" s="44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s="60" customFormat="1" ht="24" customHeight="1" x14ac:dyDescent="0.3">
      <c r="A779" s="43"/>
      <c r="B779" s="43"/>
      <c r="C779" s="44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s="60" customFormat="1" ht="24" customHeight="1" x14ac:dyDescent="0.3">
      <c r="A780" s="43"/>
      <c r="B780" s="43"/>
      <c r="C780" s="44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s="60" customFormat="1" ht="24" customHeight="1" x14ac:dyDescent="0.3">
      <c r="A781" s="43"/>
      <c r="B781" s="43"/>
      <c r="C781" s="44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s="60" customFormat="1" ht="24" customHeight="1" x14ac:dyDescent="0.3">
      <c r="A782" s="43"/>
      <c r="B782" s="43"/>
      <c r="C782" s="44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s="60" customFormat="1" ht="24" customHeight="1" x14ac:dyDescent="0.3">
      <c r="A783" s="43"/>
      <c r="B783" s="43"/>
      <c r="C783" s="44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s="60" customFormat="1" ht="24" customHeight="1" x14ac:dyDescent="0.3">
      <c r="A784" s="43"/>
      <c r="B784" s="43"/>
      <c r="C784" s="44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s="60" customFormat="1" ht="24" customHeight="1" x14ac:dyDescent="0.3">
      <c r="A785" s="43"/>
      <c r="B785" s="43"/>
      <c r="C785" s="44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s="60" customFormat="1" ht="24" customHeight="1" x14ac:dyDescent="0.3">
      <c r="A786" s="43"/>
      <c r="B786" s="43"/>
      <c r="C786" s="44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s="60" customFormat="1" ht="24" customHeight="1" x14ac:dyDescent="0.3">
      <c r="A787" s="43"/>
      <c r="B787" s="43"/>
      <c r="C787" s="44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s="60" customFormat="1" ht="24" customHeight="1" x14ac:dyDescent="0.3">
      <c r="A788" s="43"/>
      <c r="B788" s="43"/>
      <c r="C788" s="44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s="60" customFormat="1" ht="24" customHeight="1" x14ac:dyDescent="0.3">
      <c r="A789" s="43"/>
      <c r="B789" s="43"/>
      <c r="C789" s="44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s="60" customFormat="1" ht="24" customHeight="1" x14ac:dyDescent="0.3">
      <c r="A790" s="43"/>
      <c r="B790" s="43"/>
      <c r="C790" s="44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s="60" customFormat="1" ht="24" customHeight="1" x14ac:dyDescent="0.3">
      <c r="A791" s="43"/>
      <c r="B791" s="43"/>
      <c r="C791" s="44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s="60" customFormat="1" ht="24" customHeight="1" x14ac:dyDescent="0.3">
      <c r="A792" s="43"/>
      <c r="B792" s="43"/>
      <c r="C792" s="44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s="60" customFormat="1" ht="24" customHeight="1" x14ac:dyDescent="0.3">
      <c r="A793" s="43"/>
      <c r="B793" s="43"/>
      <c r="C793" s="44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s="60" customFormat="1" ht="24" customHeight="1" x14ac:dyDescent="0.3">
      <c r="A794" s="43"/>
      <c r="B794" s="43"/>
      <c r="C794" s="44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s="60" customFormat="1" ht="24" customHeight="1" x14ac:dyDescent="0.3">
      <c r="A795" s="43"/>
      <c r="B795" s="43"/>
      <c r="C795" s="44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s="60" customFormat="1" ht="24" customHeight="1" x14ac:dyDescent="0.3">
      <c r="A796" s="43"/>
      <c r="B796" s="43"/>
      <c r="C796" s="44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s="60" customFormat="1" ht="24" customHeight="1" x14ac:dyDescent="0.3">
      <c r="A797" s="43"/>
      <c r="B797" s="43"/>
      <c r="C797" s="44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s="60" customFormat="1" ht="24" customHeight="1" x14ac:dyDescent="0.3">
      <c r="A798" s="43"/>
      <c r="B798" s="43"/>
      <c r="C798" s="44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s="60" customFormat="1" ht="24" customHeight="1" x14ac:dyDescent="0.3">
      <c r="A799" s="43"/>
      <c r="B799" s="43"/>
      <c r="C799" s="44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s="60" customFormat="1" ht="24" customHeight="1" x14ac:dyDescent="0.3">
      <c r="A800" s="43"/>
      <c r="B800" s="43"/>
      <c r="C800" s="44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s="60" customFormat="1" ht="24" customHeight="1" x14ac:dyDescent="0.3">
      <c r="A801" s="43"/>
      <c r="B801" s="43"/>
      <c r="C801" s="44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s="60" customFormat="1" ht="24" customHeight="1" x14ac:dyDescent="0.3">
      <c r="A802" s="43"/>
      <c r="B802" s="43"/>
      <c r="C802" s="44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s="60" customFormat="1" ht="24" customHeight="1" x14ac:dyDescent="0.3">
      <c r="A803" s="43"/>
      <c r="B803" s="43"/>
      <c r="C803" s="44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s="60" customFormat="1" ht="24" customHeight="1" x14ac:dyDescent="0.3">
      <c r="A804" s="43"/>
      <c r="B804" s="43"/>
      <c r="C804" s="44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s="60" customFormat="1" ht="24" customHeight="1" x14ac:dyDescent="0.3">
      <c r="A805" s="43"/>
      <c r="B805" s="43"/>
      <c r="C805" s="44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s="60" customFormat="1" ht="24" customHeight="1" x14ac:dyDescent="0.3">
      <c r="A806" s="43"/>
      <c r="B806" s="43"/>
      <c r="C806" s="44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s="60" customFormat="1" ht="24" customHeight="1" x14ac:dyDescent="0.3">
      <c r="A807" s="43"/>
      <c r="B807" s="43"/>
      <c r="C807" s="44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s="60" customFormat="1" ht="24" customHeight="1" x14ac:dyDescent="0.3">
      <c r="A808" s="43"/>
      <c r="B808" s="43"/>
      <c r="C808" s="44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s="60" customFormat="1" ht="24" customHeight="1" x14ac:dyDescent="0.3">
      <c r="A809" s="43"/>
      <c r="B809" s="43"/>
      <c r="C809" s="44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s="60" customFormat="1" ht="24" customHeight="1" x14ac:dyDescent="0.3">
      <c r="A810" s="43"/>
      <c r="B810" s="43"/>
      <c r="C810" s="44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s="60" customFormat="1" ht="24" customHeight="1" x14ac:dyDescent="0.3">
      <c r="A811" s="43"/>
      <c r="B811" s="43"/>
      <c r="C811" s="44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s="60" customFormat="1" ht="24" customHeight="1" x14ac:dyDescent="0.3">
      <c r="A812" s="43"/>
      <c r="B812" s="43"/>
      <c r="C812" s="44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s="60" customFormat="1" ht="24" customHeight="1" x14ac:dyDescent="0.3">
      <c r="A813" s="43"/>
      <c r="B813" s="43"/>
      <c r="C813" s="44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s="60" customFormat="1" ht="24" customHeight="1" x14ac:dyDescent="0.3">
      <c r="A814" s="43"/>
      <c r="B814" s="43"/>
      <c r="C814" s="44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s="60" customFormat="1" ht="24" customHeight="1" x14ac:dyDescent="0.3">
      <c r="A815" s="43"/>
      <c r="B815" s="43"/>
      <c r="C815" s="44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s="60" customFormat="1" ht="24" customHeight="1" x14ac:dyDescent="0.3">
      <c r="A816" s="43"/>
      <c r="B816" s="43"/>
      <c r="C816" s="44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s="60" customFormat="1" ht="24" customHeight="1" x14ac:dyDescent="0.3">
      <c r="A817" s="43"/>
      <c r="B817" s="43"/>
      <c r="C817" s="44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s="60" customFormat="1" ht="24" customHeight="1" x14ac:dyDescent="0.3">
      <c r="A818" s="43"/>
      <c r="B818" s="43"/>
      <c r="C818" s="44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s="60" customFormat="1" ht="24" customHeight="1" x14ac:dyDescent="0.3">
      <c r="A819" s="43"/>
      <c r="B819" s="43"/>
      <c r="C819" s="44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s="60" customFormat="1" ht="24" customHeight="1" x14ac:dyDescent="0.3">
      <c r="A820" s="43"/>
      <c r="B820" s="43"/>
      <c r="C820" s="44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s="60" customFormat="1" ht="24" customHeight="1" x14ac:dyDescent="0.3">
      <c r="A821" s="43"/>
      <c r="B821" s="43"/>
      <c r="C821" s="44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s="60" customFormat="1" ht="24" customHeight="1" x14ac:dyDescent="0.3">
      <c r="A822" s="43"/>
      <c r="B822" s="43"/>
      <c r="C822" s="44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s="60" customFormat="1" ht="24" customHeight="1" x14ac:dyDescent="0.3">
      <c r="A823" s="43"/>
      <c r="B823" s="43"/>
      <c r="C823" s="44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s="60" customFormat="1" ht="24" customHeight="1" x14ac:dyDescent="0.3">
      <c r="A824" s="43"/>
      <c r="B824" s="43"/>
      <c r="C824" s="44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s="60" customFormat="1" ht="24" customHeight="1" x14ac:dyDescent="0.3">
      <c r="A825" s="43"/>
      <c r="B825" s="43"/>
      <c r="C825" s="44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s="60" customFormat="1" ht="24" customHeight="1" x14ac:dyDescent="0.3">
      <c r="A826" s="43"/>
      <c r="B826" s="43"/>
      <c r="C826" s="44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s="60" customFormat="1" ht="24" customHeight="1" x14ac:dyDescent="0.3">
      <c r="A827" s="43"/>
      <c r="B827" s="43"/>
      <c r="C827" s="44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s="60" customFormat="1" ht="24" customHeight="1" x14ac:dyDescent="0.3">
      <c r="A828" s="43"/>
      <c r="B828" s="43"/>
      <c r="C828" s="44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s="60" customFormat="1" ht="24" customHeight="1" x14ac:dyDescent="0.3">
      <c r="A829" s="43"/>
      <c r="B829" s="43"/>
      <c r="C829" s="44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s="60" customFormat="1" ht="24" customHeight="1" x14ac:dyDescent="0.3">
      <c r="A830" s="43"/>
      <c r="B830" s="43"/>
      <c r="C830" s="44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s="60" customFormat="1" ht="24" customHeight="1" x14ac:dyDescent="0.3">
      <c r="A831" s="43"/>
      <c r="B831" s="43"/>
      <c r="C831" s="44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s="60" customFormat="1" ht="24" customHeight="1" x14ac:dyDescent="0.3">
      <c r="A832" s="43"/>
      <c r="B832" s="43"/>
      <c r="C832" s="44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s="60" customFormat="1" ht="24" customHeight="1" x14ac:dyDescent="0.3">
      <c r="A833" s="43"/>
      <c r="B833" s="43"/>
      <c r="C833" s="44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s="60" customFormat="1" ht="24" customHeight="1" x14ac:dyDescent="0.3">
      <c r="A834" s="43"/>
      <c r="B834" s="43"/>
      <c r="C834" s="44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s="60" customFormat="1" ht="24" customHeight="1" x14ac:dyDescent="0.3">
      <c r="A835" s="43"/>
      <c r="B835" s="43"/>
      <c r="C835" s="44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s="60" customFormat="1" ht="24" customHeight="1" x14ac:dyDescent="0.3">
      <c r="A836" s="43"/>
      <c r="B836" s="43"/>
      <c r="C836" s="44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s="60" customFormat="1" ht="24" customHeight="1" x14ac:dyDescent="0.3">
      <c r="A837" s="43"/>
      <c r="B837" s="43"/>
      <c r="C837" s="44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s="60" customFormat="1" ht="24" customHeight="1" x14ac:dyDescent="0.3">
      <c r="A838" s="43"/>
      <c r="B838" s="43"/>
      <c r="C838" s="44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s="60" customFormat="1" ht="24" customHeight="1" x14ac:dyDescent="0.3">
      <c r="A839" s="43"/>
      <c r="B839" s="43"/>
      <c r="C839" s="44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s="60" customFormat="1" ht="24" customHeight="1" x14ac:dyDescent="0.3">
      <c r="A840" s="43"/>
      <c r="B840" s="43"/>
      <c r="C840" s="44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s="60" customFormat="1" ht="24" customHeight="1" x14ac:dyDescent="0.3">
      <c r="A841" s="43"/>
      <c r="B841" s="43"/>
      <c r="C841" s="44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s="60" customFormat="1" ht="24" customHeight="1" x14ac:dyDescent="0.3">
      <c r="A842" s="43"/>
      <c r="B842" s="43"/>
      <c r="C842" s="44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s="60" customFormat="1" ht="24" customHeight="1" x14ac:dyDescent="0.3">
      <c r="A843" s="43"/>
      <c r="B843" s="43"/>
      <c r="C843" s="44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s="60" customFormat="1" ht="24" customHeight="1" x14ac:dyDescent="0.3">
      <c r="A844" s="43"/>
      <c r="B844" s="43"/>
      <c r="C844" s="44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s="60" customFormat="1" ht="24" customHeight="1" x14ac:dyDescent="0.3">
      <c r="A845" s="43"/>
      <c r="B845" s="43"/>
      <c r="C845" s="44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s="60" customFormat="1" ht="24" customHeight="1" x14ac:dyDescent="0.3">
      <c r="A846" s="43"/>
      <c r="B846" s="43"/>
      <c r="C846" s="44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s="60" customFormat="1" ht="24" customHeight="1" x14ac:dyDescent="0.3">
      <c r="A847" s="43"/>
      <c r="B847" s="43"/>
      <c r="C847" s="44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s="60" customFormat="1" ht="24" customHeight="1" x14ac:dyDescent="0.3">
      <c r="A848" s="43"/>
      <c r="B848" s="43"/>
      <c r="C848" s="44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s="60" customFormat="1" ht="24" customHeight="1" x14ac:dyDescent="0.3">
      <c r="A849" s="43"/>
      <c r="B849" s="43"/>
      <c r="C849" s="44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s="60" customFormat="1" ht="24" customHeight="1" x14ac:dyDescent="0.3">
      <c r="A850" s="43"/>
      <c r="B850" s="43"/>
      <c r="C850" s="44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s="60" customFormat="1" ht="24" customHeight="1" x14ac:dyDescent="0.3">
      <c r="A851" s="43"/>
      <c r="B851" s="43"/>
      <c r="C851" s="44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s="60" customFormat="1" ht="24" customHeight="1" x14ac:dyDescent="0.3">
      <c r="A852" s="43"/>
      <c r="B852" s="43"/>
      <c r="C852" s="44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s="60" customFormat="1" ht="24" customHeight="1" x14ac:dyDescent="0.3">
      <c r="A853" s="43"/>
      <c r="B853" s="43"/>
      <c r="C853" s="44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s="60" customFormat="1" ht="24" customHeight="1" x14ac:dyDescent="0.3">
      <c r="A854" s="43"/>
      <c r="B854" s="43"/>
      <c r="C854" s="44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s="60" customFormat="1" ht="24" customHeight="1" x14ac:dyDescent="0.3">
      <c r="A855" s="43"/>
      <c r="B855" s="43"/>
      <c r="C855" s="44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s="60" customFormat="1" ht="24" customHeight="1" x14ac:dyDescent="0.3">
      <c r="A856" s="43"/>
      <c r="B856" s="43"/>
      <c r="C856" s="44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s="60" customFormat="1" ht="24" customHeight="1" x14ac:dyDescent="0.3">
      <c r="A857" s="43"/>
      <c r="B857" s="43"/>
      <c r="C857" s="44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s="60" customFormat="1" ht="24" customHeight="1" x14ac:dyDescent="0.3">
      <c r="A858" s="43"/>
      <c r="B858" s="43"/>
      <c r="C858" s="44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s="60" customFormat="1" ht="24" customHeight="1" x14ac:dyDescent="0.3">
      <c r="A859" s="43"/>
      <c r="B859" s="43"/>
      <c r="C859" s="44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s="60" customFormat="1" ht="24" customHeight="1" x14ac:dyDescent="0.3">
      <c r="A860" s="43"/>
      <c r="B860" s="43"/>
      <c r="C860" s="44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s="60" customFormat="1" ht="24" customHeight="1" x14ac:dyDescent="0.3">
      <c r="A861" s="43"/>
      <c r="B861" s="43"/>
      <c r="C861" s="44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s="60" customFormat="1" ht="24" customHeight="1" x14ac:dyDescent="0.3">
      <c r="A862" s="43"/>
      <c r="B862" s="43"/>
      <c r="C862" s="44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s="60" customFormat="1" ht="24" customHeight="1" x14ac:dyDescent="0.3">
      <c r="A863" s="43"/>
      <c r="B863" s="43"/>
      <c r="C863" s="44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s="60" customFormat="1" ht="24" customHeight="1" x14ac:dyDescent="0.3">
      <c r="A864" s="43"/>
      <c r="B864" s="43"/>
      <c r="C864" s="44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s="60" customFormat="1" ht="24" customHeight="1" x14ac:dyDescent="0.3">
      <c r="A865" s="43"/>
      <c r="B865" s="43"/>
      <c r="C865" s="44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s="60" customFormat="1" ht="24" customHeight="1" x14ac:dyDescent="0.3">
      <c r="A866" s="43"/>
      <c r="B866" s="43"/>
      <c r="C866" s="44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s="60" customFormat="1" ht="24" customHeight="1" x14ac:dyDescent="0.3">
      <c r="A867" s="43"/>
      <c r="B867" s="43"/>
      <c r="C867" s="44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s="60" customFormat="1" ht="24" customHeight="1" x14ac:dyDescent="0.3">
      <c r="A868" s="43"/>
      <c r="B868" s="43"/>
      <c r="C868" s="44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s="60" customFormat="1" ht="24" customHeight="1" x14ac:dyDescent="0.3">
      <c r="A869" s="43"/>
      <c r="B869" s="43"/>
      <c r="C869" s="44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s="60" customFormat="1" ht="24" customHeight="1" x14ac:dyDescent="0.3">
      <c r="A870" s="43"/>
      <c r="B870" s="43"/>
      <c r="C870" s="44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s="60" customFormat="1" ht="24" customHeight="1" x14ac:dyDescent="0.3">
      <c r="A871" s="43"/>
      <c r="B871" s="43"/>
      <c r="C871" s="44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s="60" customFormat="1" ht="24" customHeight="1" x14ac:dyDescent="0.3">
      <c r="A872" s="43"/>
      <c r="B872" s="43"/>
      <c r="C872" s="44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s="60" customFormat="1" ht="24" customHeight="1" x14ac:dyDescent="0.3">
      <c r="A873" s="43"/>
      <c r="B873" s="43"/>
      <c r="C873" s="44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s="60" customFormat="1" ht="24" customHeight="1" x14ac:dyDescent="0.3">
      <c r="A874" s="43"/>
      <c r="B874" s="43"/>
      <c r="C874" s="44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s="60" customFormat="1" ht="24" customHeight="1" x14ac:dyDescent="0.3">
      <c r="A875" s="43"/>
      <c r="B875" s="43"/>
      <c r="C875" s="44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s="60" customFormat="1" ht="24" customHeight="1" x14ac:dyDescent="0.3">
      <c r="A876" s="43"/>
      <c r="B876" s="43"/>
      <c r="C876" s="44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s="60" customFormat="1" ht="24" customHeight="1" x14ac:dyDescent="0.3">
      <c r="A877" s="43"/>
      <c r="B877" s="43"/>
      <c r="C877" s="44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s="60" customFormat="1" ht="24" customHeight="1" x14ac:dyDescent="0.3">
      <c r="A878" s="43"/>
      <c r="B878" s="43"/>
      <c r="C878" s="44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s="60" customFormat="1" ht="24" customHeight="1" x14ac:dyDescent="0.3">
      <c r="A879" s="43"/>
      <c r="B879" s="43"/>
      <c r="C879" s="44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s="60" customFormat="1" ht="24" customHeight="1" x14ac:dyDescent="0.3">
      <c r="A880" s="43"/>
      <c r="B880" s="43"/>
      <c r="C880" s="44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s="60" customFormat="1" ht="24" customHeight="1" x14ac:dyDescent="0.3">
      <c r="A881" s="43"/>
      <c r="B881" s="43"/>
      <c r="C881" s="44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s="60" customFormat="1" ht="24" customHeight="1" x14ac:dyDescent="0.3">
      <c r="A882" s="43"/>
      <c r="B882" s="43"/>
      <c r="C882" s="44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s="60" customFormat="1" ht="24" customHeight="1" x14ac:dyDescent="0.3">
      <c r="A883" s="43"/>
      <c r="B883" s="43"/>
      <c r="C883" s="44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s="60" customFormat="1" ht="24" customHeight="1" x14ac:dyDescent="0.3">
      <c r="A884" s="43"/>
      <c r="B884" s="43"/>
      <c r="C884" s="44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s="60" customFormat="1" ht="24" customHeight="1" x14ac:dyDescent="0.3">
      <c r="A885" s="43"/>
      <c r="B885" s="43"/>
      <c r="C885" s="44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s="60" customFormat="1" ht="24" customHeight="1" x14ac:dyDescent="0.3">
      <c r="A886" s="43"/>
      <c r="B886" s="43"/>
      <c r="C886" s="44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s="60" customFormat="1" ht="24" customHeight="1" x14ac:dyDescent="0.3">
      <c r="A887" s="43"/>
      <c r="B887" s="43"/>
      <c r="C887" s="44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s="60" customFormat="1" ht="24" customHeight="1" x14ac:dyDescent="0.3">
      <c r="A888" s="43"/>
      <c r="B888" s="43"/>
      <c r="C888" s="44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s="60" customFormat="1" ht="24" customHeight="1" x14ac:dyDescent="0.3">
      <c r="A889" s="43"/>
      <c r="B889" s="43"/>
      <c r="C889" s="44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s="60" customFormat="1" ht="24" customHeight="1" x14ac:dyDescent="0.3">
      <c r="A890" s="43"/>
      <c r="B890" s="43"/>
      <c r="C890" s="44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s="60" customFormat="1" ht="24" customHeight="1" x14ac:dyDescent="0.3">
      <c r="A891" s="43"/>
      <c r="B891" s="43"/>
      <c r="C891" s="44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s="60" customFormat="1" ht="24" customHeight="1" x14ac:dyDescent="0.3">
      <c r="A892" s="43"/>
      <c r="B892" s="43"/>
      <c r="C892" s="44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s="60" customFormat="1" ht="24" customHeight="1" x14ac:dyDescent="0.3">
      <c r="A893" s="43"/>
      <c r="B893" s="43"/>
      <c r="C893" s="44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s="60" customFormat="1" ht="24" customHeight="1" x14ac:dyDescent="0.3">
      <c r="A894" s="43"/>
      <c r="B894" s="43"/>
      <c r="C894" s="44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s="60" customFormat="1" ht="24" customHeight="1" x14ac:dyDescent="0.3">
      <c r="A895" s="43"/>
      <c r="B895" s="43"/>
      <c r="C895" s="44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s="60" customFormat="1" ht="24" customHeight="1" x14ac:dyDescent="0.3">
      <c r="A896" s="43"/>
      <c r="B896" s="43"/>
      <c r="C896" s="44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s="60" customFormat="1" ht="24" customHeight="1" x14ac:dyDescent="0.3">
      <c r="A897" s="43"/>
      <c r="B897" s="43"/>
      <c r="C897" s="44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s="60" customFormat="1" ht="24" customHeight="1" x14ac:dyDescent="0.3">
      <c r="A898" s="43"/>
      <c r="B898" s="43"/>
      <c r="C898" s="44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s="60" customFormat="1" ht="24" customHeight="1" x14ac:dyDescent="0.3">
      <c r="A899" s="43"/>
      <c r="B899" s="43"/>
      <c r="C899" s="44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s="60" customFormat="1" ht="24" customHeight="1" x14ac:dyDescent="0.3">
      <c r="A900" s="43"/>
      <c r="B900" s="43"/>
      <c r="C900" s="44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s="60" customFormat="1" ht="24" customHeight="1" x14ac:dyDescent="0.3">
      <c r="A901" s="43"/>
      <c r="B901" s="43"/>
      <c r="C901" s="44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s="60" customFormat="1" ht="24" customHeight="1" x14ac:dyDescent="0.3">
      <c r="A902" s="43"/>
      <c r="B902" s="43"/>
      <c r="C902" s="44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s="60" customFormat="1" ht="24" customHeight="1" x14ac:dyDescent="0.3">
      <c r="A903" s="43"/>
      <c r="B903" s="43"/>
      <c r="C903" s="44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s="60" customFormat="1" ht="24" customHeight="1" x14ac:dyDescent="0.3">
      <c r="A904" s="43"/>
      <c r="B904" s="43"/>
      <c r="C904" s="44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s="60" customFormat="1" ht="24" customHeight="1" x14ac:dyDescent="0.3">
      <c r="A905" s="43"/>
      <c r="B905" s="43"/>
      <c r="C905" s="44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s="60" customFormat="1" ht="24" customHeight="1" x14ac:dyDescent="0.3">
      <c r="A906" s="43"/>
      <c r="B906" s="43"/>
      <c r="C906" s="44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s="60" customFormat="1" ht="24" customHeight="1" x14ac:dyDescent="0.3">
      <c r="A907" s="43"/>
      <c r="B907" s="43"/>
      <c r="C907" s="44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s="60" customFormat="1" ht="24" customHeight="1" x14ac:dyDescent="0.3">
      <c r="A908" s="43"/>
      <c r="B908" s="43"/>
      <c r="C908" s="44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s="60" customFormat="1" ht="24" customHeight="1" x14ac:dyDescent="0.3">
      <c r="A909" s="43"/>
      <c r="B909" s="43"/>
      <c r="C909" s="44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s="60" customFormat="1" ht="24" customHeight="1" x14ac:dyDescent="0.3">
      <c r="A910" s="43"/>
      <c r="B910" s="43"/>
      <c r="C910" s="44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s="60" customFormat="1" ht="24" customHeight="1" x14ac:dyDescent="0.3">
      <c r="A911" s="43"/>
      <c r="B911" s="43"/>
      <c r="C911" s="44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s="60" customFormat="1" ht="24" customHeight="1" x14ac:dyDescent="0.3">
      <c r="A912" s="43"/>
      <c r="B912" s="43"/>
      <c r="C912" s="44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s="60" customFormat="1" ht="24" customHeight="1" x14ac:dyDescent="0.3">
      <c r="A913" s="43"/>
      <c r="B913" s="43"/>
      <c r="C913" s="44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s="60" customFormat="1" ht="24" customHeight="1" x14ac:dyDescent="0.3">
      <c r="A914" s="43"/>
      <c r="B914" s="43"/>
      <c r="C914" s="44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s="60" customFormat="1" ht="24" customHeight="1" x14ac:dyDescent="0.3">
      <c r="A915" s="43"/>
      <c r="B915" s="43"/>
      <c r="C915" s="44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s="60" customFormat="1" ht="24" customHeight="1" x14ac:dyDescent="0.3">
      <c r="A916" s="43"/>
      <c r="B916" s="43"/>
      <c r="C916" s="44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s="60" customFormat="1" ht="24" customHeight="1" x14ac:dyDescent="0.3">
      <c r="A917" s="43"/>
      <c r="B917" s="43"/>
      <c r="C917" s="44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s="60" customFormat="1" ht="24" customHeight="1" x14ac:dyDescent="0.3">
      <c r="A918" s="43"/>
      <c r="B918" s="43"/>
      <c r="C918" s="44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s="60" customFormat="1" ht="24" customHeight="1" x14ac:dyDescent="0.3">
      <c r="A919" s="43"/>
      <c r="B919" s="43"/>
      <c r="C919" s="44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s="60" customFormat="1" ht="24" customHeight="1" x14ac:dyDescent="0.3">
      <c r="A920" s="43"/>
      <c r="B920" s="43"/>
      <c r="C920" s="44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s="60" customFormat="1" ht="24" customHeight="1" x14ac:dyDescent="0.3">
      <c r="A921" s="43"/>
      <c r="B921" s="43"/>
      <c r="C921" s="44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s="60" customFormat="1" ht="24" customHeight="1" x14ac:dyDescent="0.3">
      <c r="A922" s="43"/>
      <c r="B922" s="43"/>
      <c r="C922" s="44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s="60" customFormat="1" ht="24" customHeight="1" x14ac:dyDescent="0.3">
      <c r="A923" s="43"/>
      <c r="B923" s="43"/>
      <c r="C923" s="44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s="60" customFormat="1" ht="24" customHeight="1" x14ac:dyDescent="0.3">
      <c r="A924" s="43"/>
      <c r="B924" s="43"/>
      <c r="C924" s="44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s="60" customFormat="1" ht="24" customHeight="1" x14ac:dyDescent="0.3">
      <c r="A925" s="43"/>
      <c r="B925" s="43"/>
      <c r="C925" s="44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s="60" customFormat="1" ht="24" customHeight="1" x14ac:dyDescent="0.3">
      <c r="A926" s="43"/>
      <c r="B926" s="43"/>
      <c r="C926" s="44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s="60" customFormat="1" ht="24" customHeight="1" x14ac:dyDescent="0.3">
      <c r="A927" s="43"/>
      <c r="B927" s="43"/>
      <c r="C927" s="44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s="60" customFormat="1" ht="24" customHeight="1" x14ac:dyDescent="0.3">
      <c r="A928" s="43"/>
      <c r="B928" s="43"/>
      <c r="C928" s="44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s="60" customFormat="1" ht="24" customHeight="1" x14ac:dyDescent="0.3">
      <c r="A929" s="43"/>
      <c r="B929" s="43"/>
      <c r="C929" s="44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s="60" customFormat="1" ht="24" customHeight="1" x14ac:dyDescent="0.3">
      <c r="A930" s="43"/>
      <c r="B930" s="43"/>
      <c r="C930" s="44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s="60" customFormat="1" ht="24" customHeight="1" x14ac:dyDescent="0.3">
      <c r="A931" s="43"/>
      <c r="B931" s="43"/>
      <c r="C931" s="44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s="60" customFormat="1" ht="24" customHeight="1" x14ac:dyDescent="0.3">
      <c r="A932" s="43"/>
      <c r="B932" s="43"/>
      <c r="C932" s="44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s="60" customFormat="1" ht="24" customHeight="1" x14ac:dyDescent="0.3">
      <c r="A933" s="43"/>
      <c r="B933" s="43"/>
      <c r="C933" s="44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s="60" customFormat="1" ht="24" customHeight="1" x14ac:dyDescent="0.3">
      <c r="A934" s="43"/>
      <c r="B934" s="43"/>
      <c r="C934" s="44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s="60" customFormat="1" ht="24" customHeight="1" x14ac:dyDescent="0.3">
      <c r="A935" s="43"/>
      <c r="B935" s="43"/>
      <c r="C935" s="44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s="60" customFormat="1" ht="24" customHeight="1" x14ac:dyDescent="0.3">
      <c r="A936" s="43"/>
      <c r="B936" s="43"/>
      <c r="C936" s="44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s="60" customFormat="1" ht="24" customHeight="1" x14ac:dyDescent="0.3">
      <c r="A937" s="43"/>
      <c r="B937" s="43"/>
      <c r="C937" s="44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s="60" customFormat="1" ht="24" customHeight="1" x14ac:dyDescent="0.3">
      <c r="A938" s="43"/>
      <c r="B938" s="43"/>
      <c r="C938" s="44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s="60" customFormat="1" ht="24" customHeight="1" x14ac:dyDescent="0.3">
      <c r="A939" s="43"/>
      <c r="B939" s="43"/>
      <c r="C939" s="44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s="60" customFormat="1" ht="24" customHeight="1" x14ac:dyDescent="0.3">
      <c r="A940" s="43"/>
      <c r="B940" s="43"/>
      <c r="C940" s="44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s="60" customFormat="1" ht="24" customHeight="1" x14ac:dyDescent="0.3">
      <c r="A941" s="43"/>
      <c r="B941" s="43"/>
      <c r="C941" s="44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s="60" customFormat="1" ht="24" customHeight="1" x14ac:dyDescent="0.3">
      <c r="A942" s="43"/>
      <c r="B942" s="43"/>
      <c r="C942" s="44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s="60" customFormat="1" ht="24" customHeight="1" x14ac:dyDescent="0.3">
      <c r="A943" s="43"/>
      <c r="B943" s="43"/>
      <c r="C943" s="44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s="60" customFormat="1" ht="24" customHeight="1" x14ac:dyDescent="0.3">
      <c r="A944" s="43"/>
      <c r="B944" s="43"/>
      <c r="C944" s="44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s="60" customFormat="1" ht="24" customHeight="1" x14ac:dyDescent="0.3">
      <c r="A945" s="43"/>
      <c r="B945" s="43"/>
      <c r="C945" s="44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s="60" customFormat="1" ht="24" customHeight="1" x14ac:dyDescent="0.3">
      <c r="A946" s="43"/>
      <c r="B946" s="43"/>
      <c r="C946" s="44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s="60" customFormat="1" ht="24" customHeight="1" x14ac:dyDescent="0.3">
      <c r="A947" s="43"/>
      <c r="B947" s="43"/>
      <c r="C947" s="44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s="60" customFormat="1" ht="24" customHeight="1" x14ac:dyDescent="0.3">
      <c r="A948" s="43"/>
      <c r="B948" s="43"/>
      <c r="C948" s="44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s="60" customFormat="1" ht="24" customHeight="1" x14ac:dyDescent="0.3">
      <c r="A949" s="43"/>
      <c r="B949" s="43"/>
      <c r="C949" s="44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s="60" customFormat="1" ht="24" customHeight="1" x14ac:dyDescent="0.3">
      <c r="A950" s="43"/>
      <c r="B950" s="43"/>
      <c r="C950" s="44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s="60" customFormat="1" ht="24" customHeight="1" x14ac:dyDescent="0.3">
      <c r="A951" s="43"/>
      <c r="B951" s="43"/>
      <c r="C951" s="44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s="60" customFormat="1" ht="24" customHeight="1" x14ac:dyDescent="0.3">
      <c r="A952" s="43"/>
      <c r="B952" s="43"/>
      <c r="C952" s="44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s="60" customFormat="1" ht="24" customHeight="1" x14ac:dyDescent="0.3">
      <c r="A953" s="43"/>
      <c r="B953" s="43"/>
      <c r="C953" s="44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s="60" customFormat="1" ht="24" customHeight="1" x14ac:dyDescent="0.3">
      <c r="A954" s="43"/>
      <c r="B954" s="43"/>
      <c r="C954" s="44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s="60" customFormat="1" ht="24" customHeight="1" x14ac:dyDescent="0.3">
      <c r="A955" s="43"/>
      <c r="B955" s="43"/>
      <c r="C955" s="44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s="60" customFormat="1" ht="24" customHeight="1" x14ac:dyDescent="0.3">
      <c r="A956" s="43"/>
      <c r="B956" s="43"/>
      <c r="C956" s="44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s="60" customFormat="1" ht="24" customHeight="1" x14ac:dyDescent="0.3">
      <c r="A957" s="43"/>
      <c r="B957" s="43"/>
      <c r="C957" s="44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s="60" customFormat="1" ht="24" customHeight="1" x14ac:dyDescent="0.3">
      <c r="A958" s="43"/>
      <c r="B958" s="43"/>
      <c r="C958" s="44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s="60" customFormat="1" ht="24" customHeight="1" x14ac:dyDescent="0.3">
      <c r="A959" s="43"/>
      <c r="B959" s="43"/>
      <c r="C959" s="44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s="60" customFormat="1" ht="24" customHeight="1" x14ac:dyDescent="0.3">
      <c r="A960" s="43"/>
      <c r="B960" s="43"/>
      <c r="C960" s="44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s="60" customFormat="1" ht="24" customHeight="1" x14ac:dyDescent="0.3">
      <c r="A961" s="43"/>
      <c r="B961" s="43"/>
      <c r="C961" s="44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s="60" customFormat="1" ht="24" customHeight="1" x14ac:dyDescent="0.3">
      <c r="A962" s="43"/>
      <c r="B962" s="43"/>
      <c r="C962" s="44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s="60" customFormat="1" ht="24" customHeight="1" x14ac:dyDescent="0.3">
      <c r="A963" s="43"/>
      <c r="B963" s="43"/>
      <c r="C963" s="44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s="60" customFormat="1" ht="24" customHeight="1" x14ac:dyDescent="0.3">
      <c r="A964" s="43"/>
      <c r="B964" s="43"/>
      <c r="C964" s="44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s="60" customFormat="1" ht="24" customHeight="1" x14ac:dyDescent="0.3">
      <c r="A965" s="43"/>
      <c r="B965" s="43"/>
      <c r="C965" s="44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s="60" customFormat="1" ht="24" customHeight="1" x14ac:dyDescent="0.3">
      <c r="A966" s="43"/>
      <c r="B966" s="43"/>
      <c r="C966" s="44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s="60" customFormat="1" ht="24" customHeight="1" x14ac:dyDescent="0.3">
      <c r="A967" s="43"/>
      <c r="B967" s="43"/>
      <c r="C967" s="44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s="60" customFormat="1" ht="24" customHeight="1" x14ac:dyDescent="0.3">
      <c r="A968" s="43"/>
      <c r="B968" s="43"/>
      <c r="C968" s="44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s="60" customFormat="1" ht="24" customHeight="1" x14ac:dyDescent="0.3">
      <c r="A969" s="43"/>
      <c r="B969" s="43"/>
      <c r="C969" s="44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s="60" customFormat="1" ht="24" customHeight="1" x14ac:dyDescent="0.3">
      <c r="A970" s="43"/>
      <c r="B970" s="43"/>
      <c r="C970" s="44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s="60" customFormat="1" ht="24" customHeight="1" x14ac:dyDescent="0.3">
      <c r="A971" s="43"/>
      <c r="B971" s="43"/>
      <c r="C971" s="44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s="60" customFormat="1" ht="24" customHeight="1" x14ac:dyDescent="0.3">
      <c r="A972" s="43"/>
      <c r="B972" s="43"/>
      <c r="C972" s="44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s="60" customFormat="1" ht="24" customHeight="1" x14ac:dyDescent="0.3">
      <c r="A973" s="43"/>
      <c r="B973" s="43"/>
      <c r="C973" s="44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s="60" customFormat="1" ht="24" customHeight="1" x14ac:dyDescent="0.3">
      <c r="A974" s="43"/>
      <c r="B974" s="43"/>
      <c r="C974" s="44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s="60" customFormat="1" ht="24" customHeight="1" x14ac:dyDescent="0.3">
      <c r="A975" s="43"/>
      <c r="B975" s="43"/>
      <c r="C975" s="44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s="60" customFormat="1" ht="24" customHeight="1" x14ac:dyDescent="0.3">
      <c r="A976" s="43"/>
      <c r="B976" s="43"/>
      <c r="C976" s="44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s="60" customFormat="1" ht="24" customHeight="1" x14ac:dyDescent="0.3">
      <c r="A977" s="43"/>
      <c r="B977" s="43"/>
      <c r="C977" s="44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s="60" customFormat="1" ht="24" customHeight="1" x14ac:dyDescent="0.3">
      <c r="A978" s="43"/>
      <c r="B978" s="43"/>
      <c r="C978" s="44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s="60" customFormat="1" ht="24" customHeight="1" x14ac:dyDescent="0.3">
      <c r="A979" s="43"/>
      <c r="B979" s="43"/>
      <c r="C979" s="44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s="60" customFormat="1" ht="24" customHeight="1" x14ac:dyDescent="0.3">
      <c r="A980" s="43"/>
      <c r="B980" s="43"/>
      <c r="C980" s="44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s="60" customFormat="1" ht="24" customHeight="1" x14ac:dyDescent="0.3">
      <c r="A981" s="43"/>
      <c r="B981" s="43"/>
      <c r="C981" s="44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s="60" customFormat="1" ht="24" customHeight="1" x14ac:dyDescent="0.3">
      <c r="A982" s="43"/>
      <c r="B982" s="43"/>
      <c r="C982" s="44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s="60" customFormat="1" ht="24" customHeight="1" x14ac:dyDescent="0.3">
      <c r="A983" s="43"/>
      <c r="B983" s="43"/>
      <c r="C983" s="44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s="60" customFormat="1" ht="24" customHeight="1" x14ac:dyDescent="0.3">
      <c r="A984" s="43"/>
      <c r="B984" s="43"/>
      <c r="C984" s="44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s="60" customFormat="1" ht="24" customHeight="1" x14ac:dyDescent="0.3">
      <c r="A985" s="43"/>
      <c r="B985" s="43"/>
      <c r="C985" s="44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s="60" customFormat="1" ht="24" customHeight="1" x14ac:dyDescent="0.3">
      <c r="A986" s="43"/>
      <c r="B986" s="43"/>
      <c r="C986" s="44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s="60" customFormat="1" ht="24" customHeight="1" x14ac:dyDescent="0.3">
      <c r="A987" s="43"/>
      <c r="B987" s="43"/>
      <c r="C987" s="44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s="60" customFormat="1" ht="24" customHeight="1" x14ac:dyDescent="0.3">
      <c r="A988" s="43"/>
      <c r="B988" s="43"/>
      <c r="C988" s="44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s="60" customFormat="1" ht="24" customHeight="1" x14ac:dyDescent="0.3">
      <c r="A989" s="43"/>
      <c r="B989" s="43"/>
      <c r="C989" s="44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s="60" customFormat="1" ht="24" customHeight="1" x14ac:dyDescent="0.3">
      <c r="A990" s="43"/>
      <c r="B990" s="43"/>
      <c r="C990" s="44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s="60" customFormat="1" ht="24" customHeight="1" x14ac:dyDescent="0.3">
      <c r="A991" s="43"/>
      <c r="B991" s="43"/>
      <c r="C991" s="44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s="60" customFormat="1" ht="24" customHeight="1" x14ac:dyDescent="0.3">
      <c r="A992" s="43"/>
      <c r="B992" s="43"/>
      <c r="C992" s="44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s="60" customFormat="1" ht="24" customHeight="1" x14ac:dyDescent="0.3">
      <c r="A993" s="43"/>
      <c r="B993" s="43"/>
      <c r="C993" s="44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s="60" customFormat="1" ht="24" customHeight="1" x14ac:dyDescent="0.3">
      <c r="A994" s="43"/>
      <c r="B994" s="43"/>
      <c r="C994" s="44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s="60" customFormat="1" ht="24" customHeight="1" x14ac:dyDescent="0.3">
      <c r="A995" s="43"/>
      <c r="B995" s="43"/>
      <c r="C995" s="44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s="60" customFormat="1" ht="24" customHeight="1" x14ac:dyDescent="0.3">
      <c r="A996" s="43"/>
      <c r="B996" s="43"/>
      <c r="C996" s="44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s="60" customFormat="1" ht="24" customHeight="1" x14ac:dyDescent="0.3">
      <c r="A997" s="43"/>
      <c r="B997" s="43"/>
      <c r="C997" s="44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s="60" customFormat="1" ht="24" customHeight="1" x14ac:dyDescent="0.3">
      <c r="A998" s="43"/>
      <c r="B998" s="43"/>
      <c r="C998" s="44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s="60" customFormat="1" ht="24" customHeight="1" x14ac:dyDescent="0.3">
      <c r="A999" s="43"/>
      <c r="B999" s="43"/>
      <c r="C999" s="44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s="60" customFormat="1" ht="24" customHeight="1" x14ac:dyDescent="0.3">
      <c r="A1000" s="43"/>
      <c r="B1000" s="43"/>
      <c r="C1000" s="44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 spans="1:26" s="60" customFormat="1" ht="24" customHeight="1" x14ac:dyDescent="0.3">
      <c r="A1001" s="43"/>
      <c r="B1001" s="43"/>
      <c r="C1001" s="44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 spans="1:26" s="60" customFormat="1" ht="24" customHeight="1" x14ac:dyDescent="0.3">
      <c r="A1002" s="43"/>
      <c r="B1002" s="43"/>
      <c r="C1002" s="44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 spans="1:26" s="60" customFormat="1" ht="24" customHeight="1" x14ac:dyDescent="0.3">
      <c r="A1003" s="43"/>
      <c r="B1003" s="43"/>
      <c r="C1003" s="44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  <row r="1004" spans="1:26" s="60" customFormat="1" ht="24" customHeight="1" x14ac:dyDescent="0.3">
      <c r="A1004" s="43"/>
      <c r="B1004" s="43"/>
      <c r="C1004" s="44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</row>
    <row r="1005" spans="1:26" s="60" customFormat="1" ht="24" customHeight="1" x14ac:dyDescent="0.3">
      <c r="A1005" s="43"/>
      <c r="B1005" s="43"/>
      <c r="C1005" s="44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</row>
    <row r="1006" spans="1:26" s="60" customFormat="1" ht="24" customHeight="1" x14ac:dyDescent="0.3">
      <c r="A1006" s="43"/>
      <c r="B1006" s="43"/>
      <c r="C1006" s="44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</row>
    <row r="1007" spans="1:26" s="60" customFormat="1" ht="24" customHeight="1" x14ac:dyDescent="0.3">
      <c r="A1007" s="43"/>
      <c r="B1007" s="43"/>
      <c r="C1007" s="44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</row>
    <row r="1008" spans="1:26" s="60" customFormat="1" ht="24" customHeight="1" x14ac:dyDescent="0.3">
      <c r="A1008" s="43"/>
      <c r="B1008" s="43"/>
      <c r="C1008" s="44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</row>
    <row r="1009" spans="1:26" s="60" customFormat="1" ht="24" customHeight="1" x14ac:dyDescent="0.3">
      <c r="A1009" s="43"/>
      <c r="B1009" s="43"/>
      <c r="C1009" s="44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</row>
    <row r="1010" spans="1:26" s="60" customFormat="1" ht="24" customHeight="1" x14ac:dyDescent="0.3">
      <c r="A1010" s="43"/>
      <c r="B1010" s="43"/>
      <c r="C1010" s="44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</row>
    <row r="1011" spans="1:26" s="60" customFormat="1" ht="24" customHeight="1" x14ac:dyDescent="0.3">
      <c r="A1011" s="43"/>
      <c r="B1011" s="43"/>
      <c r="C1011" s="44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</row>
    <row r="1012" spans="1:26" s="60" customFormat="1" ht="24" customHeight="1" x14ac:dyDescent="0.3">
      <c r="A1012" s="43"/>
      <c r="B1012" s="43"/>
      <c r="C1012" s="44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</row>
    <row r="1013" spans="1:26" s="60" customFormat="1" ht="24" customHeight="1" x14ac:dyDescent="0.3">
      <c r="A1013" s="43"/>
      <c r="B1013" s="43"/>
      <c r="C1013" s="44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</row>
    <row r="1014" spans="1:26" s="60" customFormat="1" ht="24" customHeight="1" x14ac:dyDescent="0.3">
      <c r="A1014" s="43"/>
      <c r="B1014" s="43"/>
      <c r="C1014" s="44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</row>
    <row r="1015" spans="1:26" s="60" customFormat="1" ht="24" customHeight="1" x14ac:dyDescent="0.3">
      <c r="A1015" s="43"/>
      <c r="B1015" s="43"/>
      <c r="C1015" s="44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</row>
    <row r="1016" spans="1:26" s="60" customFormat="1" ht="24" customHeight="1" x14ac:dyDescent="0.3">
      <c r="A1016" s="43"/>
      <c r="B1016" s="43"/>
      <c r="C1016" s="44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</row>
    <row r="1017" spans="1:26" s="60" customFormat="1" ht="24" customHeight="1" x14ac:dyDescent="0.3">
      <c r="A1017" s="43"/>
      <c r="B1017" s="43"/>
      <c r="C1017" s="44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</row>
    <row r="1018" spans="1:26" s="60" customFormat="1" ht="24" customHeight="1" x14ac:dyDescent="0.3">
      <c r="A1018" s="43"/>
      <c r="B1018" s="43"/>
      <c r="C1018" s="44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</row>
    <row r="1019" spans="1:26" s="60" customFormat="1" ht="24" customHeight="1" x14ac:dyDescent="0.3">
      <c r="A1019" s="43"/>
      <c r="B1019" s="43"/>
      <c r="C1019" s="44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</row>
    <row r="1020" spans="1:26" s="60" customFormat="1" ht="24" customHeight="1" x14ac:dyDescent="0.3">
      <c r="A1020" s="43"/>
      <c r="B1020" s="43"/>
      <c r="C1020" s="44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</row>
    <row r="1021" spans="1:26" s="60" customFormat="1" ht="24" customHeight="1" x14ac:dyDescent="0.3">
      <c r="A1021" s="43"/>
      <c r="B1021" s="43"/>
      <c r="C1021" s="44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</row>
    <row r="1022" spans="1:26" s="60" customFormat="1" ht="24" customHeight="1" x14ac:dyDescent="0.3">
      <c r="A1022" s="43"/>
      <c r="B1022" s="43"/>
      <c r="C1022" s="44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</row>
    <row r="1023" spans="1:26" s="60" customFormat="1" ht="24" customHeight="1" x14ac:dyDescent="0.3">
      <c r="A1023" s="43"/>
      <c r="B1023" s="43"/>
      <c r="C1023" s="44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</row>
    <row r="1024" spans="1:26" s="60" customFormat="1" ht="24" customHeight="1" x14ac:dyDescent="0.3">
      <c r="A1024" s="43"/>
      <c r="B1024" s="43"/>
      <c r="C1024" s="44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</row>
    <row r="1025" spans="1:26" s="60" customFormat="1" ht="24" customHeight="1" x14ac:dyDescent="0.3">
      <c r="A1025" s="43"/>
      <c r="B1025" s="43"/>
      <c r="C1025" s="44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</row>
    <row r="1026" spans="1:26" s="60" customFormat="1" ht="24" customHeight="1" x14ac:dyDescent="0.3">
      <c r="A1026" s="43"/>
      <c r="B1026" s="43"/>
      <c r="C1026" s="44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</row>
    <row r="1027" spans="1:26" s="60" customFormat="1" ht="24" customHeight="1" x14ac:dyDescent="0.3">
      <c r="A1027" s="43"/>
      <c r="B1027" s="43"/>
      <c r="C1027" s="44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</row>
    <row r="1028" spans="1:26" s="60" customFormat="1" ht="24" customHeight="1" x14ac:dyDescent="0.3">
      <c r="A1028" s="43"/>
      <c r="B1028" s="43"/>
      <c r="C1028" s="44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</row>
    <row r="1029" spans="1:26" s="60" customFormat="1" ht="24" customHeight="1" x14ac:dyDescent="0.3">
      <c r="A1029" s="43"/>
      <c r="B1029" s="43"/>
      <c r="C1029" s="44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</row>
    <row r="1030" spans="1:26" s="60" customFormat="1" ht="24" customHeight="1" x14ac:dyDescent="0.3">
      <c r="A1030" s="43"/>
      <c r="B1030" s="43"/>
      <c r="C1030" s="44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</row>
    <row r="1031" spans="1:26" s="60" customFormat="1" ht="24" customHeight="1" x14ac:dyDescent="0.3">
      <c r="A1031" s="43"/>
      <c r="B1031" s="43"/>
      <c r="C1031" s="44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</row>
    <row r="1032" spans="1:26" s="60" customFormat="1" ht="24" customHeight="1" x14ac:dyDescent="0.3">
      <c r="A1032" s="43"/>
      <c r="B1032" s="43"/>
      <c r="C1032" s="44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</row>
    <row r="1033" spans="1:26" s="60" customFormat="1" ht="24" customHeight="1" x14ac:dyDescent="0.3">
      <c r="A1033" s="43"/>
      <c r="B1033" s="43"/>
      <c r="C1033" s="44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</row>
    <row r="1034" spans="1:26" s="60" customFormat="1" ht="24" customHeight="1" x14ac:dyDescent="0.3">
      <c r="A1034" s="43"/>
      <c r="B1034" s="43"/>
      <c r="C1034" s="44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</row>
    <row r="1035" spans="1:26" s="60" customFormat="1" ht="24" customHeight="1" x14ac:dyDescent="0.3">
      <c r="A1035" s="43"/>
      <c r="B1035" s="43"/>
      <c r="C1035" s="44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</row>
    <row r="1036" spans="1:26" s="60" customFormat="1" ht="24" customHeight="1" x14ac:dyDescent="0.3">
      <c r="A1036" s="43"/>
      <c r="B1036" s="43"/>
      <c r="C1036" s="44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</row>
    <row r="1037" spans="1:26" s="60" customFormat="1" ht="24" customHeight="1" x14ac:dyDescent="0.3">
      <c r="A1037" s="43"/>
      <c r="B1037" s="43"/>
      <c r="C1037" s="44"/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</row>
    <row r="1038" spans="1:26" s="60" customFormat="1" ht="24" customHeight="1" x14ac:dyDescent="0.3">
      <c r="A1038" s="43"/>
      <c r="B1038" s="43"/>
      <c r="C1038" s="44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</row>
    <row r="1039" spans="1:26" s="60" customFormat="1" ht="24" customHeight="1" x14ac:dyDescent="0.3">
      <c r="A1039" s="43"/>
      <c r="B1039" s="43"/>
      <c r="C1039" s="44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</row>
    <row r="1040" spans="1:26" s="60" customFormat="1" ht="24" customHeight="1" x14ac:dyDescent="0.3">
      <c r="A1040" s="43"/>
      <c r="B1040" s="43"/>
      <c r="C1040" s="44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</row>
  </sheetData>
  <autoFilter ref="B3:J91" xr:uid="{00000000-0009-0000-0000-000007000000}"/>
  <mergeCells count="1">
    <mergeCell ref="B1:J2"/>
  </mergeCells>
  <hyperlinks>
    <hyperlink ref="A1" location="PAINEL!A1" tooltip="Voltar ao Painel de Navegação" display="⬅ PAINEL" xr:uid="{72F48407-9504-4F99-99DE-2F6784980334}"/>
  </hyperlinks>
  <pageMargins left="0.51180555555555596" right="0.51180555555555596" top="0.78749999999999998" bottom="0.78749999999999998" header="0.511811023622047" footer="0.511811023622047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W1023"/>
  <sheetViews>
    <sheetView topLeftCell="X1" zoomScaleNormal="100" workbookViewId="0">
      <pane ySplit="1" topLeftCell="A55" activePane="bottomLeft" state="frozen"/>
      <selection activeCell="Y1" sqref="Y1"/>
      <selection pane="bottomLeft" activeCell="Y66" sqref="Y66"/>
    </sheetView>
  </sheetViews>
  <sheetFormatPr defaultColWidth="8.5546875" defaultRowHeight="18" x14ac:dyDescent="0.35"/>
  <cols>
    <col min="1" max="1" width="15" style="56" bestFit="1" customWidth="1"/>
    <col min="2" max="2" width="8.88671875" style="56" customWidth="1"/>
    <col min="3" max="3" width="28.33203125" style="56" customWidth="1"/>
    <col min="4" max="4" width="11.33203125" style="56" customWidth="1"/>
    <col min="5" max="5" width="11" style="56" customWidth="1"/>
    <col min="6" max="6" width="18.88671875" style="56" customWidth="1"/>
    <col min="7" max="7" width="11.6640625" style="56" customWidth="1"/>
    <col min="8" max="8" width="16.5546875" style="56" customWidth="1"/>
    <col min="9" max="9" width="9.33203125" style="56" customWidth="1"/>
    <col min="10" max="10" width="18.88671875" style="56" customWidth="1"/>
    <col min="11" max="11" width="12" style="56" customWidth="1"/>
    <col min="12" max="12" width="19.109375" style="56" bestFit="1" customWidth="1"/>
    <col min="13" max="13" width="8.88671875" style="56" customWidth="1"/>
    <col min="14" max="14" width="19.109375" style="56" customWidth="1"/>
    <col min="15" max="15" width="6.109375" style="60" customWidth="1"/>
    <col min="16" max="16" width="6.88671875" style="56" customWidth="1"/>
    <col min="17" max="17" width="8.88671875" style="56" customWidth="1"/>
    <col min="18" max="18" width="15" style="56" bestFit="1" customWidth="1"/>
    <col min="19" max="19" width="8.88671875" style="56" customWidth="1"/>
    <col min="20" max="20" width="11.6640625" style="56" bestFit="1" customWidth="1"/>
    <col min="21" max="22" width="8.88671875" style="56" customWidth="1"/>
    <col min="23" max="23" width="8.88671875" style="43" customWidth="1"/>
    <col min="24" max="24" width="11.6640625" style="43" bestFit="1" customWidth="1"/>
    <col min="25" max="25" width="34.44140625" style="43" customWidth="1"/>
    <col min="26" max="26" width="10.5546875" style="43" customWidth="1"/>
    <col min="27" max="27" width="20.44140625" style="65" customWidth="1"/>
    <col min="28" max="28" width="9.6640625" style="139" customWidth="1"/>
    <col min="29" max="32" width="19.5546875" style="23" customWidth="1"/>
    <col min="33" max="33" width="8" style="23" customWidth="1"/>
    <col min="34" max="34" width="14" style="23" customWidth="1"/>
    <col min="35" max="35" width="15" style="23" customWidth="1"/>
    <col min="36" max="36" width="13.88671875" style="23" customWidth="1"/>
    <col min="37" max="37" width="5.109375" style="23" customWidth="1"/>
    <col min="38" max="49" width="8.5546875" style="23"/>
  </cols>
  <sheetData>
    <row r="1" spans="1:37" ht="27.75" customHeight="1" x14ac:dyDescent="0.35">
      <c r="A1" s="463" t="s">
        <v>1757</v>
      </c>
      <c r="B1" s="464"/>
      <c r="C1" s="454" t="s">
        <v>888</v>
      </c>
      <c r="D1" s="454"/>
      <c r="E1" s="140">
        <f>PARÂMETROS!$E$6</f>
        <v>39.93</v>
      </c>
      <c r="H1" s="464"/>
      <c r="I1" s="464"/>
      <c r="J1" s="465"/>
      <c r="K1" s="465"/>
      <c r="AC1" s="466" t="s">
        <v>1097</v>
      </c>
      <c r="AD1" s="466"/>
      <c r="AE1" s="466"/>
      <c r="AF1" s="466"/>
      <c r="AG1" s="466"/>
      <c r="AH1" s="466"/>
    </row>
    <row r="2" spans="1:37" ht="23.25" customHeight="1" x14ac:dyDescent="0.35">
      <c r="A2" s="464"/>
      <c r="B2" s="464"/>
      <c r="C2" s="454" t="s">
        <v>758</v>
      </c>
      <c r="D2" s="454"/>
      <c r="E2" s="140">
        <f>PARÂMETROS!$E$15</f>
        <v>34.130000000000003</v>
      </c>
      <c r="H2" s="464"/>
      <c r="I2" s="464"/>
      <c r="J2" s="465"/>
      <c r="K2" s="465"/>
      <c r="AC2" s="466"/>
      <c r="AD2" s="466"/>
      <c r="AE2" s="466"/>
      <c r="AF2" s="466"/>
      <c r="AG2" s="466"/>
      <c r="AH2" s="466"/>
    </row>
    <row r="3" spans="1:37" ht="23.25" customHeight="1" x14ac:dyDescent="0.35">
      <c r="A3" s="464"/>
      <c r="B3" s="464"/>
      <c r="C3" s="454" t="s">
        <v>784</v>
      </c>
      <c r="D3" s="454"/>
      <c r="E3" s="140">
        <f>PARÂMETROS!$E$8</f>
        <v>30.89</v>
      </c>
      <c r="H3" s="464"/>
      <c r="I3" s="464"/>
      <c r="J3" s="454" t="s">
        <v>792</v>
      </c>
      <c r="K3" s="454"/>
      <c r="L3" s="467">
        <f>PARÂMETROS!$E$14</f>
        <v>21.53</v>
      </c>
      <c r="AD3" s="142"/>
      <c r="AE3" s="142" t="s">
        <v>1098</v>
      </c>
      <c r="AF3" s="142"/>
    </row>
    <row r="4" spans="1:37" ht="16.5" customHeight="1" x14ac:dyDescent="0.35">
      <c r="A4" s="464"/>
      <c r="B4" s="464"/>
      <c r="C4" s="468" t="s">
        <v>1099</v>
      </c>
      <c r="D4" s="468"/>
      <c r="E4" s="143">
        <f>PARÂMETROS!$E$10</f>
        <v>50.95</v>
      </c>
      <c r="H4" s="464"/>
      <c r="I4" s="464"/>
      <c r="J4" s="454"/>
      <c r="K4" s="454"/>
      <c r="L4" s="467"/>
      <c r="AD4" s="142"/>
      <c r="AE4" s="142" t="s">
        <v>1100</v>
      </c>
      <c r="AF4" s="142"/>
    </row>
    <row r="5" spans="1:37" ht="23.25" customHeight="1" x14ac:dyDescent="0.35">
      <c r="A5" s="464"/>
      <c r="B5" s="464"/>
      <c r="C5" s="468" t="s">
        <v>789</v>
      </c>
      <c r="D5" s="468"/>
      <c r="E5" s="143">
        <f>PARÂMETROS!$E$11</f>
        <v>44.74</v>
      </c>
      <c r="H5" s="464"/>
      <c r="I5" s="464"/>
      <c r="J5" s="465"/>
      <c r="K5" s="465"/>
      <c r="AD5" s="142"/>
      <c r="AE5" s="142" t="s">
        <v>1101</v>
      </c>
      <c r="AF5" s="142"/>
    </row>
    <row r="6" spans="1:37" ht="27" customHeight="1" x14ac:dyDescent="0.35">
      <c r="A6" s="464"/>
      <c r="B6" s="464"/>
      <c r="C6" s="468" t="s">
        <v>790</v>
      </c>
      <c r="D6" s="468"/>
      <c r="E6" s="143">
        <f>PARÂMETROS!$E$12</f>
        <v>60.06</v>
      </c>
      <c r="H6" s="464"/>
      <c r="I6" s="464"/>
      <c r="J6" s="465"/>
      <c r="K6" s="465"/>
      <c r="AD6" s="142"/>
      <c r="AE6" s="142" t="s">
        <v>1102</v>
      </c>
      <c r="AF6" s="142"/>
    </row>
    <row r="7" spans="1:37" ht="13.5" customHeight="1" x14ac:dyDescent="0.35">
      <c r="A7" s="144"/>
      <c r="B7" s="144"/>
    </row>
    <row r="8" spans="1:37" ht="43.5" customHeight="1" x14ac:dyDescent="0.35">
      <c r="A8" s="459" t="s">
        <v>1103</v>
      </c>
      <c r="B8" s="459"/>
      <c r="C8" s="459"/>
      <c r="D8" s="459"/>
      <c r="E8" s="460" t="s">
        <v>1104</v>
      </c>
      <c r="F8" s="460"/>
      <c r="G8" s="460"/>
      <c r="H8" s="460"/>
      <c r="I8" s="461" t="s">
        <v>1105</v>
      </c>
      <c r="J8" s="461"/>
      <c r="K8" s="461"/>
      <c r="L8" s="461"/>
      <c r="M8" s="461"/>
      <c r="N8" s="461"/>
      <c r="R8" s="462" t="s">
        <v>1106</v>
      </c>
      <c r="S8" s="462"/>
      <c r="T8" s="462"/>
      <c r="V8" s="461" t="s">
        <v>1105</v>
      </c>
      <c r="W8" s="461"/>
      <c r="X8" s="461"/>
      <c r="AJ8" s="56" t="s">
        <v>1107</v>
      </c>
    </row>
    <row r="9" spans="1:37" ht="34.5" customHeight="1" thickBot="1" x14ac:dyDescent="0.35">
      <c r="A9" s="146" t="s">
        <v>914</v>
      </c>
      <c r="B9" s="146" t="s">
        <v>10</v>
      </c>
      <c r="C9" s="146" t="s">
        <v>1108</v>
      </c>
      <c r="D9" s="146" t="s">
        <v>1109</v>
      </c>
      <c r="E9" s="145" t="s">
        <v>1110</v>
      </c>
      <c r="F9" s="145" t="s">
        <v>1111</v>
      </c>
      <c r="G9" s="145" t="s">
        <v>1112</v>
      </c>
      <c r="H9" s="145" t="s">
        <v>1113</v>
      </c>
      <c r="I9" s="147" t="s">
        <v>1114</v>
      </c>
      <c r="J9" s="147" t="s">
        <v>1115</v>
      </c>
      <c r="K9" s="147" t="s">
        <v>1116</v>
      </c>
      <c r="L9" s="147" t="s">
        <v>1117</v>
      </c>
      <c r="M9" s="147" t="s">
        <v>1118</v>
      </c>
      <c r="N9" s="147" t="s">
        <v>1119</v>
      </c>
      <c r="R9" s="145" t="s">
        <v>914</v>
      </c>
      <c r="S9" s="145" t="s">
        <v>10</v>
      </c>
      <c r="T9" s="148" t="s">
        <v>1120</v>
      </c>
      <c r="V9" s="147" t="s">
        <v>914</v>
      </c>
      <c r="W9" s="147" t="s">
        <v>10</v>
      </c>
      <c r="X9" s="149" t="s">
        <v>1120</v>
      </c>
      <c r="AA9" s="150" t="s">
        <v>914</v>
      </c>
      <c r="AB9" s="150" t="s">
        <v>10</v>
      </c>
      <c r="AC9" s="47" t="s">
        <v>1093</v>
      </c>
      <c r="AD9" s="47" t="s">
        <v>880</v>
      </c>
      <c r="AE9" s="47" t="s">
        <v>881</v>
      </c>
      <c r="AF9" s="47" t="s">
        <v>882</v>
      </c>
      <c r="AG9" s="127" t="s">
        <v>954</v>
      </c>
      <c r="AH9" s="128" t="s">
        <v>955</v>
      </c>
      <c r="AI9" s="129" t="s">
        <v>883</v>
      </c>
      <c r="AJ9" s="127" t="s">
        <v>954</v>
      </c>
      <c r="AK9" s="23" t="s">
        <v>1121</v>
      </c>
    </row>
    <row r="10" spans="1:37" ht="24" customHeight="1" thickBot="1" x14ac:dyDescent="0.35">
      <c r="A10" s="152" t="s">
        <v>1122</v>
      </c>
      <c r="B10" s="153">
        <v>2</v>
      </c>
      <c r="C10" s="153"/>
      <c r="D10" s="153" t="s">
        <v>1123</v>
      </c>
      <c r="E10" s="154"/>
      <c r="F10" s="155">
        <f>E10*PARÂMETROS!$E$6</f>
        <v>0</v>
      </c>
      <c r="G10" s="154">
        <f t="shared" ref="G10:G31" si="0">E10*0.074</f>
        <v>0</v>
      </c>
      <c r="H10" s="155">
        <f>G10*PARÂMETROS!$E$8</f>
        <v>0</v>
      </c>
      <c r="I10" s="154"/>
      <c r="J10" s="155">
        <f>I10*PARÂMETROS!$E$10</f>
        <v>0</v>
      </c>
      <c r="K10" s="156"/>
      <c r="L10" s="155">
        <f>K10*PARÂMETROS!$E$11</f>
        <v>0</v>
      </c>
      <c r="M10" s="156"/>
      <c r="N10" s="157">
        <f>M10*PARÂMETROS!$E$12</f>
        <v>0</v>
      </c>
      <c r="R10" s="158" t="s">
        <v>1122</v>
      </c>
      <c r="S10" s="158">
        <v>2</v>
      </c>
      <c r="T10" s="159">
        <v>4.9000000000000004</v>
      </c>
      <c r="V10" s="158" t="s">
        <v>1122</v>
      </c>
      <c r="W10" s="158">
        <v>2</v>
      </c>
      <c r="X10" s="159">
        <f t="shared" ref="X10:X41" si="1">N10+L10+J10</f>
        <v>0</v>
      </c>
      <c r="AA10" s="160" t="s">
        <v>1122</v>
      </c>
      <c r="AB10" s="160">
        <v>2</v>
      </c>
      <c r="AC10" s="161">
        <v>4.9000000000000004</v>
      </c>
      <c r="AD10" s="162">
        <f>PARÂMETROS!$H$3</f>
        <v>40</v>
      </c>
      <c r="AE10" s="163">
        <v>6.5972222222222196E-2</v>
      </c>
      <c r="AF10" s="162">
        <f t="shared" ref="AF10:AF41" si="2">(AE10*AD10)*24</f>
        <v>63.333333333333314</v>
      </c>
      <c r="AG10" s="164">
        <v>4</v>
      </c>
      <c r="AH10" s="165">
        <f t="shared" ref="AH10:AH41" si="3">AF10/AG10</f>
        <v>15.833333333333329</v>
      </c>
      <c r="AI10" s="166">
        <f t="shared" ref="AI10:AI41" si="4">AH10+AC10</f>
        <v>20.733333333333327</v>
      </c>
      <c r="AJ10" s="164">
        <v>4</v>
      </c>
      <c r="AK10" s="23">
        <f t="shared" ref="AK10:AK41" si="5">IFERROR(VALUE(SUBSTITUTE(SUBSTITUTE(SUBSTITUTE(SUBSTITUTE(SUBSTITUTE(AB10,"DN",""),CHAR(34),""),"”",""),"“",""),"''","")),"")</f>
        <v>2</v>
      </c>
    </row>
    <row r="11" spans="1:37" ht="24" customHeight="1" thickBot="1" x14ac:dyDescent="0.35">
      <c r="A11" s="152" t="s">
        <v>1122</v>
      </c>
      <c r="B11" s="153">
        <v>3</v>
      </c>
      <c r="C11" s="153"/>
      <c r="D11" s="153" t="s">
        <v>1123</v>
      </c>
      <c r="E11" s="154"/>
      <c r="F11" s="155">
        <f>E11*PARÂMETROS!$E$6</f>
        <v>0</v>
      </c>
      <c r="G11" s="154">
        <f t="shared" si="0"/>
        <v>0</v>
      </c>
      <c r="H11" s="155">
        <f>G11*PARÂMETROS!$E$8</f>
        <v>0</v>
      </c>
      <c r="I11" s="154"/>
      <c r="J11" s="155">
        <f>I11*PARÂMETROS!$E$10</f>
        <v>0</v>
      </c>
      <c r="K11" s="154"/>
      <c r="L11" s="155">
        <f>K11*PARÂMETROS!$E$11</f>
        <v>0</v>
      </c>
      <c r="M11" s="154"/>
      <c r="N11" s="157">
        <f>M11*PARÂMETROS!$E$12</f>
        <v>0</v>
      </c>
      <c r="R11" s="158" t="s">
        <v>1122</v>
      </c>
      <c r="S11" s="158">
        <v>3</v>
      </c>
      <c r="T11" s="159">
        <v>5.3</v>
      </c>
      <c r="V11" s="158" t="s">
        <v>1122</v>
      </c>
      <c r="W11" s="158">
        <v>3</v>
      </c>
      <c r="X11" s="159">
        <f t="shared" si="1"/>
        <v>0</v>
      </c>
      <c r="Y11" s="57"/>
      <c r="Z11" s="57"/>
      <c r="AA11" s="160" t="s">
        <v>1122</v>
      </c>
      <c r="AB11" s="160">
        <v>3</v>
      </c>
      <c r="AC11" s="161">
        <v>5.3</v>
      </c>
      <c r="AD11" s="162">
        <f>PARÂMETROS!$H$3</f>
        <v>40</v>
      </c>
      <c r="AE11" s="163">
        <v>6.5972222222222196E-2</v>
      </c>
      <c r="AF11" s="162">
        <f t="shared" si="2"/>
        <v>63.333333333333314</v>
      </c>
      <c r="AG11" s="164">
        <v>4</v>
      </c>
      <c r="AH11" s="165">
        <f t="shared" si="3"/>
        <v>15.833333333333329</v>
      </c>
      <c r="AI11" s="166">
        <f t="shared" si="4"/>
        <v>21.133333333333329</v>
      </c>
      <c r="AJ11" s="164">
        <v>4</v>
      </c>
      <c r="AK11" s="23">
        <f t="shared" si="5"/>
        <v>3</v>
      </c>
    </row>
    <row r="12" spans="1:37" ht="24" customHeight="1" thickBot="1" x14ac:dyDescent="0.35">
      <c r="A12" s="152" t="s">
        <v>1122</v>
      </c>
      <c r="B12" s="153">
        <v>4</v>
      </c>
      <c r="C12" s="153"/>
      <c r="D12" s="153" t="s">
        <v>1123</v>
      </c>
      <c r="E12" s="154"/>
      <c r="F12" s="155">
        <f>E12*PARÂMETROS!$E$6</f>
        <v>0</v>
      </c>
      <c r="G12" s="154">
        <f t="shared" si="0"/>
        <v>0</v>
      </c>
      <c r="H12" s="155">
        <f>G12*PARÂMETROS!$E$8</f>
        <v>0</v>
      </c>
      <c r="I12" s="154"/>
      <c r="J12" s="155">
        <f>I12*PARÂMETROS!$E$10</f>
        <v>0</v>
      </c>
      <c r="K12" s="154"/>
      <c r="L12" s="155">
        <f>K12*PARÂMETROS!$E$11</f>
        <v>0</v>
      </c>
      <c r="M12" s="154"/>
      <c r="N12" s="157">
        <f>M12*PARÂMETROS!$E$12</f>
        <v>0</v>
      </c>
      <c r="R12" s="158" t="s">
        <v>1122</v>
      </c>
      <c r="S12" s="158">
        <v>4</v>
      </c>
      <c r="T12" s="159">
        <v>7.5</v>
      </c>
      <c r="V12" s="158" t="s">
        <v>1122</v>
      </c>
      <c r="W12" s="158">
        <v>4</v>
      </c>
      <c r="X12" s="159">
        <f t="shared" si="1"/>
        <v>0</v>
      </c>
      <c r="Y12" s="57"/>
      <c r="Z12" s="57"/>
      <c r="AA12" s="160" t="s">
        <v>1122</v>
      </c>
      <c r="AB12" s="160">
        <v>4</v>
      </c>
      <c r="AC12" s="161">
        <v>7.5</v>
      </c>
      <c r="AD12" s="162">
        <f>PARÂMETROS!$H$3</f>
        <v>40</v>
      </c>
      <c r="AE12" s="163">
        <v>6.5972222222222196E-2</v>
      </c>
      <c r="AF12" s="162">
        <f t="shared" si="2"/>
        <v>63.333333333333314</v>
      </c>
      <c r="AG12" s="164">
        <v>4</v>
      </c>
      <c r="AH12" s="165">
        <f t="shared" si="3"/>
        <v>15.833333333333329</v>
      </c>
      <c r="AI12" s="166">
        <f t="shared" si="4"/>
        <v>23.333333333333329</v>
      </c>
      <c r="AJ12" s="164">
        <v>4</v>
      </c>
      <c r="AK12" s="23">
        <f t="shared" si="5"/>
        <v>4</v>
      </c>
    </row>
    <row r="13" spans="1:37" ht="24" customHeight="1" thickBot="1" x14ac:dyDescent="0.35">
      <c r="A13" s="152" t="s">
        <v>1122</v>
      </c>
      <c r="B13" s="153">
        <v>6</v>
      </c>
      <c r="C13" s="153" t="s">
        <v>1124</v>
      </c>
      <c r="D13" s="153" t="s">
        <v>1123</v>
      </c>
      <c r="E13" s="154">
        <v>0.185</v>
      </c>
      <c r="F13" s="155">
        <f>E13*PARÂMETROS!$E$6</f>
        <v>7.3870499999999995</v>
      </c>
      <c r="G13" s="154">
        <f t="shared" si="0"/>
        <v>1.3689999999999999E-2</v>
      </c>
      <c r="H13" s="155">
        <f>G13*PARÂMETROS!$E$8</f>
        <v>0.42288409999999999</v>
      </c>
      <c r="I13" s="154">
        <v>8.3000000000000004E-2</v>
      </c>
      <c r="J13" s="155">
        <f>I13*PARÂMETROS!$E$10</f>
        <v>4.2288500000000004</v>
      </c>
      <c r="K13" s="154">
        <v>9.0999999999999998E-2</v>
      </c>
      <c r="L13" s="155">
        <f>K13*PARÂMETROS!$E$11</f>
        <v>4.0713400000000002</v>
      </c>
      <c r="M13" s="154">
        <v>0.01</v>
      </c>
      <c r="N13" s="157">
        <f>M13*PARÂMETROS!$E$12</f>
        <v>0.60060000000000002</v>
      </c>
      <c r="R13" s="158" t="s">
        <v>1122</v>
      </c>
      <c r="S13" s="158">
        <v>6</v>
      </c>
      <c r="T13" s="159">
        <f t="shared" ref="T13:T44" si="6">F13+H13</f>
        <v>7.8099340999999995</v>
      </c>
      <c r="V13" s="158" t="s">
        <v>1122</v>
      </c>
      <c r="W13" s="158">
        <v>6</v>
      </c>
      <c r="X13" s="159">
        <f t="shared" si="1"/>
        <v>8.9007900000000006</v>
      </c>
      <c r="Y13" s="57"/>
      <c r="Z13" s="57"/>
      <c r="AA13" s="160" t="s">
        <v>1122</v>
      </c>
      <c r="AB13" s="160">
        <v>6</v>
      </c>
      <c r="AC13" s="161">
        <f t="shared" ref="AC13:AC31" si="7">T13</f>
        <v>7.8099340999999995</v>
      </c>
      <c r="AD13" s="162">
        <f>PARÂMETROS!$H$3</f>
        <v>40</v>
      </c>
      <c r="AE13" s="163">
        <v>6.5972222222222196E-2</v>
      </c>
      <c r="AF13" s="162">
        <f t="shared" si="2"/>
        <v>63.333333333333314</v>
      </c>
      <c r="AG13" s="164">
        <v>3</v>
      </c>
      <c r="AH13" s="165">
        <f t="shared" si="3"/>
        <v>21.111111111111104</v>
      </c>
      <c r="AI13" s="166">
        <f t="shared" si="4"/>
        <v>28.921045211111103</v>
      </c>
      <c r="AJ13" s="164">
        <v>3</v>
      </c>
      <c r="AK13" s="23">
        <f t="shared" si="5"/>
        <v>6</v>
      </c>
    </row>
    <row r="14" spans="1:37" ht="24" customHeight="1" thickBot="1" x14ac:dyDescent="0.35">
      <c r="A14" s="152" t="s">
        <v>1122</v>
      </c>
      <c r="B14" s="153">
        <v>8</v>
      </c>
      <c r="C14" s="153" t="s">
        <v>1125</v>
      </c>
      <c r="D14" s="153" t="s">
        <v>1123</v>
      </c>
      <c r="E14" s="154">
        <v>0.41599999999999998</v>
      </c>
      <c r="F14" s="155">
        <f>E14*PARÂMETROS!$E$6</f>
        <v>16.610879999999998</v>
      </c>
      <c r="G14" s="154">
        <f t="shared" si="0"/>
        <v>3.0783999999999995E-2</v>
      </c>
      <c r="H14" s="155">
        <f>G14*PARÂMETROS!$E$8</f>
        <v>0.95091775999999983</v>
      </c>
      <c r="I14" s="154">
        <v>0.187</v>
      </c>
      <c r="J14" s="155">
        <f>I14*PARÂMETROS!$E$10</f>
        <v>9.5276500000000013</v>
      </c>
      <c r="K14" s="154">
        <v>0.20599999999999999</v>
      </c>
      <c r="L14" s="155">
        <f>K14*PARÂMETROS!$E$11</f>
        <v>9.2164400000000004</v>
      </c>
      <c r="M14" s="154">
        <v>2.1999999999999999E-2</v>
      </c>
      <c r="N14" s="157">
        <f>M14*PARÂMETROS!$E$12</f>
        <v>1.3213200000000001</v>
      </c>
      <c r="R14" s="158" t="s">
        <v>1122</v>
      </c>
      <c r="S14" s="158">
        <v>8</v>
      </c>
      <c r="T14" s="159">
        <f t="shared" si="6"/>
        <v>17.561797759999997</v>
      </c>
      <c r="V14" s="158" t="s">
        <v>1122</v>
      </c>
      <c r="W14" s="158">
        <v>8</v>
      </c>
      <c r="X14" s="159">
        <f t="shared" si="1"/>
        <v>20.06541</v>
      </c>
      <c r="Y14" s="57"/>
      <c r="Z14" s="57"/>
      <c r="AA14" s="160" t="s">
        <v>1122</v>
      </c>
      <c r="AB14" s="160">
        <v>8</v>
      </c>
      <c r="AC14" s="161">
        <f t="shared" si="7"/>
        <v>17.561797759999997</v>
      </c>
      <c r="AD14" s="162">
        <f>PARÂMETROS!$H$3</f>
        <v>40</v>
      </c>
      <c r="AE14" s="163">
        <v>6.5972222222222196E-2</v>
      </c>
      <c r="AF14" s="162">
        <f t="shared" si="2"/>
        <v>63.333333333333314</v>
      </c>
      <c r="AG14" s="164">
        <v>3</v>
      </c>
      <c r="AH14" s="165">
        <f t="shared" si="3"/>
        <v>21.111111111111104</v>
      </c>
      <c r="AI14" s="166">
        <f t="shared" si="4"/>
        <v>38.672908871111105</v>
      </c>
      <c r="AJ14" s="164">
        <v>3</v>
      </c>
      <c r="AK14" s="23">
        <f t="shared" si="5"/>
        <v>8</v>
      </c>
    </row>
    <row r="15" spans="1:37" ht="24" customHeight="1" thickBot="1" x14ac:dyDescent="0.35">
      <c r="A15" s="152" t="s">
        <v>1122</v>
      </c>
      <c r="B15" s="153">
        <v>10</v>
      </c>
      <c r="C15" s="153" t="s">
        <v>1126</v>
      </c>
      <c r="D15" s="153" t="s">
        <v>1123</v>
      </c>
      <c r="E15" s="154">
        <v>0.78400000000000003</v>
      </c>
      <c r="F15" s="155">
        <f>E15*PARÂMETROS!$E$6</f>
        <v>31.305120000000002</v>
      </c>
      <c r="G15" s="154">
        <f t="shared" si="0"/>
        <v>5.8015999999999998E-2</v>
      </c>
      <c r="H15" s="155">
        <f>G15*PARÂMETROS!$E$8</f>
        <v>1.7921142400000001</v>
      </c>
      <c r="I15" s="154">
        <v>0.35299999999999998</v>
      </c>
      <c r="J15" s="155">
        <f>I15*PARÂMETROS!$E$10</f>
        <v>17.98535</v>
      </c>
      <c r="K15" s="154">
        <v>0.38800000000000001</v>
      </c>
      <c r="L15" s="155">
        <f>K15*PARÂMETROS!$E$11</f>
        <v>17.359120000000001</v>
      </c>
      <c r="M15" s="154">
        <v>4.2000000000000003E-2</v>
      </c>
      <c r="N15" s="157">
        <f>M15*PARÂMETROS!$E$12</f>
        <v>2.5225200000000001</v>
      </c>
      <c r="R15" s="158" t="s">
        <v>1122</v>
      </c>
      <c r="S15" s="158">
        <v>10</v>
      </c>
      <c r="T15" s="159">
        <f t="shared" si="6"/>
        <v>33.097234240000006</v>
      </c>
      <c r="V15" s="158" t="s">
        <v>1122</v>
      </c>
      <c r="W15" s="158">
        <v>10</v>
      </c>
      <c r="X15" s="159">
        <f t="shared" si="1"/>
        <v>37.866990000000001</v>
      </c>
      <c r="Y15" s="57"/>
      <c r="Z15" s="57"/>
      <c r="AA15" s="160" t="s">
        <v>1122</v>
      </c>
      <c r="AB15" s="160">
        <v>10</v>
      </c>
      <c r="AC15" s="161">
        <f t="shared" si="7"/>
        <v>33.097234240000006</v>
      </c>
      <c r="AD15" s="162">
        <f>PARÂMETROS!$H$3</f>
        <v>40</v>
      </c>
      <c r="AE15" s="163">
        <v>6.5972222222222196E-2</v>
      </c>
      <c r="AF15" s="162">
        <f t="shared" si="2"/>
        <v>63.333333333333314</v>
      </c>
      <c r="AG15" s="164">
        <v>3</v>
      </c>
      <c r="AH15" s="165">
        <f t="shared" si="3"/>
        <v>21.111111111111104</v>
      </c>
      <c r="AI15" s="166">
        <f t="shared" si="4"/>
        <v>54.208345351111106</v>
      </c>
      <c r="AJ15" s="164">
        <v>3</v>
      </c>
      <c r="AK15" s="23">
        <f t="shared" si="5"/>
        <v>10</v>
      </c>
    </row>
    <row r="16" spans="1:37" ht="24" customHeight="1" thickBot="1" x14ac:dyDescent="0.35">
      <c r="A16" s="152" t="s">
        <v>1122</v>
      </c>
      <c r="B16" s="153">
        <v>12</v>
      </c>
      <c r="C16" s="153" t="s">
        <v>1127</v>
      </c>
      <c r="D16" s="153" t="s">
        <v>1123</v>
      </c>
      <c r="E16" s="154">
        <v>1.2450000000000001</v>
      </c>
      <c r="F16" s="155">
        <f>E16*PARÂMETROS!$E$6</f>
        <v>49.712850000000003</v>
      </c>
      <c r="G16" s="154">
        <f t="shared" si="0"/>
        <v>9.2130000000000004E-2</v>
      </c>
      <c r="H16" s="155">
        <f>G16*PARÂMETROS!$E$8</f>
        <v>2.8458957000000003</v>
      </c>
      <c r="I16" s="154">
        <f t="shared" ref="I16:I31" si="8">O16*45.045%</f>
        <v>0.59909850000000009</v>
      </c>
      <c r="J16" s="155">
        <f>I16*PARÂMETROS!$E$10</f>
        <v>30.524068575000005</v>
      </c>
      <c r="K16" s="154">
        <f t="shared" ref="K16:K31" si="9">O16*49.549%</f>
        <v>0.65900170000000002</v>
      </c>
      <c r="L16" s="155">
        <f>K16*PARÂMETROS!$E$11</f>
        <v>29.483736058000002</v>
      </c>
      <c r="M16" s="154">
        <f t="shared" ref="M16:M31" si="10">O16*5.405%</f>
        <v>7.1886500000000006E-2</v>
      </c>
      <c r="N16" s="157">
        <f>M16*PARÂMETROS!$E$12</f>
        <v>4.3175031900000009</v>
      </c>
      <c r="O16" s="60">
        <v>1.33</v>
      </c>
      <c r="R16" s="158" t="s">
        <v>1122</v>
      </c>
      <c r="S16" s="158">
        <v>12</v>
      </c>
      <c r="T16" s="159">
        <f t="shared" si="6"/>
        <v>52.558745700000003</v>
      </c>
      <c r="V16" s="158" t="s">
        <v>1122</v>
      </c>
      <c r="W16" s="158">
        <v>12</v>
      </c>
      <c r="X16" s="159">
        <f t="shared" si="1"/>
        <v>64.325307823000003</v>
      </c>
      <c r="Y16" s="57"/>
      <c r="Z16" s="57"/>
      <c r="AA16" s="160" t="s">
        <v>1122</v>
      </c>
      <c r="AB16" s="160">
        <v>12</v>
      </c>
      <c r="AC16" s="161">
        <f t="shared" si="7"/>
        <v>52.558745700000003</v>
      </c>
      <c r="AD16" s="162">
        <f>PARÂMETROS!$H$3</f>
        <v>40</v>
      </c>
      <c r="AE16" s="163">
        <v>6.5972222222222196E-2</v>
      </c>
      <c r="AF16" s="162">
        <f t="shared" si="2"/>
        <v>63.333333333333314</v>
      </c>
      <c r="AG16" s="164">
        <v>2</v>
      </c>
      <c r="AH16" s="165">
        <f t="shared" si="3"/>
        <v>31.666666666666657</v>
      </c>
      <c r="AI16" s="166">
        <f t="shared" si="4"/>
        <v>84.22541236666666</v>
      </c>
      <c r="AJ16" s="164">
        <v>2</v>
      </c>
      <c r="AK16" s="23">
        <f t="shared" si="5"/>
        <v>12</v>
      </c>
    </row>
    <row r="17" spans="1:37" ht="24" customHeight="1" thickBot="1" x14ac:dyDescent="0.35">
      <c r="A17" s="152" t="s">
        <v>1122</v>
      </c>
      <c r="B17" s="153">
        <v>14</v>
      </c>
      <c r="C17" s="153" t="s">
        <v>1128</v>
      </c>
      <c r="D17" s="153" t="s">
        <v>1123</v>
      </c>
      <c r="E17" s="154">
        <v>1.6319999999999999</v>
      </c>
      <c r="F17" s="155">
        <f>E17*PARÂMETROS!$E$6</f>
        <v>65.165759999999992</v>
      </c>
      <c r="G17" s="154">
        <f t="shared" si="0"/>
        <v>0.12076799999999999</v>
      </c>
      <c r="H17" s="155">
        <f>G17*PARÂMETROS!$E$8</f>
        <v>3.7305235199999998</v>
      </c>
      <c r="I17" s="154">
        <f t="shared" si="8"/>
        <v>0.78828750000000003</v>
      </c>
      <c r="J17" s="155">
        <f>I17*PARÂMETROS!$E$10</f>
        <v>40.163248125000003</v>
      </c>
      <c r="K17" s="154">
        <f t="shared" si="9"/>
        <v>0.86710749999999992</v>
      </c>
      <c r="L17" s="155">
        <f>K17*PARÂMETROS!$E$11</f>
        <v>38.794389549999998</v>
      </c>
      <c r="M17" s="154">
        <f t="shared" si="10"/>
        <v>9.4587500000000005E-2</v>
      </c>
      <c r="N17" s="157">
        <f>M17*PARÂMETROS!$E$12</f>
        <v>5.6809252500000005</v>
      </c>
      <c r="O17" s="60">
        <v>1.75</v>
      </c>
      <c r="R17" s="158" t="s">
        <v>1122</v>
      </c>
      <c r="S17" s="158">
        <v>14</v>
      </c>
      <c r="T17" s="159">
        <f t="shared" si="6"/>
        <v>68.896283519999997</v>
      </c>
      <c r="V17" s="158" t="s">
        <v>1122</v>
      </c>
      <c r="W17" s="158">
        <v>14</v>
      </c>
      <c r="X17" s="159">
        <f t="shared" si="1"/>
        <v>84.638562925000002</v>
      </c>
      <c r="Y17" s="57"/>
      <c r="Z17" s="57"/>
      <c r="AA17" s="160" t="s">
        <v>1122</v>
      </c>
      <c r="AB17" s="160">
        <v>14</v>
      </c>
      <c r="AC17" s="161">
        <f t="shared" si="7"/>
        <v>68.896283519999997</v>
      </c>
      <c r="AD17" s="162">
        <f>PARÂMETROS!$H$3</f>
        <v>40</v>
      </c>
      <c r="AE17" s="163">
        <v>6.5972222222222196E-2</v>
      </c>
      <c r="AF17" s="162">
        <f t="shared" si="2"/>
        <v>63.333333333333314</v>
      </c>
      <c r="AG17" s="164">
        <v>2</v>
      </c>
      <c r="AH17" s="165">
        <f t="shared" si="3"/>
        <v>31.666666666666657</v>
      </c>
      <c r="AI17" s="166">
        <f t="shared" si="4"/>
        <v>100.56295018666665</v>
      </c>
      <c r="AJ17" s="164">
        <v>2</v>
      </c>
      <c r="AK17" s="23">
        <f t="shared" si="5"/>
        <v>14</v>
      </c>
    </row>
    <row r="18" spans="1:37" ht="24" customHeight="1" thickBot="1" x14ac:dyDescent="0.35">
      <c r="A18" s="152" t="s">
        <v>1122</v>
      </c>
      <c r="B18" s="153">
        <v>16</v>
      </c>
      <c r="C18" s="153" t="s">
        <v>1129</v>
      </c>
      <c r="D18" s="153" t="s">
        <v>1123</v>
      </c>
      <c r="E18" s="154">
        <v>2.5459999999999998</v>
      </c>
      <c r="F18" s="155">
        <f>E18*PARÂMETROS!$E$6</f>
        <v>101.66177999999999</v>
      </c>
      <c r="G18" s="154">
        <f t="shared" si="0"/>
        <v>0.18840399999999999</v>
      </c>
      <c r="H18" s="155">
        <f>G18*PARÂMETROS!$E$8</f>
        <v>5.8197995599999999</v>
      </c>
      <c r="I18" s="154">
        <f t="shared" si="8"/>
        <v>1.26126</v>
      </c>
      <c r="J18" s="155">
        <f>I18*PARÂMETROS!$E$10</f>
        <v>64.26119700000001</v>
      </c>
      <c r="K18" s="154">
        <f t="shared" si="9"/>
        <v>1.3873719999999998</v>
      </c>
      <c r="L18" s="155">
        <f>K18*PARÂMETROS!$E$11</f>
        <v>62.071023279999999</v>
      </c>
      <c r="M18" s="154">
        <f t="shared" si="10"/>
        <v>0.15134</v>
      </c>
      <c r="N18" s="157">
        <f>M18*PARÂMETROS!$E$12</f>
        <v>9.0894804000000011</v>
      </c>
      <c r="O18" s="60">
        <v>2.8</v>
      </c>
      <c r="R18" s="158" t="s">
        <v>1122</v>
      </c>
      <c r="S18" s="158">
        <v>16</v>
      </c>
      <c r="T18" s="159">
        <f t="shared" si="6"/>
        <v>107.48157956</v>
      </c>
      <c r="V18" s="158" t="s">
        <v>1122</v>
      </c>
      <c r="W18" s="158">
        <v>16</v>
      </c>
      <c r="X18" s="159">
        <f t="shared" si="1"/>
        <v>135.42170068000001</v>
      </c>
      <c r="Y18" s="57"/>
      <c r="Z18" s="57"/>
      <c r="AA18" s="160" t="s">
        <v>1122</v>
      </c>
      <c r="AB18" s="160">
        <v>16</v>
      </c>
      <c r="AC18" s="161">
        <f t="shared" si="7"/>
        <v>107.48157956</v>
      </c>
      <c r="AD18" s="162">
        <f>PARÂMETROS!$H$3</f>
        <v>40</v>
      </c>
      <c r="AE18" s="163">
        <v>6.5972222222222196E-2</v>
      </c>
      <c r="AF18" s="162">
        <f t="shared" si="2"/>
        <v>63.333333333333314</v>
      </c>
      <c r="AG18" s="164">
        <v>2</v>
      </c>
      <c r="AH18" s="165">
        <f t="shared" si="3"/>
        <v>31.666666666666657</v>
      </c>
      <c r="AI18" s="166">
        <f t="shared" si="4"/>
        <v>139.14824622666666</v>
      </c>
      <c r="AJ18" s="164">
        <v>2</v>
      </c>
      <c r="AK18" s="23">
        <f t="shared" si="5"/>
        <v>16</v>
      </c>
    </row>
    <row r="19" spans="1:37" ht="24" customHeight="1" thickBot="1" x14ac:dyDescent="0.35">
      <c r="A19" s="152" t="s">
        <v>1122</v>
      </c>
      <c r="B19" s="153">
        <v>18</v>
      </c>
      <c r="C19" s="153" t="s">
        <v>1130</v>
      </c>
      <c r="D19" s="153" t="s">
        <v>1123</v>
      </c>
      <c r="E19" s="154">
        <v>3.4569999999999999</v>
      </c>
      <c r="F19" s="155">
        <f>E19*PARÂMETROS!$E$6</f>
        <v>138.03800999999999</v>
      </c>
      <c r="G19" s="154">
        <f t="shared" si="0"/>
        <v>0.25581799999999999</v>
      </c>
      <c r="H19" s="155">
        <f>G19*PARÂMETROS!$E$8</f>
        <v>7.9022180199999994</v>
      </c>
      <c r="I19" s="154">
        <f t="shared" si="8"/>
        <v>1.6666650000000001</v>
      </c>
      <c r="J19" s="155">
        <f>I19*PARÂMETROS!$E$10</f>
        <v>84.916581750000006</v>
      </c>
      <c r="K19" s="154">
        <f t="shared" si="9"/>
        <v>1.833313</v>
      </c>
      <c r="L19" s="155">
        <f>K19*PARÂMETROS!$E$11</f>
        <v>82.022423619999998</v>
      </c>
      <c r="M19" s="154">
        <f t="shared" si="10"/>
        <v>0.19998500000000002</v>
      </c>
      <c r="N19" s="157">
        <f>M19*PARÂMETROS!$E$12</f>
        <v>12.011099100000003</v>
      </c>
      <c r="O19" s="60">
        <v>3.7</v>
      </c>
      <c r="R19" s="158" t="s">
        <v>1122</v>
      </c>
      <c r="S19" s="158">
        <v>18</v>
      </c>
      <c r="T19" s="159">
        <f t="shared" si="6"/>
        <v>145.94022801999998</v>
      </c>
      <c r="V19" s="158" t="s">
        <v>1122</v>
      </c>
      <c r="W19" s="158">
        <v>18</v>
      </c>
      <c r="X19" s="159">
        <f t="shared" si="1"/>
        <v>178.95010447000001</v>
      </c>
      <c r="Y19" s="57"/>
      <c r="Z19" s="57"/>
      <c r="AA19" s="160" t="s">
        <v>1122</v>
      </c>
      <c r="AB19" s="160">
        <v>18</v>
      </c>
      <c r="AC19" s="161">
        <f t="shared" si="7"/>
        <v>145.94022801999998</v>
      </c>
      <c r="AD19" s="162">
        <f>PARÂMETROS!$H$3</f>
        <v>40</v>
      </c>
      <c r="AE19" s="163">
        <v>6.5972222222222196E-2</v>
      </c>
      <c r="AF19" s="162">
        <f t="shared" si="2"/>
        <v>63.333333333333314</v>
      </c>
      <c r="AG19" s="164">
        <v>2</v>
      </c>
      <c r="AH19" s="165">
        <f t="shared" si="3"/>
        <v>31.666666666666657</v>
      </c>
      <c r="AI19" s="166">
        <f t="shared" si="4"/>
        <v>177.60689468666664</v>
      </c>
      <c r="AJ19" s="164">
        <v>2</v>
      </c>
      <c r="AK19" s="23">
        <f t="shared" si="5"/>
        <v>18</v>
      </c>
    </row>
    <row r="20" spans="1:37" ht="24" customHeight="1" thickBot="1" x14ac:dyDescent="0.35">
      <c r="A20" s="152" t="s">
        <v>1122</v>
      </c>
      <c r="B20" s="153">
        <v>20</v>
      </c>
      <c r="C20" s="153" t="s">
        <v>1131</v>
      </c>
      <c r="D20" s="153" t="s">
        <v>1123</v>
      </c>
      <c r="E20" s="154">
        <v>4.0270000000000001</v>
      </c>
      <c r="F20" s="155">
        <f>E20*PARÂMETROS!$E$6</f>
        <v>160.79811000000001</v>
      </c>
      <c r="G20" s="154">
        <f t="shared" si="0"/>
        <v>0.29799799999999999</v>
      </c>
      <c r="H20" s="155">
        <f>G20*PARÂMETROS!$E$8</f>
        <v>9.2051582199999995</v>
      </c>
      <c r="I20" s="154">
        <f t="shared" si="8"/>
        <v>1.9369350000000001</v>
      </c>
      <c r="J20" s="155">
        <f>I20*PARÂMETROS!$E$10</f>
        <v>98.686838250000008</v>
      </c>
      <c r="K20" s="154">
        <f t="shared" si="9"/>
        <v>2.1306069999999999</v>
      </c>
      <c r="L20" s="155">
        <f>K20*PARÂMETROS!$E$11</f>
        <v>95.323357180000002</v>
      </c>
      <c r="M20" s="154">
        <f t="shared" si="10"/>
        <v>0.23241499999999998</v>
      </c>
      <c r="N20" s="157">
        <f>M20*PARÂMETROS!$E$12</f>
        <v>13.958844899999999</v>
      </c>
      <c r="O20" s="60">
        <v>4.3</v>
      </c>
      <c r="R20" s="158" t="s">
        <v>1122</v>
      </c>
      <c r="S20" s="158">
        <v>20</v>
      </c>
      <c r="T20" s="159">
        <f t="shared" si="6"/>
        <v>170.00326822</v>
      </c>
      <c r="V20" s="158" t="s">
        <v>1122</v>
      </c>
      <c r="W20" s="158">
        <v>20</v>
      </c>
      <c r="X20" s="159">
        <f t="shared" si="1"/>
        <v>207.96904033000001</v>
      </c>
      <c r="Y20" s="57"/>
      <c r="Z20" s="57"/>
      <c r="AA20" s="160" t="s">
        <v>1122</v>
      </c>
      <c r="AB20" s="160">
        <v>20</v>
      </c>
      <c r="AC20" s="161">
        <f t="shared" si="7"/>
        <v>170.00326822</v>
      </c>
      <c r="AD20" s="162">
        <f>PARÂMETROS!$H$3</f>
        <v>40</v>
      </c>
      <c r="AE20" s="163">
        <v>6.5972222222222196E-2</v>
      </c>
      <c r="AF20" s="162">
        <f t="shared" si="2"/>
        <v>63.333333333333314</v>
      </c>
      <c r="AG20" s="164">
        <v>2</v>
      </c>
      <c r="AH20" s="165">
        <f t="shared" si="3"/>
        <v>31.666666666666657</v>
      </c>
      <c r="AI20" s="166">
        <f t="shared" si="4"/>
        <v>201.66993488666665</v>
      </c>
      <c r="AJ20" s="164">
        <v>2</v>
      </c>
      <c r="AK20" s="23">
        <f t="shared" si="5"/>
        <v>20</v>
      </c>
    </row>
    <row r="21" spans="1:37" ht="24" customHeight="1" thickBot="1" x14ac:dyDescent="0.35">
      <c r="A21" s="152" t="s">
        <v>1122</v>
      </c>
      <c r="B21" s="153">
        <v>22</v>
      </c>
      <c r="C21" s="153" t="s">
        <v>1132</v>
      </c>
      <c r="D21" s="153" t="s">
        <v>1123</v>
      </c>
      <c r="E21" s="154">
        <v>5.0510000000000002</v>
      </c>
      <c r="F21" s="155">
        <f>E21*PARÂMETROS!$E$6</f>
        <v>201.68643</v>
      </c>
      <c r="G21" s="154">
        <f t="shared" si="0"/>
        <v>0.373774</v>
      </c>
      <c r="H21" s="155">
        <f>G21*PARÂMETROS!$E$8</f>
        <v>11.54587886</v>
      </c>
      <c r="I21" s="154">
        <f t="shared" si="8"/>
        <v>2.4459434999999998</v>
      </c>
      <c r="J21" s="155">
        <f>I21*PARÂMETROS!$E$10</f>
        <v>124.62082132499999</v>
      </c>
      <c r="K21" s="154">
        <f t="shared" si="9"/>
        <v>2.6905106999999999</v>
      </c>
      <c r="L21" s="155">
        <f>K21*PARÂMETROS!$E$11</f>
        <v>120.37344871800001</v>
      </c>
      <c r="M21" s="154">
        <f t="shared" si="10"/>
        <v>0.29349150000000002</v>
      </c>
      <c r="N21" s="157">
        <f>M21*PARÂMETROS!$E$12</f>
        <v>17.627099490000003</v>
      </c>
      <c r="O21" s="60">
        <v>5.43</v>
      </c>
      <c r="R21" s="158" t="s">
        <v>1122</v>
      </c>
      <c r="S21" s="158">
        <v>22</v>
      </c>
      <c r="T21" s="159">
        <f t="shared" si="6"/>
        <v>213.23230885999999</v>
      </c>
      <c r="V21" s="158" t="s">
        <v>1122</v>
      </c>
      <c r="W21" s="158">
        <v>22</v>
      </c>
      <c r="X21" s="159">
        <f t="shared" si="1"/>
        <v>262.62136953300001</v>
      </c>
      <c r="Y21" s="57"/>
      <c r="Z21" s="57"/>
      <c r="AA21" s="160" t="s">
        <v>1122</v>
      </c>
      <c r="AB21" s="160">
        <v>22</v>
      </c>
      <c r="AC21" s="161">
        <f t="shared" si="7"/>
        <v>213.23230885999999</v>
      </c>
      <c r="AD21" s="162">
        <f>PARÂMETROS!$H$3</f>
        <v>40</v>
      </c>
      <c r="AE21" s="163">
        <v>6.5972222222222196E-2</v>
      </c>
      <c r="AF21" s="162">
        <f t="shared" si="2"/>
        <v>63.333333333333314</v>
      </c>
      <c r="AG21" s="164">
        <v>2</v>
      </c>
      <c r="AH21" s="165">
        <f t="shared" si="3"/>
        <v>31.666666666666657</v>
      </c>
      <c r="AI21" s="166">
        <f t="shared" si="4"/>
        <v>244.89897552666665</v>
      </c>
      <c r="AJ21" s="164">
        <v>2</v>
      </c>
      <c r="AK21" s="23">
        <f t="shared" si="5"/>
        <v>22</v>
      </c>
    </row>
    <row r="22" spans="1:37" ht="24" customHeight="1" thickBot="1" x14ac:dyDescent="0.35">
      <c r="A22" s="152" t="s">
        <v>1122</v>
      </c>
      <c r="B22" s="153">
        <v>24</v>
      </c>
      <c r="C22" s="153" t="s">
        <v>1133</v>
      </c>
      <c r="D22" s="153" t="s">
        <v>1123</v>
      </c>
      <c r="E22" s="154">
        <v>7.1189999999999998</v>
      </c>
      <c r="F22" s="155">
        <f>E22*PARÂMETROS!$E$6</f>
        <v>284.26166999999998</v>
      </c>
      <c r="G22" s="154">
        <f t="shared" si="0"/>
        <v>0.526806</v>
      </c>
      <c r="H22" s="155">
        <f>G22*PARÂMETROS!$E$8</f>
        <v>16.273037340000002</v>
      </c>
      <c r="I22" s="154">
        <f t="shared" si="8"/>
        <v>3.4684650000000001</v>
      </c>
      <c r="J22" s="155">
        <f>I22*PARÂMETROS!$E$10</f>
        <v>176.71829175000002</v>
      </c>
      <c r="K22" s="154">
        <f t="shared" si="9"/>
        <v>3.8152729999999999</v>
      </c>
      <c r="L22" s="155">
        <f>K22*PARÂMETROS!$E$11</f>
        <v>170.69531402000001</v>
      </c>
      <c r="M22" s="154">
        <f t="shared" si="10"/>
        <v>0.41618500000000003</v>
      </c>
      <c r="N22" s="157">
        <f>M22*PARÂMETROS!$E$12</f>
        <v>24.996071100000002</v>
      </c>
      <c r="O22" s="60">
        <v>7.7</v>
      </c>
      <c r="R22" s="158" t="s">
        <v>1122</v>
      </c>
      <c r="S22" s="158">
        <v>24</v>
      </c>
      <c r="T22" s="159">
        <f t="shared" si="6"/>
        <v>300.53470733999995</v>
      </c>
      <c r="V22" s="158" t="s">
        <v>1122</v>
      </c>
      <c r="W22" s="158">
        <v>24</v>
      </c>
      <c r="X22" s="159">
        <f t="shared" si="1"/>
        <v>372.40967687</v>
      </c>
      <c r="Y22" s="57"/>
      <c r="Z22" s="57"/>
      <c r="AA22" s="160" t="s">
        <v>1122</v>
      </c>
      <c r="AB22" s="160">
        <v>24</v>
      </c>
      <c r="AC22" s="161">
        <f t="shared" si="7"/>
        <v>300.53470733999995</v>
      </c>
      <c r="AD22" s="162">
        <f>PARÂMETROS!$H$3</f>
        <v>40</v>
      </c>
      <c r="AE22" s="163">
        <v>6.5972222222222196E-2</v>
      </c>
      <c r="AF22" s="162">
        <f t="shared" si="2"/>
        <v>63.333333333333314</v>
      </c>
      <c r="AG22" s="164">
        <v>2</v>
      </c>
      <c r="AH22" s="165">
        <f t="shared" si="3"/>
        <v>31.666666666666657</v>
      </c>
      <c r="AI22" s="166">
        <f t="shared" si="4"/>
        <v>332.20137400666658</v>
      </c>
      <c r="AJ22" s="164">
        <v>2</v>
      </c>
      <c r="AK22" s="23">
        <f t="shared" si="5"/>
        <v>24</v>
      </c>
    </row>
    <row r="23" spans="1:37" ht="24" customHeight="1" thickBot="1" x14ac:dyDescent="0.35">
      <c r="A23" s="152" t="s">
        <v>1122</v>
      </c>
      <c r="B23" s="153">
        <v>26</v>
      </c>
      <c r="C23" s="153" t="s">
        <v>1134</v>
      </c>
      <c r="D23" s="153" t="s">
        <v>1123</v>
      </c>
      <c r="E23" s="154">
        <v>8.6440000000000001</v>
      </c>
      <c r="F23" s="155">
        <f>E23*PARÂMETROS!$E$6</f>
        <v>345.15492</v>
      </c>
      <c r="G23" s="154">
        <f t="shared" si="0"/>
        <v>0.639656</v>
      </c>
      <c r="H23" s="155">
        <f>G23*PARÂMETROS!$E$8</f>
        <v>19.758973839999999</v>
      </c>
      <c r="I23" s="154">
        <f t="shared" si="8"/>
        <v>4.2342300000000002</v>
      </c>
      <c r="J23" s="155">
        <f>I23*PARÂMETROS!$E$10</f>
        <v>215.73401850000002</v>
      </c>
      <c r="K23" s="154">
        <f t="shared" si="9"/>
        <v>4.6576060000000004</v>
      </c>
      <c r="L23" s="155">
        <f>K23*PARÂMETROS!$E$11</f>
        <v>208.38129244000004</v>
      </c>
      <c r="M23" s="154">
        <f t="shared" si="10"/>
        <v>0.50807000000000002</v>
      </c>
      <c r="N23" s="157">
        <f>M23*PARÂMETROS!$E$12</f>
        <v>30.514684200000001</v>
      </c>
      <c r="O23" s="60">
        <v>9.4</v>
      </c>
      <c r="R23" s="158" t="s">
        <v>1122</v>
      </c>
      <c r="S23" s="158">
        <v>26</v>
      </c>
      <c r="T23" s="159">
        <f t="shared" si="6"/>
        <v>364.91389384000001</v>
      </c>
      <c r="V23" s="158" t="s">
        <v>1122</v>
      </c>
      <c r="W23" s="158">
        <v>26</v>
      </c>
      <c r="X23" s="159">
        <f t="shared" si="1"/>
        <v>454.62999514000006</v>
      </c>
      <c r="Y23" s="57"/>
      <c r="Z23" s="57"/>
      <c r="AA23" s="160" t="s">
        <v>1122</v>
      </c>
      <c r="AB23" s="160">
        <v>26</v>
      </c>
      <c r="AC23" s="161">
        <f t="shared" si="7"/>
        <v>364.91389384000001</v>
      </c>
      <c r="AD23" s="162">
        <f>PARÂMETROS!$H$3</f>
        <v>40</v>
      </c>
      <c r="AE23" s="163">
        <v>6.5972222222222196E-2</v>
      </c>
      <c r="AF23" s="162">
        <f t="shared" si="2"/>
        <v>63.333333333333314</v>
      </c>
      <c r="AG23" s="164">
        <v>2</v>
      </c>
      <c r="AH23" s="165">
        <f t="shared" si="3"/>
        <v>31.666666666666657</v>
      </c>
      <c r="AI23" s="166">
        <f t="shared" si="4"/>
        <v>396.58056050666664</v>
      </c>
      <c r="AJ23" s="164">
        <v>2</v>
      </c>
      <c r="AK23" s="23">
        <f t="shared" si="5"/>
        <v>26</v>
      </c>
    </row>
    <row r="24" spans="1:37" ht="24" customHeight="1" thickBot="1" x14ac:dyDescent="0.35">
      <c r="A24" s="152" t="s">
        <v>1122</v>
      </c>
      <c r="B24" s="153">
        <v>28</v>
      </c>
      <c r="C24" s="153" t="s">
        <v>1135</v>
      </c>
      <c r="D24" s="153" t="s">
        <v>1123</v>
      </c>
      <c r="E24" s="154">
        <v>9.9049999999999994</v>
      </c>
      <c r="F24" s="155">
        <f>E24*PARÂMETROS!$E$6</f>
        <v>395.50664999999998</v>
      </c>
      <c r="G24" s="154">
        <f t="shared" si="0"/>
        <v>0.7329699999999999</v>
      </c>
      <c r="H24" s="155">
        <f>G24*PARÂMETROS!$E$8</f>
        <v>22.641443299999999</v>
      </c>
      <c r="I24" s="154">
        <f t="shared" si="8"/>
        <v>4.3468425000000002</v>
      </c>
      <c r="J24" s="155">
        <f>I24*PARÂMETROS!$E$10</f>
        <v>221.47162537500003</v>
      </c>
      <c r="K24" s="154">
        <f t="shared" si="9"/>
        <v>4.7814785000000004</v>
      </c>
      <c r="L24" s="155">
        <f>K24*PARÂMETROS!$E$11</f>
        <v>213.92334809000002</v>
      </c>
      <c r="M24" s="154">
        <f t="shared" si="10"/>
        <v>0.52158250000000006</v>
      </c>
      <c r="N24" s="157">
        <f>M24*PARÂMETROS!$E$12</f>
        <v>31.326244950000003</v>
      </c>
      <c r="O24" s="60">
        <v>9.65</v>
      </c>
      <c r="R24" s="158" t="s">
        <v>1122</v>
      </c>
      <c r="S24" s="158">
        <v>28</v>
      </c>
      <c r="T24" s="159">
        <f t="shared" si="6"/>
        <v>418.14809329999997</v>
      </c>
      <c r="V24" s="158" t="s">
        <v>1122</v>
      </c>
      <c r="W24" s="158">
        <v>28</v>
      </c>
      <c r="X24" s="159">
        <f t="shared" si="1"/>
        <v>466.72121841500007</v>
      </c>
      <c r="Y24" s="57"/>
      <c r="Z24" s="57"/>
      <c r="AA24" s="160" t="s">
        <v>1122</v>
      </c>
      <c r="AB24" s="160">
        <v>28</v>
      </c>
      <c r="AC24" s="161">
        <f t="shared" si="7"/>
        <v>418.14809329999997</v>
      </c>
      <c r="AD24" s="162">
        <f>PARÂMETROS!$H$3</f>
        <v>40</v>
      </c>
      <c r="AE24" s="163">
        <v>6.5972222222222196E-2</v>
      </c>
      <c r="AF24" s="162">
        <f t="shared" si="2"/>
        <v>63.333333333333314</v>
      </c>
      <c r="AG24" s="164">
        <v>2</v>
      </c>
      <c r="AH24" s="165">
        <f t="shared" si="3"/>
        <v>31.666666666666657</v>
      </c>
      <c r="AI24" s="166">
        <f t="shared" si="4"/>
        <v>449.81475996666666</v>
      </c>
      <c r="AJ24" s="164">
        <v>2</v>
      </c>
      <c r="AK24" s="23">
        <f t="shared" si="5"/>
        <v>28</v>
      </c>
    </row>
    <row r="25" spans="1:37" ht="24" customHeight="1" thickBot="1" x14ac:dyDescent="0.35">
      <c r="A25" s="152" t="s">
        <v>1122</v>
      </c>
      <c r="B25" s="153">
        <v>30</v>
      </c>
      <c r="C25" s="153" t="s">
        <v>1136</v>
      </c>
      <c r="D25" s="153" t="s">
        <v>1123</v>
      </c>
      <c r="E25" s="154">
        <v>11.708</v>
      </c>
      <c r="F25" s="155">
        <f>E25*PARÂMETROS!$E$6</f>
        <v>467.50044000000003</v>
      </c>
      <c r="G25" s="154">
        <f t="shared" si="0"/>
        <v>0.86639199999999994</v>
      </c>
      <c r="H25" s="155">
        <f>G25*PARÂMETROS!$E$8</f>
        <v>26.76284888</v>
      </c>
      <c r="I25" s="154">
        <f t="shared" si="8"/>
        <v>5.2252200000000002</v>
      </c>
      <c r="J25" s="155">
        <f>I25*PARÂMETROS!$E$10</f>
        <v>266.22495900000001</v>
      </c>
      <c r="K25" s="154">
        <f t="shared" si="9"/>
        <v>5.7476839999999996</v>
      </c>
      <c r="L25" s="155">
        <f>K25*PARÂMETROS!$E$11</f>
        <v>257.15138215999997</v>
      </c>
      <c r="M25" s="154">
        <f t="shared" si="10"/>
        <v>0.62697999999999998</v>
      </c>
      <c r="N25" s="157">
        <f>M25*PARÂMETROS!$E$12</f>
        <v>37.656418799999997</v>
      </c>
      <c r="O25" s="60">
        <v>11.6</v>
      </c>
      <c r="R25" s="158" t="s">
        <v>1122</v>
      </c>
      <c r="S25" s="158">
        <v>30</v>
      </c>
      <c r="T25" s="159">
        <f t="shared" si="6"/>
        <v>494.26328888</v>
      </c>
      <c r="V25" s="158" t="s">
        <v>1122</v>
      </c>
      <c r="W25" s="158">
        <v>30</v>
      </c>
      <c r="X25" s="159">
        <f t="shared" si="1"/>
        <v>561.03275996000002</v>
      </c>
      <c r="Y25" s="57"/>
      <c r="Z25" s="57"/>
      <c r="AA25" s="160" t="s">
        <v>1122</v>
      </c>
      <c r="AB25" s="160">
        <v>30</v>
      </c>
      <c r="AC25" s="161">
        <f t="shared" si="7"/>
        <v>494.26328888</v>
      </c>
      <c r="AD25" s="162">
        <f>PARÂMETROS!$H$3</f>
        <v>40</v>
      </c>
      <c r="AE25" s="163">
        <v>6.5972222222222196E-2</v>
      </c>
      <c r="AF25" s="162">
        <f t="shared" si="2"/>
        <v>63.333333333333314</v>
      </c>
      <c r="AG25" s="164">
        <v>1</v>
      </c>
      <c r="AH25" s="165">
        <f t="shared" si="3"/>
        <v>63.333333333333314</v>
      </c>
      <c r="AI25" s="166">
        <f t="shared" si="4"/>
        <v>557.59662221333338</v>
      </c>
      <c r="AJ25" s="164">
        <v>1</v>
      </c>
      <c r="AK25" s="23">
        <f t="shared" si="5"/>
        <v>30</v>
      </c>
    </row>
    <row r="26" spans="1:37" ht="24" customHeight="1" thickBot="1" x14ac:dyDescent="0.35">
      <c r="A26" s="152" t="s">
        <v>1122</v>
      </c>
      <c r="B26" s="153">
        <v>32</v>
      </c>
      <c r="C26" s="153" t="s">
        <v>1137</v>
      </c>
      <c r="D26" s="153" t="s">
        <v>1123</v>
      </c>
      <c r="E26" s="154">
        <v>11.795</v>
      </c>
      <c r="F26" s="155">
        <f>E26*PARÂMETROS!$E$6</f>
        <v>470.97435000000002</v>
      </c>
      <c r="G26" s="154">
        <f t="shared" si="0"/>
        <v>0.87282999999999999</v>
      </c>
      <c r="H26" s="155">
        <f>G26*PARÂMETROS!$E$8</f>
        <v>26.961718699999999</v>
      </c>
      <c r="I26" s="154">
        <f t="shared" si="8"/>
        <v>5.3153100000000002</v>
      </c>
      <c r="J26" s="155">
        <f>I26*PARÂMETROS!$E$10</f>
        <v>270.8150445</v>
      </c>
      <c r="K26" s="154">
        <f t="shared" si="9"/>
        <v>5.8467820000000001</v>
      </c>
      <c r="L26" s="155">
        <f>K26*PARÂMETROS!$E$11</f>
        <v>261.58502668</v>
      </c>
      <c r="M26" s="154">
        <f t="shared" si="10"/>
        <v>0.63779000000000008</v>
      </c>
      <c r="N26" s="157">
        <f>M26*PARÂMETROS!$E$12</f>
        <v>38.305667400000004</v>
      </c>
      <c r="O26" s="60">
        <v>11.8</v>
      </c>
      <c r="R26" s="158" t="s">
        <v>1122</v>
      </c>
      <c r="S26" s="158">
        <v>32</v>
      </c>
      <c r="T26" s="159">
        <f t="shared" si="6"/>
        <v>497.93606870000002</v>
      </c>
      <c r="V26" s="158" t="s">
        <v>1122</v>
      </c>
      <c r="W26" s="158">
        <v>32</v>
      </c>
      <c r="X26" s="159">
        <f t="shared" si="1"/>
        <v>570.70573858</v>
      </c>
      <c r="Y26" s="57"/>
      <c r="Z26" s="57"/>
      <c r="AA26" s="160" t="s">
        <v>1122</v>
      </c>
      <c r="AB26" s="160">
        <v>32</v>
      </c>
      <c r="AC26" s="161">
        <f t="shared" si="7"/>
        <v>497.93606870000002</v>
      </c>
      <c r="AD26" s="162">
        <f>PARÂMETROS!$H$3</f>
        <v>40</v>
      </c>
      <c r="AE26" s="163">
        <v>0.131944444444444</v>
      </c>
      <c r="AF26" s="162">
        <f t="shared" si="2"/>
        <v>126.66666666666623</v>
      </c>
      <c r="AG26" s="164">
        <v>1</v>
      </c>
      <c r="AH26" s="165">
        <f t="shared" si="3"/>
        <v>126.66666666666623</v>
      </c>
      <c r="AI26" s="166">
        <f t="shared" si="4"/>
        <v>624.60273536666625</v>
      </c>
      <c r="AJ26" s="164">
        <v>1</v>
      </c>
      <c r="AK26" s="23">
        <f t="shared" si="5"/>
        <v>32</v>
      </c>
    </row>
    <row r="27" spans="1:37" ht="24" customHeight="1" thickBot="1" x14ac:dyDescent="0.35">
      <c r="A27" s="152" t="s">
        <v>1122</v>
      </c>
      <c r="B27" s="153">
        <v>34</v>
      </c>
      <c r="C27" s="153" t="s">
        <v>1138</v>
      </c>
      <c r="D27" s="153" t="s">
        <v>1123</v>
      </c>
      <c r="E27" s="154">
        <v>13.847</v>
      </c>
      <c r="F27" s="155">
        <f>E27*PARÂMETROS!$E$6</f>
        <v>552.91070999999999</v>
      </c>
      <c r="G27" s="154">
        <f t="shared" si="0"/>
        <v>1.024678</v>
      </c>
      <c r="H27" s="155">
        <f>G27*PARÂMETROS!$E$8</f>
        <v>31.652303419999999</v>
      </c>
      <c r="I27" s="154">
        <f t="shared" si="8"/>
        <v>6.7117050000000003</v>
      </c>
      <c r="J27" s="155">
        <f>I27*PARÂMETROS!$E$10</f>
        <v>341.96136975000002</v>
      </c>
      <c r="K27" s="154">
        <f t="shared" si="9"/>
        <v>7.3828009999999997</v>
      </c>
      <c r="L27" s="155">
        <f>K27*PARÂMETROS!$E$11</f>
        <v>330.30651674000001</v>
      </c>
      <c r="M27" s="154">
        <f t="shared" si="10"/>
        <v>0.80534499999999998</v>
      </c>
      <c r="N27" s="157">
        <f>M27*PARÂMETROS!$E$12</f>
        <v>48.3690207</v>
      </c>
      <c r="O27" s="60">
        <v>14.9</v>
      </c>
      <c r="R27" s="158" t="s">
        <v>1122</v>
      </c>
      <c r="S27" s="158">
        <v>34</v>
      </c>
      <c r="T27" s="159">
        <f t="shared" si="6"/>
        <v>584.56301341999995</v>
      </c>
      <c r="V27" s="158" t="s">
        <v>1122</v>
      </c>
      <c r="W27" s="158">
        <v>34</v>
      </c>
      <c r="X27" s="159">
        <f t="shared" si="1"/>
        <v>720.6369071900001</v>
      </c>
      <c r="Y27" s="57"/>
      <c r="Z27" s="57"/>
      <c r="AA27" s="160" t="s">
        <v>1122</v>
      </c>
      <c r="AB27" s="160">
        <v>34</v>
      </c>
      <c r="AC27" s="161">
        <f t="shared" si="7"/>
        <v>584.56301341999995</v>
      </c>
      <c r="AD27" s="162">
        <f>PARÂMETROS!$H$3</f>
        <v>40</v>
      </c>
      <c r="AE27" s="163">
        <v>0.131944444444444</v>
      </c>
      <c r="AF27" s="162">
        <f t="shared" si="2"/>
        <v>126.66666666666623</v>
      </c>
      <c r="AG27" s="164">
        <v>1</v>
      </c>
      <c r="AH27" s="165">
        <f t="shared" si="3"/>
        <v>126.66666666666623</v>
      </c>
      <c r="AI27" s="166">
        <f t="shared" si="4"/>
        <v>711.22968008666612</v>
      </c>
      <c r="AJ27" s="164">
        <v>1</v>
      </c>
      <c r="AK27" s="23">
        <f t="shared" si="5"/>
        <v>34</v>
      </c>
    </row>
    <row r="28" spans="1:37" ht="24" customHeight="1" thickBot="1" x14ac:dyDescent="0.35">
      <c r="A28" s="152" t="s">
        <v>1122</v>
      </c>
      <c r="B28" s="153">
        <v>36</v>
      </c>
      <c r="C28" s="153" t="s">
        <v>1139</v>
      </c>
      <c r="D28" s="153" t="s">
        <v>1123</v>
      </c>
      <c r="E28" s="154">
        <v>19.338999999999999</v>
      </c>
      <c r="F28" s="155">
        <f>E28*PARÂMETROS!$E$6</f>
        <v>772.2062699999999</v>
      </c>
      <c r="G28" s="154">
        <f t="shared" si="0"/>
        <v>1.4310859999999999</v>
      </c>
      <c r="H28" s="155">
        <f>G28*PARÂMETROS!$E$8</f>
        <v>44.206246539999995</v>
      </c>
      <c r="I28" s="154">
        <f t="shared" si="8"/>
        <v>9.3693600000000004</v>
      </c>
      <c r="J28" s="155">
        <f>I28*PARÂMETROS!$E$10</f>
        <v>477.36889200000002</v>
      </c>
      <c r="K28" s="154">
        <f t="shared" si="9"/>
        <v>10.306191999999999</v>
      </c>
      <c r="L28" s="155">
        <f>K28*PARÂMETROS!$E$11</f>
        <v>461.09903007999998</v>
      </c>
      <c r="M28" s="154">
        <f t="shared" si="10"/>
        <v>1.1242400000000001</v>
      </c>
      <c r="N28" s="157">
        <f>M28*PARÂMETROS!$E$12</f>
        <v>67.521854400000009</v>
      </c>
      <c r="O28" s="60">
        <v>20.8</v>
      </c>
      <c r="R28" s="158" t="s">
        <v>1122</v>
      </c>
      <c r="S28" s="158">
        <v>36</v>
      </c>
      <c r="T28" s="159">
        <f t="shared" si="6"/>
        <v>816.41251653999984</v>
      </c>
      <c r="V28" s="158" t="s">
        <v>1122</v>
      </c>
      <c r="W28" s="158">
        <v>36</v>
      </c>
      <c r="X28" s="159">
        <f t="shared" si="1"/>
        <v>1005.98977648</v>
      </c>
      <c r="Y28" s="57"/>
      <c r="Z28" s="57"/>
      <c r="AA28" s="160" t="s">
        <v>1122</v>
      </c>
      <c r="AB28" s="160">
        <v>36</v>
      </c>
      <c r="AC28" s="161">
        <f t="shared" si="7"/>
        <v>816.41251653999984</v>
      </c>
      <c r="AD28" s="162">
        <f>PARÂMETROS!$H$3</f>
        <v>40</v>
      </c>
      <c r="AE28" s="163">
        <v>0.131944444444444</v>
      </c>
      <c r="AF28" s="162">
        <f t="shared" si="2"/>
        <v>126.66666666666623</v>
      </c>
      <c r="AG28" s="164">
        <v>1</v>
      </c>
      <c r="AH28" s="165">
        <f t="shared" si="3"/>
        <v>126.66666666666623</v>
      </c>
      <c r="AI28" s="166">
        <f t="shared" si="4"/>
        <v>943.07918320666613</v>
      </c>
      <c r="AJ28" s="164">
        <v>1</v>
      </c>
      <c r="AK28" s="23">
        <f t="shared" si="5"/>
        <v>36</v>
      </c>
    </row>
    <row r="29" spans="1:37" ht="24" customHeight="1" thickBot="1" x14ac:dyDescent="0.35">
      <c r="A29" s="152" t="s">
        <v>1122</v>
      </c>
      <c r="B29" s="153">
        <v>38</v>
      </c>
      <c r="C29" s="153" t="s">
        <v>1140</v>
      </c>
      <c r="D29" s="153" t="s">
        <v>1123</v>
      </c>
      <c r="E29" s="154">
        <v>22.561</v>
      </c>
      <c r="F29" s="155">
        <f>E29*PARÂMETROS!$E$6</f>
        <v>900.86072999999999</v>
      </c>
      <c r="G29" s="154">
        <f t="shared" si="0"/>
        <v>1.6695139999999999</v>
      </c>
      <c r="H29" s="155">
        <f>G29*PARÂMETROS!$E$8</f>
        <v>51.571287460000001</v>
      </c>
      <c r="I29" s="154">
        <f t="shared" si="8"/>
        <v>10.927917000000001</v>
      </c>
      <c r="J29" s="155">
        <f>I29*PARÂMETROS!$E$10</f>
        <v>556.77737115000002</v>
      </c>
      <c r="K29" s="154">
        <f t="shared" si="9"/>
        <v>12.0205874</v>
      </c>
      <c r="L29" s="155">
        <f>K29*PARÂMETROS!$E$11</f>
        <v>537.80108027599999</v>
      </c>
      <c r="M29" s="154">
        <f t="shared" si="10"/>
        <v>1.311253</v>
      </c>
      <c r="N29" s="157">
        <f>M29*PARÂMETROS!$E$12</f>
        <v>78.753855180000002</v>
      </c>
      <c r="O29" s="60">
        <v>24.26</v>
      </c>
      <c r="R29" s="158" t="s">
        <v>1122</v>
      </c>
      <c r="S29" s="158">
        <v>38</v>
      </c>
      <c r="T29" s="159">
        <f t="shared" si="6"/>
        <v>952.43201746</v>
      </c>
      <c r="V29" s="158" t="s">
        <v>1122</v>
      </c>
      <c r="W29" s="158">
        <v>38</v>
      </c>
      <c r="X29" s="159">
        <f t="shared" si="1"/>
        <v>1173.332306606</v>
      </c>
      <c r="Y29" s="57"/>
      <c r="Z29" s="57"/>
      <c r="AA29" s="160" t="s">
        <v>1122</v>
      </c>
      <c r="AB29" s="160">
        <v>38</v>
      </c>
      <c r="AC29" s="161">
        <f t="shared" si="7"/>
        <v>952.43201746</v>
      </c>
      <c r="AD29" s="162">
        <f>PARÂMETROS!$H$3</f>
        <v>40</v>
      </c>
      <c r="AE29" s="163">
        <v>0.131944444444444</v>
      </c>
      <c r="AF29" s="162">
        <f t="shared" si="2"/>
        <v>126.66666666666623</v>
      </c>
      <c r="AG29" s="164">
        <v>1</v>
      </c>
      <c r="AH29" s="165">
        <f t="shared" si="3"/>
        <v>126.66666666666623</v>
      </c>
      <c r="AI29" s="166">
        <f t="shared" si="4"/>
        <v>1079.0986841266663</v>
      </c>
      <c r="AJ29" s="164">
        <v>1</v>
      </c>
      <c r="AK29" s="23">
        <f t="shared" si="5"/>
        <v>38</v>
      </c>
    </row>
    <row r="30" spans="1:37" ht="24" customHeight="1" thickBot="1" x14ac:dyDescent="0.35">
      <c r="A30" s="152" t="s">
        <v>1122</v>
      </c>
      <c r="B30" s="153">
        <v>40</v>
      </c>
      <c r="C30" s="153" t="s">
        <v>1141</v>
      </c>
      <c r="D30" s="153" t="s">
        <v>1123</v>
      </c>
      <c r="E30" s="154">
        <v>24.158000000000001</v>
      </c>
      <c r="F30" s="155">
        <f>E30*PARÂMETROS!$E$6</f>
        <v>964.62894000000006</v>
      </c>
      <c r="G30" s="154">
        <f t="shared" si="0"/>
        <v>1.7876920000000001</v>
      </c>
      <c r="H30" s="155">
        <f>G30*PARÂMETROS!$E$8</f>
        <v>55.221805880000005</v>
      </c>
      <c r="I30" s="154">
        <f t="shared" si="8"/>
        <v>11.7117</v>
      </c>
      <c r="J30" s="155">
        <f>I30*PARÂMETROS!$E$10</f>
        <v>596.71111500000006</v>
      </c>
      <c r="K30" s="154">
        <f t="shared" si="9"/>
        <v>12.88274</v>
      </c>
      <c r="L30" s="155">
        <f>K30*PARÂMETROS!$E$11</f>
        <v>576.37378760000001</v>
      </c>
      <c r="M30" s="154">
        <f t="shared" si="10"/>
        <v>1.4053</v>
      </c>
      <c r="N30" s="157">
        <f>M30*PARÂMETROS!$E$12</f>
        <v>84.402318000000008</v>
      </c>
      <c r="O30" s="60">
        <v>26</v>
      </c>
      <c r="R30" s="158" t="s">
        <v>1122</v>
      </c>
      <c r="S30" s="158">
        <v>40</v>
      </c>
      <c r="T30" s="159">
        <f t="shared" si="6"/>
        <v>1019.8507458800001</v>
      </c>
      <c r="V30" s="158" t="s">
        <v>1122</v>
      </c>
      <c r="W30" s="158">
        <v>40</v>
      </c>
      <c r="X30" s="159">
        <f t="shared" si="1"/>
        <v>1257.4872206</v>
      </c>
      <c r="Y30" s="57"/>
      <c r="Z30" s="57"/>
      <c r="AA30" s="160" t="s">
        <v>1122</v>
      </c>
      <c r="AB30" s="160">
        <v>40</v>
      </c>
      <c r="AC30" s="161">
        <f t="shared" si="7"/>
        <v>1019.8507458800001</v>
      </c>
      <c r="AD30" s="162">
        <f>PARÂMETROS!$H$3</f>
        <v>40</v>
      </c>
      <c r="AE30" s="163">
        <v>0.131944444444444</v>
      </c>
      <c r="AF30" s="162">
        <f t="shared" si="2"/>
        <v>126.66666666666623</v>
      </c>
      <c r="AG30" s="164">
        <v>1</v>
      </c>
      <c r="AH30" s="165">
        <f t="shared" si="3"/>
        <v>126.66666666666623</v>
      </c>
      <c r="AI30" s="166">
        <f t="shared" si="4"/>
        <v>1146.5174125466663</v>
      </c>
      <c r="AJ30" s="164">
        <v>1</v>
      </c>
      <c r="AK30" s="23">
        <f t="shared" si="5"/>
        <v>40</v>
      </c>
    </row>
    <row r="31" spans="1:37" ht="24" customHeight="1" thickBot="1" x14ac:dyDescent="0.35">
      <c r="A31" s="152" t="s">
        <v>1122</v>
      </c>
      <c r="B31" s="153">
        <v>42</v>
      </c>
      <c r="C31" s="153" t="s">
        <v>1142</v>
      </c>
      <c r="D31" s="153" t="s">
        <v>1123</v>
      </c>
      <c r="E31" s="154">
        <v>27.228999999999999</v>
      </c>
      <c r="F31" s="155">
        <f>E31*PARÂMETROS!$E$6</f>
        <v>1087.25397</v>
      </c>
      <c r="G31" s="154">
        <f t="shared" si="0"/>
        <v>2.0149459999999997</v>
      </c>
      <c r="H31" s="155">
        <f>G31*PARÂMETROS!$E$8</f>
        <v>62.241681939999992</v>
      </c>
      <c r="I31" s="154">
        <f t="shared" si="8"/>
        <v>13.189176000000002</v>
      </c>
      <c r="J31" s="155">
        <f>I31*PARÂMETROS!$E$10</f>
        <v>671.98851720000016</v>
      </c>
      <c r="K31" s="154">
        <f t="shared" si="9"/>
        <v>14.5079472</v>
      </c>
      <c r="L31" s="155">
        <f>K31*PARÂMETROS!$E$11</f>
        <v>649.08555772800003</v>
      </c>
      <c r="M31" s="154">
        <f t="shared" si="10"/>
        <v>1.582584</v>
      </c>
      <c r="N31" s="157">
        <f>M31*PARÂMETROS!$E$12</f>
        <v>95.049995039999999</v>
      </c>
      <c r="O31" s="60">
        <v>29.28</v>
      </c>
      <c r="R31" s="158" t="s">
        <v>1122</v>
      </c>
      <c r="S31" s="158">
        <v>42</v>
      </c>
      <c r="T31" s="159">
        <f t="shared" si="6"/>
        <v>1149.49565194</v>
      </c>
      <c r="V31" s="158" t="s">
        <v>1122</v>
      </c>
      <c r="W31" s="158">
        <v>42</v>
      </c>
      <c r="X31" s="159">
        <f t="shared" si="1"/>
        <v>1416.1240699680002</v>
      </c>
      <c r="Y31" s="57"/>
      <c r="Z31" s="57"/>
      <c r="AA31" s="160" t="s">
        <v>1122</v>
      </c>
      <c r="AB31" s="160">
        <v>42</v>
      </c>
      <c r="AC31" s="161">
        <f t="shared" si="7"/>
        <v>1149.49565194</v>
      </c>
      <c r="AD31" s="162">
        <f>PARÂMETROS!$H$3</f>
        <v>40</v>
      </c>
      <c r="AE31" s="163">
        <v>0.131944444444444</v>
      </c>
      <c r="AF31" s="162">
        <f t="shared" si="2"/>
        <v>126.66666666666623</v>
      </c>
      <c r="AG31" s="164">
        <v>1</v>
      </c>
      <c r="AH31" s="165">
        <f t="shared" si="3"/>
        <v>126.66666666666623</v>
      </c>
      <c r="AI31" s="166">
        <f t="shared" si="4"/>
        <v>1276.1623186066663</v>
      </c>
      <c r="AJ31" s="164">
        <v>1</v>
      </c>
      <c r="AK31" s="23">
        <f t="shared" si="5"/>
        <v>42</v>
      </c>
    </row>
    <row r="32" spans="1:37" ht="24" customHeight="1" thickBot="1" x14ac:dyDescent="0.35">
      <c r="A32" s="152" t="s">
        <v>1143</v>
      </c>
      <c r="B32" s="153">
        <v>2</v>
      </c>
      <c r="C32" s="153"/>
      <c r="D32" s="153" t="s">
        <v>1144</v>
      </c>
      <c r="E32" s="154"/>
      <c r="F32" s="155">
        <f>E32*PARÂMETROS!$E$14</f>
        <v>0</v>
      </c>
      <c r="G32" s="154">
        <f t="shared" ref="G32:G75" si="11">E32*0.1</f>
        <v>0</v>
      </c>
      <c r="H32" s="155">
        <f>G32*PARÂMETROS!$E$8</f>
        <v>0</v>
      </c>
      <c r="I32" s="154"/>
      <c r="J32" s="155">
        <f>I32*PARÂMETROS!$E$10</f>
        <v>0</v>
      </c>
      <c r="K32" s="154"/>
      <c r="L32" s="155">
        <f>K32*PARÂMETROS!$E$11</f>
        <v>0</v>
      </c>
      <c r="M32" s="154"/>
      <c r="N32" s="157">
        <f>M32*PARÂMETROS!$E$12</f>
        <v>0</v>
      </c>
      <c r="R32" s="158" t="s">
        <v>1143</v>
      </c>
      <c r="S32" s="158">
        <v>2</v>
      </c>
      <c r="T32" s="159">
        <f t="shared" si="6"/>
        <v>0</v>
      </c>
      <c r="V32" s="158" t="s">
        <v>1143</v>
      </c>
      <c r="W32" s="158">
        <v>2</v>
      </c>
      <c r="X32" s="159">
        <f t="shared" si="1"/>
        <v>0</v>
      </c>
      <c r="Y32" s="57"/>
      <c r="Z32" s="57"/>
      <c r="AA32" s="160" t="s">
        <v>1143</v>
      </c>
      <c r="AB32" s="160">
        <v>2</v>
      </c>
      <c r="AC32" s="161">
        <v>5.34</v>
      </c>
      <c r="AD32" s="162">
        <f>PARÂMETROS!$H$3</f>
        <v>40</v>
      </c>
      <c r="AE32" s="163">
        <v>6.5972222222222196E-2</v>
      </c>
      <c r="AF32" s="162">
        <f t="shared" si="2"/>
        <v>63.333333333333314</v>
      </c>
      <c r="AG32" s="164">
        <v>4</v>
      </c>
      <c r="AH32" s="165">
        <f t="shared" si="3"/>
        <v>15.833333333333329</v>
      </c>
      <c r="AI32" s="166">
        <f t="shared" si="4"/>
        <v>21.173333333333328</v>
      </c>
      <c r="AJ32" s="164">
        <v>4</v>
      </c>
      <c r="AK32" s="23">
        <f t="shared" si="5"/>
        <v>2</v>
      </c>
    </row>
    <row r="33" spans="1:37" ht="24" customHeight="1" thickBot="1" x14ac:dyDescent="0.35">
      <c r="A33" s="152" t="s">
        <v>1143</v>
      </c>
      <c r="B33" s="153">
        <v>3</v>
      </c>
      <c r="C33" s="153"/>
      <c r="D33" s="153" t="s">
        <v>1144</v>
      </c>
      <c r="E33" s="154"/>
      <c r="F33" s="155">
        <f>E33*PARÂMETROS!$E$14</f>
        <v>0</v>
      </c>
      <c r="G33" s="154">
        <f t="shared" si="11"/>
        <v>0</v>
      </c>
      <c r="H33" s="155">
        <f>G33*PARÂMETROS!$E$8</f>
        <v>0</v>
      </c>
      <c r="I33" s="154"/>
      <c r="J33" s="155">
        <f>I33*PARÂMETROS!$E$10</f>
        <v>0</v>
      </c>
      <c r="K33" s="154"/>
      <c r="L33" s="155">
        <f>K33*PARÂMETROS!$E$11</f>
        <v>0</v>
      </c>
      <c r="M33" s="154"/>
      <c r="N33" s="157">
        <f>M33*PARÂMETROS!$E$12</f>
        <v>0</v>
      </c>
      <c r="R33" s="158" t="s">
        <v>1143</v>
      </c>
      <c r="S33" s="158">
        <v>3</v>
      </c>
      <c r="T33" s="159">
        <f t="shared" si="6"/>
        <v>0</v>
      </c>
      <c r="V33" s="158" t="s">
        <v>1143</v>
      </c>
      <c r="W33" s="158">
        <v>3</v>
      </c>
      <c r="X33" s="159">
        <f t="shared" si="1"/>
        <v>0</v>
      </c>
      <c r="Y33" s="57"/>
      <c r="Z33" s="57"/>
      <c r="AA33" s="160" t="s">
        <v>1143</v>
      </c>
      <c r="AB33" s="160">
        <v>3</v>
      </c>
      <c r="AC33" s="161">
        <v>6.8</v>
      </c>
      <c r="AD33" s="162">
        <f>PARÂMETROS!$H$3</f>
        <v>40</v>
      </c>
      <c r="AE33" s="163">
        <v>6.5972222222222196E-2</v>
      </c>
      <c r="AF33" s="162">
        <f t="shared" si="2"/>
        <v>63.333333333333314</v>
      </c>
      <c r="AG33" s="164">
        <v>4</v>
      </c>
      <c r="AH33" s="165">
        <f t="shared" si="3"/>
        <v>15.833333333333329</v>
      </c>
      <c r="AI33" s="166">
        <f t="shared" si="4"/>
        <v>22.633333333333329</v>
      </c>
      <c r="AJ33" s="164">
        <v>4</v>
      </c>
      <c r="AK33" s="23">
        <f t="shared" si="5"/>
        <v>3</v>
      </c>
    </row>
    <row r="34" spans="1:37" ht="24" customHeight="1" thickBot="1" x14ac:dyDescent="0.35">
      <c r="A34" s="152" t="s">
        <v>1143</v>
      </c>
      <c r="B34" s="153">
        <v>4</v>
      </c>
      <c r="C34" s="153"/>
      <c r="D34" s="153" t="s">
        <v>1144</v>
      </c>
      <c r="E34" s="154"/>
      <c r="F34" s="155">
        <f>E34*PARÂMETROS!$E$14</f>
        <v>0</v>
      </c>
      <c r="G34" s="154">
        <f t="shared" si="11"/>
        <v>0</v>
      </c>
      <c r="H34" s="155">
        <f>G34*PARÂMETROS!$E$8</f>
        <v>0</v>
      </c>
      <c r="I34" s="154"/>
      <c r="J34" s="155">
        <f>I34*PARÂMETROS!$E$10</f>
        <v>0</v>
      </c>
      <c r="K34" s="154"/>
      <c r="L34" s="155">
        <f>K34*PARÂMETROS!$E$11</f>
        <v>0</v>
      </c>
      <c r="M34" s="154"/>
      <c r="N34" s="157">
        <f>M34*PARÂMETROS!$E$12</f>
        <v>0</v>
      </c>
      <c r="R34" s="158" t="s">
        <v>1143</v>
      </c>
      <c r="S34" s="158">
        <v>4</v>
      </c>
      <c r="T34" s="159">
        <f t="shared" si="6"/>
        <v>0</v>
      </c>
      <c r="V34" s="158" t="s">
        <v>1143</v>
      </c>
      <c r="W34" s="158">
        <v>4</v>
      </c>
      <c r="X34" s="159">
        <f t="shared" si="1"/>
        <v>0</v>
      </c>
      <c r="Y34" s="57"/>
      <c r="Z34" s="57"/>
      <c r="AA34" s="160" t="s">
        <v>1143</v>
      </c>
      <c r="AB34" s="160">
        <v>4</v>
      </c>
      <c r="AC34" s="161">
        <v>8.2200000000000006</v>
      </c>
      <c r="AD34" s="162">
        <f>PARÂMETROS!$H$3</f>
        <v>40</v>
      </c>
      <c r="AE34" s="163">
        <v>6.5972222222222196E-2</v>
      </c>
      <c r="AF34" s="162">
        <f t="shared" si="2"/>
        <v>63.333333333333314</v>
      </c>
      <c r="AG34" s="164">
        <v>4</v>
      </c>
      <c r="AH34" s="165">
        <f t="shared" si="3"/>
        <v>15.833333333333329</v>
      </c>
      <c r="AI34" s="166">
        <f t="shared" si="4"/>
        <v>24.053333333333327</v>
      </c>
      <c r="AJ34" s="164">
        <v>4</v>
      </c>
      <c r="AK34" s="23">
        <f t="shared" si="5"/>
        <v>4</v>
      </c>
    </row>
    <row r="35" spans="1:37" ht="24" customHeight="1" thickBot="1" x14ac:dyDescent="0.35">
      <c r="A35" s="152" t="s">
        <v>1143</v>
      </c>
      <c r="B35" s="153">
        <v>6</v>
      </c>
      <c r="C35" s="153" t="s">
        <v>1145</v>
      </c>
      <c r="D35" s="153" t="s">
        <v>1144</v>
      </c>
      <c r="E35" s="154">
        <v>0.29199999999999998</v>
      </c>
      <c r="F35" s="155">
        <f>E35*PARÂMETROS!$E$14</f>
        <v>6.2867600000000001</v>
      </c>
      <c r="G35" s="154">
        <f t="shared" si="11"/>
        <v>2.92E-2</v>
      </c>
      <c r="H35" s="155">
        <f>G35*PARÂMETROS!$E$8</f>
        <v>0.90198800000000001</v>
      </c>
      <c r="I35" s="154">
        <f t="shared" ref="I35:I75" si="12">O35*53.937%</f>
        <v>0.18338580000000002</v>
      </c>
      <c r="J35" s="155">
        <f>I35*PARÂMETROS!$E$10</f>
        <v>9.343506510000001</v>
      </c>
      <c r="K35" s="154">
        <f t="shared" ref="K35:K75" si="13">O35*38.619%</f>
        <v>0.13130459999999999</v>
      </c>
      <c r="L35" s="155">
        <f>K35*PARÂMETROS!$E$11</f>
        <v>5.8745678039999998</v>
      </c>
      <c r="M35" s="154">
        <f t="shared" ref="M35:M75" si="14">O35*7.445%</f>
        <v>2.5313000000000002E-2</v>
      </c>
      <c r="N35" s="157">
        <f>M35*PARÂMETROS!$E$12</f>
        <v>1.5202987800000003</v>
      </c>
      <c r="O35" s="60">
        <v>0.34</v>
      </c>
      <c r="R35" s="158" t="s">
        <v>1143</v>
      </c>
      <c r="S35" s="158">
        <v>6</v>
      </c>
      <c r="T35" s="159">
        <f t="shared" si="6"/>
        <v>7.1887480000000004</v>
      </c>
      <c r="V35" s="158" t="s">
        <v>1143</v>
      </c>
      <c r="W35" s="158">
        <v>6</v>
      </c>
      <c r="X35" s="159">
        <f t="shared" si="1"/>
        <v>16.738373094</v>
      </c>
      <c r="Y35" s="57"/>
      <c r="Z35" s="57"/>
      <c r="AA35" s="160" t="s">
        <v>1143</v>
      </c>
      <c r="AB35" s="160">
        <v>6</v>
      </c>
      <c r="AC35" s="161">
        <f t="shared" ref="AC35:AC53" si="15">T35</f>
        <v>7.1887480000000004</v>
      </c>
      <c r="AD35" s="162">
        <f>PARÂMETROS!$H$3</f>
        <v>40</v>
      </c>
      <c r="AE35" s="163">
        <v>6.5972222222222196E-2</v>
      </c>
      <c r="AF35" s="162">
        <f t="shared" si="2"/>
        <v>63.333333333333314</v>
      </c>
      <c r="AG35" s="164">
        <v>3</v>
      </c>
      <c r="AH35" s="165">
        <f t="shared" si="3"/>
        <v>21.111111111111104</v>
      </c>
      <c r="AI35" s="166">
        <f t="shared" si="4"/>
        <v>28.299859111111104</v>
      </c>
      <c r="AJ35" s="164">
        <v>3</v>
      </c>
      <c r="AK35" s="23">
        <f t="shared" si="5"/>
        <v>6</v>
      </c>
    </row>
    <row r="36" spans="1:37" ht="24" customHeight="1" thickBot="1" x14ac:dyDescent="0.35">
      <c r="A36" s="152" t="s">
        <v>1143</v>
      </c>
      <c r="B36" s="153">
        <v>8</v>
      </c>
      <c r="C36" s="153" t="s">
        <v>1146</v>
      </c>
      <c r="D36" s="153" t="s">
        <v>1144</v>
      </c>
      <c r="E36" s="154">
        <v>0.53</v>
      </c>
      <c r="F36" s="155">
        <f>E36*PARÂMETROS!$E$14</f>
        <v>11.410900000000002</v>
      </c>
      <c r="G36" s="154">
        <f t="shared" si="11"/>
        <v>5.3000000000000005E-2</v>
      </c>
      <c r="H36" s="155">
        <f>G36*PARÂMETROS!$E$8</f>
        <v>1.6371700000000002</v>
      </c>
      <c r="I36" s="154">
        <f t="shared" si="12"/>
        <v>0.31822830000000002</v>
      </c>
      <c r="J36" s="155">
        <f>I36*PARÂMETROS!$E$10</f>
        <v>16.213731885000001</v>
      </c>
      <c r="K36" s="154">
        <f t="shared" si="13"/>
        <v>0.22785209999999997</v>
      </c>
      <c r="L36" s="155">
        <f>K36*PARÂMETROS!$E$11</f>
        <v>10.194102954</v>
      </c>
      <c r="M36" s="154">
        <f t="shared" si="14"/>
        <v>4.3925499999999999E-2</v>
      </c>
      <c r="N36" s="157">
        <f>M36*PARÂMETROS!$E$12</f>
        <v>2.6381655300000002</v>
      </c>
      <c r="O36" s="60">
        <v>0.59</v>
      </c>
      <c r="R36" s="158" t="s">
        <v>1143</v>
      </c>
      <c r="S36" s="158">
        <v>8</v>
      </c>
      <c r="T36" s="159">
        <f t="shared" si="6"/>
        <v>13.048070000000003</v>
      </c>
      <c r="V36" s="158" t="s">
        <v>1143</v>
      </c>
      <c r="W36" s="158">
        <v>8</v>
      </c>
      <c r="X36" s="159">
        <f t="shared" si="1"/>
        <v>29.046000369000001</v>
      </c>
      <c r="Y36" s="57"/>
      <c r="Z36" s="57"/>
      <c r="AA36" s="160" t="s">
        <v>1143</v>
      </c>
      <c r="AB36" s="160">
        <v>8</v>
      </c>
      <c r="AC36" s="161">
        <f t="shared" si="15"/>
        <v>13.048070000000003</v>
      </c>
      <c r="AD36" s="162">
        <f>PARÂMETROS!$H$3</f>
        <v>40</v>
      </c>
      <c r="AE36" s="163">
        <v>6.5972222222222196E-2</v>
      </c>
      <c r="AF36" s="162">
        <f t="shared" si="2"/>
        <v>63.333333333333314</v>
      </c>
      <c r="AG36" s="164">
        <v>3</v>
      </c>
      <c r="AH36" s="165">
        <f t="shared" si="3"/>
        <v>21.111111111111104</v>
      </c>
      <c r="AI36" s="166">
        <f t="shared" si="4"/>
        <v>34.15918111111111</v>
      </c>
      <c r="AJ36" s="164">
        <v>3</v>
      </c>
      <c r="AK36" s="23">
        <f t="shared" si="5"/>
        <v>8</v>
      </c>
    </row>
    <row r="37" spans="1:37" ht="24" customHeight="1" thickBot="1" x14ac:dyDescent="0.35">
      <c r="A37" s="152" t="s">
        <v>1143</v>
      </c>
      <c r="B37" s="153">
        <v>10</v>
      </c>
      <c r="C37" s="153" t="s">
        <v>1147</v>
      </c>
      <c r="D37" s="153" t="s">
        <v>1144</v>
      </c>
      <c r="E37" s="154">
        <v>0.92300000000000004</v>
      </c>
      <c r="F37" s="155">
        <f>E37*PARÂMETROS!$E$14</f>
        <v>19.872190000000003</v>
      </c>
      <c r="G37" s="154">
        <f t="shared" si="11"/>
        <v>9.2300000000000007E-2</v>
      </c>
      <c r="H37" s="155">
        <f>G37*PARÂMETROS!$E$8</f>
        <v>2.8511470000000001</v>
      </c>
      <c r="I37" s="154">
        <f t="shared" si="12"/>
        <v>0.55177550999999991</v>
      </c>
      <c r="J37" s="155">
        <f>I37*PARÂMETROS!$E$10</f>
        <v>28.112962234499996</v>
      </c>
      <c r="K37" s="154">
        <f t="shared" si="13"/>
        <v>0.39507236999999995</v>
      </c>
      <c r="L37" s="155">
        <f>K37*PARÂMETROS!$E$11</f>
        <v>17.6755378338</v>
      </c>
      <c r="M37" s="154">
        <f t="shared" si="14"/>
        <v>7.616234999999999E-2</v>
      </c>
      <c r="N37" s="157">
        <f>M37*PARÂMETROS!$E$12</f>
        <v>4.5743107409999997</v>
      </c>
      <c r="O37" s="60">
        <v>1.0229999999999999</v>
      </c>
      <c r="R37" s="158" t="s">
        <v>1143</v>
      </c>
      <c r="S37" s="158">
        <v>10</v>
      </c>
      <c r="T37" s="159">
        <f t="shared" si="6"/>
        <v>22.723337000000004</v>
      </c>
      <c r="V37" s="158" t="s">
        <v>1143</v>
      </c>
      <c r="W37" s="158">
        <v>10</v>
      </c>
      <c r="X37" s="159">
        <f t="shared" si="1"/>
        <v>50.362810809299994</v>
      </c>
      <c r="Y37" s="57"/>
      <c r="Z37" s="57"/>
      <c r="AA37" s="160" t="s">
        <v>1143</v>
      </c>
      <c r="AB37" s="160">
        <v>10</v>
      </c>
      <c r="AC37" s="161">
        <f t="shared" si="15"/>
        <v>22.723337000000004</v>
      </c>
      <c r="AD37" s="162">
        <f>PARÂMETROS!$H$3</f>
        <v>40</v>
      </c>
      <c r="AE37" s="163">
        <v>6.5972222222222196E-2</v>
      </c>
      <c r="AF37" s="162">
        <f t="shared" si="2"/>
        <v>63.333333333333314</v>
      </c>
      <c r="AG37" s="164">
        <v>3</v>
      </c>
      <c r="AH37" s="165">
        <f t="shared" si="3"/>
        <v>21.111111111111104</v>
      </c>
      <c r="AI37" s="166">
        <f t="shared" si="4"/>
        <v>43.834448111111108</v>
      </c>
      <c r="AJ37" s="164">
        <v>3</v>
      </c>
      <c r="AK37" s="23">
        <f t="shared" si="5"/>
        <v>10</v>
      </c>
    </row>
    <row r="38" spans="1:37" ht="24" customHeight="1" thickBot="1" x14ac:dyDescent="0.35">
      <c r="A38" s="152" t="s">
        <v>1143</v>
      </c>
      <c r="B38" s="153">
        <v>12</v>
      </c>
      <c r="C38" s="153" t="s">
        <v>1148</v>
      </c>
      <c r="D38" s="153" t="s">
        <v>1144</v>
      </c>
      <c r="E38" s="154">
        <v>1.4259999999999999</v>
      </c>
      <c r="F38" s="155">
        <f>E38*PARÂMETROS!$E$14</f>
        <v>30.701779999999999</v>
      </c>
      <c r="G38" s="154">
        <f t="shared" si="11"/>
        <v>0.1426</v>
      </c>
      <c r="H38" s="155">
        <f>G38*PARÂMETROS!$E$8</f>
        <v>4.4049140000000007</v>
      </c>
      <c r="I38" s="154">
        <f t="shared" si="12"/>
        <v>0.85220460000000009</v>
      </c>
      <c r="J38" s="155">
        <f>I38*PARÂMETROS!$E$10</f>
        <v>43.419824370000008</v>
      </c>
      <c r="K38" s="154">
        <f t="shared" si="13"/>
        <v>0.61018019999999995</v>
      </c>
      <c r="L38" s="155">
        <f>K38*PARÂMETROS!$E$11</f>
        <v>27.299462148</v>
      </c>
      <c r="M38" s="154">
        <f t="shared" si="14"/>
        <v>0.11763100000000001</v>
      </c>
      <c r="N38" s="157">
        <f>M38*PARÂMETROS!$E$12</f>
        <v>7.0649178600000013</v>
      </c>
      <c r="O38" s="60">
        <v>1.58</v>
      </c>
      <c r="R38" s="158" t="s">
        <v>1143</v>
      </c>
      <c r="S38" s="158">
        <v>12</v>
      </c>
      <c r="T38" s="159">
        <f t="shared" si="6"/>
        <v>35.106693999999997</v>
      </c>
      <c r="V38" s="158" t="s">
        <v>1143</v>
      </c>
      <c r="W38" s="158">
        <v>12</v>
      </c>
      <c r="X38" s="159">
        <f t="shared" si="1"/>
        <v>77.784204377999998</v>
      </c>
      <c r="Y38" s="57"/>
      <c r="Z38" s="57"/>
      <c r="AA38" s="160" t="s">
        <v>1143</v>
      </c>
      <c r="AB38" s="160">
        <v>12</v>
      </c>
      <c r="AC38" s="161">
        <f t="shared" si="15"/>
        <v>35.106693999999997</v>
      </c>
      <c r="AD38" s="162">
        <f>PARÂMETROS!$H$3</f>
        <v>40</v>
      </c>
      <c r="AE38" s="163">
        <v>6.5972222222222196E-2</v>
      </c>
      <c r="AF38" s="162">
        <f t="shared" si="2"/>
        <v>63.333333333333314</v>
      </c>
      <c r="AG38" s="164">
        <v>2</v>
      </c>
      <c r="AH38" s="165">
        <f t="shared" si="3"/>
        <v>31.666666666666657</v>
      </c>
      <c r="AI38" s="166">
        <f t="shared" si="4"/>
        <v>66.773360666666662</v>
      </c>
      <c r="AJ38" s="164">
        <v>2</v>
      </c>
      <c r="AK38" s="23">
        <f t="shared" si="5"/>
        <v>12</v>
      </c>
    </row>
    <row r="39" spans="1:37" ht="24" customHeight="1" thickBot="1" x14ac:dyDescent="0.35">
      <c r="A39" s="152" t="s">
        <v>1143</v>
      </c>
      <c r="B39" s="153">
        <v>14</v>
      </c>
      <c r="C39" s="153" t="s">
        <v>1149</v>
      </c>
      <c r="D39" s="153" t="s">
        <v>1144</v>
      </c>
      <c r="E39" s="154">
        <v>1.7789999999999999</v>
      </c>
      <c r="F39" s="155">
        <f>E39*PARÂMETROS!$E$14</f>
        <v>38.301870000000001</v>
      </c>
      <c r="G39" s="154">
        <f t="shared" si="11"/>
        <v>0.1779</v>
      </c>
      <c r="H39" s="155">
        <f>G39*PARÂMETROS!$E$8</f>
        <v>5.4953310000000002</v>
      </c>
      <c r="I39" s="154">
        <f t="shared" si="12"/>
        <v>1.0679525999999999</v>
      </c>
      <c r="J39" s="155">
        <f>I39*PARÂMETROS!$E$10</f>
        <v>54.412184969999998</v>
      </c>
      <c r="K39" s="154">
        <f t="shared" si="13"/>
        <v>0.7646561999999999</v>
      </c>
      <c r="L39" s="155">
        <f>K39*PARÂMETROS!$E$11</f>
        <v>34.210718387999997</v>
      </c>
      <c r="M39" s="154">
        <f t="shared" si="14"/>
        <v>0.14741100000000001</v>
      </c>
      <c r="N39" s="157">
        <f>M39*PARÂMETROS!$E$12</f>
        <v>8.8535046600000005</v>
      </c>
      <c r="O39" s="60">
        <v>1.98</v>
      </c>
      <c r="R39" s="158" t="s">
        <v>1143</v>
      </c>
      <c r="S39" s="158">
        <v>14</v>
      </c>
      <c r="T39" s="159">
        <f t="shared" si="6"/>
        <v>43.797201000000001</v>
      </c>
      <c r="V39" s="158" t="s">
        <v>1143</v>
      </c>
      <c r="W39" s="158">
        <v>14</v>
      </c>
      <c r="X39" s="159">
        <f t="shared" si="1"/>
        <v>97.476408018000001</v>
      </c>
      <c r="Y39" s="57"/>
      <c r="Z39" s="57"/>
      <c r="AA39" s="160" t="s">
        <v>1143</v>
      </c>
      <c r="AB39" s="160">
        <v>14</v>
      </c>
      <c r="AC39" s="161">
        <f t="shared" si="15"/>
        <v>43.797201000000001</v>
      </c>
      <c r="AD39" s="162">
        <f>PARÂMETROS!$H$3</f>
        <v>40</v>
      </c>
      <c r="AE39" s="163">
        <v>6.5972222222222196E-2</v>
      </c>
      <c r="AF39" s="162">
        <f t="shared" si="2"/>
        <v>63.333333333333314</v>
      </c>
      <c r="AG39" s="164">
        <v>2</v>
      </c>
      <c r="AH39" s="165">
        <f t="shared" si="3"/>
        <v>31.666666666666657</v>
      </c>
      <c r="AI39" s="166">
        <f t="shared" si="4"/>
        <v>75.463867666666658</v>
      </c>
      <c r="AJ39" s="164">
        <v>2</v>
      </c>
      <c r="AK39" s="23">
        <f t="shared" si="5"/>
        <v>14</v>
      </c>
    </row>
    <row r="40" spans="1:37" ht="24" customHeight="1" thickBot="1" x14ac:dyDescent="0.35">
      <c r="A40" s="152" t="s">
        <v>1143</v>
      </c>
      <c r="B40" s="153">
        <v>16</v>
      </c>
      <c r="C40" s="153" t="s">
        <v>1150</v>
      </c>
      <c r="D40" s="153" t="s">
        <v>1144</v>
      </c>
      <c r="E40" s="154">
        <v>2.9969999999999999</v>
      </c>
      <c r="F40" s="155">
        <f>E40*PARÂMETROS!$E$14</f>
        <v>64.525410000000008</v>
      </c>
      <c r="G40" s="154">
        <f t="shared" si="11"/>
        <v>0.29970000000000002</v>
      </c>
      <c r="H40" s="155">
        <f>G40*PARÂMETROS!$E$8</f>
        <v>9.257733</v>
      </c>
      <c r="I40" s="154">
        <f t="shared" si="12"/>
        <v>1.7799209999999999</v>
      </c>
      <c r="J40" s="155">
        <f>I40*PARÂMETROS!$E$10</f>
        <v>90.686974949999993</v>
      </c>
      <c r="K40" s="154">
        <f t="shared" si="13"/>
        <v>1.2744269999999998</v>
      </c>
      <c r="L40" s="155">
        <f>K40*PARÂMETROS!$E$11</f>
        <v>57.017863979999994</v>
      </c>
      <c r="M40" s="154">
        <f t="shared" si="14"/>
        <v>0.24568499999999999</v>
      </c>
      <c r="N40" s="157">
        <f>M40*PARÂMETROS!$E$12</f>
        <v>14.7558411</v>
      </c>
      <c r="O40" s="60">
        <v>3.3</v>
      </c>
      <c r="R40" s="158" t="s">
        <v>1143</v>
      </c>
      <c r="S40" s="158">
        <v>16</v>
      </c>
      <c r="T40" s="159">
        <f t="shared" si="6"/>
        <v>73.78314300000001</v>
      </c>
      <c r="V40" s="158" t="s">
        <v>1143</v>
      </c>
      <c r="W40" s="158">
        <v>16</v>
      </c>
      <c r="X40" s="159">
        <f t="shared" si="1"/>
        <v>162.46068002999999</v>
      </c>
      <c r="Y40" s="57"/>
      <c r="Z40" s="57"/>
      <c r="AA40" s="160" t="s">
        <v>1143</v>
      </c>
      <c r="AB40" s="160">
        <v>16</v>
      </c>
      <c r="AC40" s="161">
        <f t="shared" si="15"/>
        <v>73.78314300000001</v>
      </c>
      <c r="AD40" s="162">
        <f>PARÂMETROS!$H$3</f>
        <v>40</v>
      </c>
      <c r="AE40" s="163">
        <v>6.5972222222222196E-2</v>
      </c>
      <c r="AF40" s="162">
        <f t="shared" si="2"/>
        <v>63.333333333333314</v>
      </c>
      <c r="AG40" s="164">
        <v>2</v>
      </c>
      <c r="AH40" s="165">
        <f t="shared" si="3"/>
        <v>31.666666666666657</v>
      </c>
      <c r="AI40" s="166">
        <f t="shared" si="4"/>
        <v>105.44980966666667</v>
      </c>
      <c r="AJ40" s="164">
        <v>2</v>
      </c>
      <c r="AK40" s="23">
        <f t="shared" si="5"/>
        <v>16</v>
      </c>
    </row>
    <row r="41" spans="1:37" ht="24" customHeight="1" thickBot="1" x14ac:dyDescent="0.35">
      <c r="A41" s="152" t="s">
        <v>1143</v>
      </c>
      <c r="B41" s="153">
        <v>18</v>
      </c>
      <c r="C41" s="153" t="s">
        <v>1151</v>
      </c>
      <c r="D41" s="153" t="s">
        <v>1144</v>
      </c>
      <c r="E41" s="154">
        <v>3.5840000000000001</v>
      </c>
      <c r="F41" s="155">
        <f>E41*PARÂMETROS!$E$14</f>
        <v>77.163520000000005</v>
      </c>
      <c r="G41" s="154">
        <f t="shared" si="11"/>
        <v>0.35840000000000005</v>
      </c>
      <c r="H41" s="155">
        <f>G41*PARÂMETROS!$E$8</f>
        <v>11.070976000000002</v>
      </c>
      <c r="I41" s="154">
        <f t="shared" si="12"/>
        <v>2.1359051999999998</v>
      </c>
      <c r="J41" s="155">
        <f>I41*PARÂMETROS!$E$10</f>
        <v>108.82436994</v>
      </c>
      <c r="K41" s="154">
        <f t="shared" si="13"/>
        <v>1.5293123999999998</v>
      </c>
      <c r="L41" s="155">
        <f>K41*PARÂMETROS!$E$11</f>
        <v>68.421436775999993</v>
      </c>
      <c r="M41" s="154">
        <f t="shared" si="14"/>
        <v>0.29482200000000003</v>
      </c>
      <c r="N41" s="157">
        <f>M41*PARÂMETROS!$E$12</f>
        <v>17.707009320000001</v>
      </c>
      <c r="O41" s="60">
        <v>3.96</v>
      </c>
      <c r="R41" s="158" t="s">
        <v>1143</v>
      </c>
      <c r="S41" s="158">
        <v>18</v>
      </c>
      <c r="T41" s="159">
        <f t="shared" si="6"/>
        <v>88.234496000000007</v>
      </c>
      <c r="V41" s="158" t="s">
        <v>1143</v>
      </c>
      <c r="W41" s="158">
        <v>18</v>
      </c>
      <c r="X41" s="159">
        <f t="shared" si="1"/>
        <v>194.952816036</v>
      </c>
      <c r="Y41" s="57"/>
      <c r="Z41" s="57"/>
      <c r="AA41" s="160" t="s">
        <v>1143</v>
      </c>
      <c r="AB41" s="160">
        <v>18</v>
      </c>
      <c r="AC41" s="161">
        <f t="shared" si="15"/>
        <v>88.234496000000007</v>
      </c>
      <c r="AD41" s="162">
        <f>PARÂMETROS!$H$3</f>
        <v>40</v>
      </c>
      <c r="AE41" s="163">
        <v>6.5972222222222196E-2</v>
      </c>
      <c r="AF41" s="162">
        <f t="shared" si="2"/>
        <v>63.333333333333314</v>
      </c>
      <c r="AG41" s="164">
        <v>2</v>
      </c>
      <c r="AH41" s="165">
        <f t="shared" si="3"/>
        <v>31.666666666666657</v>
      </c>
      <c r="AI41" s="166">
        <f t="shared" si="4"/>
        <v>119.90116266666666</v>
      </c>
      <c r="AJ41" s="164">
        <v>2</v>
      </c>
      <c r="AK41" s="23">
        <f t="shared" si="5"/>
        <v>18</v>
      </c>
    </row>
    <row r="42" spans="1:37" ht="24" customHeight="1" thickBot="1" x14ac:dyDescent="0.35">
      <c r="A42" s="152" t="s">
        <v>1143</v>
      </c>
      <c r="B42" s="153">
        <v>20</v>
      </c>
      <c r="C42" s="153" t="s">
        <v>1152</v>
      </c>
      <c r="D42" s="153" t="s">
        <v>1144</v>
      </c>
      <c r="E42" s="154">
        <v>4.0839999999999996</v>
      </c>
      <c r="F42" s="155">
        <f>E42*PARÂMETROS!$E$14</f>
        <v>87.928519999999992</v>
      </c>
      <c r="G42" s="154">
        <f t="shared" si="11"/>
        <v>0.40839999999999999</v>
      </c>
      <c r="H42" s="155">
        <f>G42*PARÂMETROS!$E$8</f>
        <v>12.615475999999999</v>
      </c>
      <c r="I42" s="154">
        <f t="shared" si="12"/>
        <v>2.4541335000000002</v>
      </c>
      <c r="J42" s="155">
        <f>I42*PARÂMETROS!$E$10</f>
        <v>125.03810182500001</v>
      </c>
      <c r="K42" s="154">
        <f t="shared" si="13"/>
        <v>1.7571644999999998</v>
      </c>
      <c r="L42" s="155">
        <f>K42*PARÂMETROS!$E$11</f>
        <v>78.615539729999995</v>
      </c>
      <c r="M42" s="154">
        <f t="shared" si="14"/>
        <v>0.33874749999999998</v>
      </c>
      <c r="N42" s="157">
        <f>M42*PARÂMETROS!$E$12</f>
        <v>20.345174849999999</v>
      </c>
      <c r="O42" s="60">
        <v>4.55</v>
      </c>
      <c r="R42" s="158" t="s">
        <v>1143</v>
      </c>
      <c r="S42" s="158">
        <v>20</v>
      </c>
      <c r="T42" s="159">
        <f t="shared" si="6"/>
        <v>100.54399599999999</v>
      </c>
      <c r="V42" s="158" t="s">
        <v>1143</v>
      </c>
      <c r="W42" s="158">
        <v>20</v>
      </c>
      <c r="X42" s="159">
        <f t="shared" ref="X42:X73" si="16">N42+L42+J42</f>
        <v>223.99881640500001</v>
      </c>
      <c r="Y42" s="57"/>
      <c r="Z42" s="57"/>
      <c r="AA42" s="160" t="s">
        <v>1143</v>
      </c>
      <c r="AB42" s="160">
        <v>20</v>
      </c>
      <c r="AC42" s="161">
        <f t="shared" si="15"/>
        <v>100.54399599999999</v>
      </c>
      <c r="AD42" s="162">
        <f>PARÂMETROS!$H$3</f>
        <v>40</v>
      </c>
      <c r="AE42" s="163">
        <v>6.5972222222222196E-2</v>
      </c>
      <c r="AF42" s="162">
        <f t="shared" ref="AF42:AF73" si="17">(AE42*AD42)*24</f>
        <v>63.333333333333314</v>
      </c>
      <c r="AG42" s="164">
        <v>2</v>
      </c>
      <c r="AH42" s="165">
        <f t="shared" ref="AH42:AH73" si="18">AF42/AG42</f>
        <v>31.666666666666657</v>
      </c>
      <c r="AI42" s="166">
        <f t="shared" ref="AI42:AI73" si="19">AH42+AC42</f>
        <v>132.21066266666665</v>
      </c>
      <c r="AJ42" s="164">
        <v>2</v>
      </c>
      <c r="AK42" s="23">
        <f t="shared" ref="AK42:AK73" si="20">IFERROR(VALUE(SUBSTITUTE(SUBSTITUTE(SUBSTITUTE(SUBSTITUTE(SUBSTITUTE(AB42,"DN",""),CHAR(34),""),"”",""),"“",""),"''","")),"")</f>
        <v>20</v>
      </c>
    </row>
    <row r="43" spans="1:37" ht="24" customHeight="1" thickBot="1" x14ac:dyDescent="0.35">
      <c r="A43" s="152" t="s">
        <v>1143</v>
      </c>
      <c r="B43" s="153">
        <v>22</v>
      </c>
      <c r="C43" s="153" t="s">
        <v>1153</v>
      </c>
      <c r="D43" s="153" t="s">
        <v>1144</v>
      </c>
      <c r="E43" s="154">
        <v>5.5149999999999997</v>
      </c>
      <c r="F43" s="155">
        <f>E43*PARÂMETROS!$E$14</f>
        <v>118.73795</v>
      </c>
      <c r="G43" s="154">
        <f t="shared" si="11"/>
        <v>0.55149999999999999</v>
      </c>
      <c r="H43" s="155">
        <f>G43*PARÂMETROS!$E$8</f>
        <v>17.035834999999999</v>
      </c>
      <c r="I43" s="154">
        <f t="shared" si="12"/>
        <v>3.3009444000000001</v>
      </c>
      <c r="J43" s="155">
        <f>I43*PARÂMETROS!$E$10</f>
        <v>168.18311718000001</v>
      </c>
      <c r="K43" s="154">
        <f t="shared" si="13"/>
        <v>2.3634827999999999</v>
      </c>
      <c r="L43" s="155">
        <f>K43*PARÂMETROS!$E$11</f>
        <v>105.742220472</v>
      </c>
      <c r="M43" s="154">
        <f t="shared" si="14"/>
        <v>0.45563400000000004</v>
      </c>
      <c r="N43" s="157">
        <f>M43*PARÂMETROS!$E$12</f>
        <v>27.365378040000003</v>
      </c>
      <c r="O43" s="60">
        <v>6.12</v>
      </c>
      <c r="R43" s="158" t="s">
        <v>1143</v>
      </c>
      <c r="S43" s="158">
        <v>22</v>
      </c>
      <c r="T43" s="159">
        <f t="shared" si="6"/>
        <v>135.773785</v>
      </c>
      <c r="V43" s="158" t="s">
        <v>1143</v>
      </c>
      <c r="W43" s="158">
        <v>22</v>
      </c>
      <c r="X43" s="159">
        <f t="shared" si="16"/>
        <v>301.29071569200005</v>
      </c>
      <c r="Y43" s="57"/>
      <c r="Z43" s="57"/>
      <c r="AA43" s="160" t="s">
        <v>1143</v>
      </c>
      <c r="AB43" s="160">
        <v>22</v>
      </c>
      <c r="AC43" s="161">
        <f t="shared" si="15"/>
        <v>135.773785</v>
      </c>
      <c r="AD43" s="162">
        <f>PARÂMETROS!$H$3</f>
        <v>40</v>
      </c>
      <c r="AE43" s="163">
        <v>6.5972222222222196E-2</v>
      </c>
      <c r="AF43" s="162">
        <f t="shared" si="17"/>
        <v>63.333333333333314</v>
      </c>
      <c r="AG43" s="164">
        <v>2</v>
      </c>
      <c r="AH43" s="165">
        <f t="shared" si="18"/>
        <v>31.666666666666657</v>
      </c>
      <c r="AI43" s="166">
        <f t="shared" si="19"/>
        <v>167.44045166666666</v>
      </c>
      <c r="AJ43" s="164">
        <v>2</v>
      </c>
      <c r="AK43" s="23">
        <f t="shared" si="20"/>
        <v>22</v>
      </c>
    </row>
    <row r="44" spans="1:37" ht="24" customHeight="1" thickBot="1" x14ac:dyDescent="0.35">
      <c r="A44" s="152" t="s">
        <v>1143</v>
      </c>
      <c r="B44" s="153">
        <v>24</v>
      </c>
      <c r="C44" s="153" t="s">
        <v>1154</v>
      </c>
      <c r="D44" s="153" t="s">
        <v>1144</v>
      </c>
      <c r="E44" s="154">
        <v>6.9050000000000002</v>
      </c>
      <c r="F44" s="155">
        <f>E44*PARÂMETROS!$E$15</f>
        <v>235.66765000000004</v>
      </c>
      <c r="G44" s="154">
        <f t="shared" si="11"/>
        <v>0.69050000000000011</v>
      </c>
      <c r="H44" s="155">
        <f>G44*PARÂMETROS!$E$8</f>
        <v>21.329545000000003</v>
      </c>
      <c r="I44" s="154">
        <f t="shared" si="12"/>
        <v>4.1261805000000003</v>
      </c>
      <c r="J44" s="155">
        <f>I44*PARÂMETROS!$E$10</f>
        <v>210.22889647500003</v>
      </c>
      <c r="K44" s="154">
        <f t="shared" si="13"/>
        <v>2.9543534999999999</v>
      </c>
      <c r="L44" s="155">
        <f>K44*PARÂMETROS!$E$11</f>
        <v>132.17777559000001</v>
      </c>
      <c r="M44" s="154">
        <f t="shared" si="14"/>
        <v>0.56954250000000006</v>
      </c>
      <c r="N44" s="157">
        <f>M44*PARÂMETROS!$E$12</f>
        <v>34.206722550000002</v>
      </c>
      <c r="O44" s="60">
        <v>7.65</v>
      </c>
      <c r="R44" s="158" t="s">
        <v>1143</v>
      </c>
      <c r="S44" s="158">
        <v>24</v>
      </c>
      <c r="T44" s="159">
        <f t="shared" si="6"/>
        <v>256.99719500000003</v>
      </c>
      <c r="V44" s="158" t="s">
        <v>1143</v>
      </c>
      <c r="W44" s="158">
        <v>24</v>
      </c>
      <c r="X44" s="159">
        <f t="shared" si="16"/>
        <v>376.61339461500006</v>
      </c>
      <c r="Y44" s="57"/>
      <c r="Z44" s="57"/>
      <c r="AA44" s="160" t="s">
        <v>1143</v>
      </c>
      <c r="AB44" s="160">
        <v>24</v>
      </c>
      <c r="AC44" s="161">
        <f t="shared" si="15"/>
        <v>256.99719500000003</v>
      </c>
      <c r="AD44" s="162">
        <f>PARÂMETROS!$H$3</f>
        <v>40</v>
      </c>
      <c r="AE44" s="163">
        <v>6.5972222222222196E-2</v>
      </c>
      <c r="AF44" s="162">
        <f t="shared" si="17"/>
        <v>63.333333333333314</v>
      </c>
      <c r="AG44" s="164">
        <v>2</v>
      </c>
      <c r="AH44" s="165">
        <f t="shared" si="18"/>
        <v>31.666666666666657</v>
      </c>
      <c r="AI44" s="166">
        <f t="shared" si="19"/>
        <v>288.66386166666666</v>
      </c>
      <c r="AJ44" s="164">
        <v>2</v>
      </c>
      <c r="AK44" s="23">
        <f t="shared" si="20"/>
        <v>24</v>
      </c>
    </row>
    <row r="45" spans="1:37" ht="24" customHeight="1" thickBot="1" x14ac:dyDescent="0.35">
      <c r="A45" s="152" t="s">
        <v>1143</v>
      </c>
      <c r="B45" s="153">
        <v>26</v>
      </c>
      <c r="C45" s="153" t="s">
        <v>1155</v>
      </c>
      <c r="D45" s="153" t="s">
        <v>1144</v>
      </c>
      <c r="E45" s="154">
        <v>9.1579999999999995</v>
      </c>
      <c r="F45" s="155">
        <f>E45*PARÂMETROS!$E$15</f>
        <v>312.56254000000001</v>
      </c>
      <c r="G45" s="154">
        <f t="shared" si="11"/>
        <v>0.91579999999999995</v>
      </c>
      <c r="H45" s="155">
        <f>G45*PARÂMETROS!$E$8</f>
        <v>28.289061999999998</v>
      </c>
      <c r="I45" s="154">
        <f t="shared" si="12"/>
        <v>5.4746055</v>
      </c>
      <c r="J45" s="155">
        <f>I45*PARÂMETROS!$E$10</f>
        <v>278.93115022500001</v>
      </c>
      <c r="K45" s="154">
        <f t="shared" si="13"/>
        <v>3.9198284999999999</v>
      </c>
      <c r="L45" s="155">
        <f>K45*PARÂMETROS!$E$11</f>
        <v>175.37312709</v>
      </c>
      <c r="M45" s="154">
        <f t="shared" si="14"/>
        <v>0.75566750000000005</v>
      </c>
      <c r="N45" s="157">
        <f>M45*PARÂMETROS!$E$12</f>
        <v>45.385390050000005</v>
      </c>
      <c r="O45" s="60">
        <v>10.15</v>
      </c>
      <c r="R45" s="158" t="s">
        <v>1143</v>
      </c>
      <c r="S45" s="158">
        <v>26</v>
      </c>
      <c r="T45" s="159">
        <f t="shared" ref="T45:T76" si="21">F45+H45</f>
        <v>340.85160200000001</v>
      </c>
      <c r="V45" s="158" t="s">
        <v>1143</v>
      </c>
      <c r="W45" s="158">
        <v>26</v>
      </c>
      <c r="X45" s="159">
        <f t="shared" si="16"/>
        <v>499.68966736499999</v>
      </c>
      <c r="Y45" s="57"/>
      <c r="Z45" s="57"/>
      <c r="AA45" s="160" t="s">
        <v>1143</v>
      </c>
      <c r="AB45" s="160">
        <v>26</v>
      </c>
      <c r="AC45" s="161">
        <f t="shared" si="15"/>
        <v>340.85160200000001</v>
      </c>
      <c r="AD45" s="162">
        <f>PARÂMETROS!$H$3</f>
        <v>40</v>
      </c>
      <c r="AE45" s="163">
        <v>6.5972222222222196E-2</v>
      </c>
      <c r="AF45" s="162">
        <f t="shared" si="17"/>
        <v>63.333333333333314</v>
      </c>
      <c r="AG45" s="164">
        <v>2</v>
      </c>
      <c r="AH45" s="165">
        <f t="shared" si="18"/>
        <v>31.666666666666657</v>
      </c>
      <c r="AI45" s="166">
        <f t="shared" si="19"/>
        <v>372.5182686666667</v>
      </c>
      <c r="AJ45" s="164">
        <v>2</v>
      </c>
      <c r="AK45" s="23">
        <f t="shared" si="20"/>
        <v>26</v>
      </c>
    </row>
    <row r="46" spans="1:37" ht="24" customHeight="1" thickBot="1" x14ac:dyDescent="0.35">
      <c r="A46" s="152" t="s">
        <v>1143</v>
      </c>
      <c r="B46" s="153">
        <v>28</v>
      </c>
      <c r="C46" s="153" t="s">
        <v>1156</v>
      </c>
      <c r="D46" s="153" t="s">
        <v>1144</v>
      </c>
      <c r="E46" s="154">
        <v>12.269</v>
      </c>
      <c r="F46" s="155">
        <f>E46*PARÂMETROS!$E$15</f>
        <v>418.74097000000006</v>
      </c>
      <c r="G46" s="154">
        <f t="shared" si="11"/>
        <v>1.2269000000000001</v>
      </c>
      <c r="H46" s="155">
        <f>G46*PARÂMETROS!$E$8</f>
        <v>37.898941000000001</v>
      </c>
      <c r="I46" s="154">
        <f t="shared" si="12"/>
        <v>7.335432</v>
      </c>
      <c r="J46" s="155">
        <f>I46*PARÂMETROS!$E$10</f>
        <v>373.74026040000001</v>
      </c>
      <c r="K46" s="154">
        <f t="shared" si="13"/>
        <v>5.2521839999999997</v>
      </c>
      <c r="L46" s="155">
        <f>K46*PARÂMETROS!$E$11</f>
        <v>234.98271216000001</v>
      </c>
      <c r="M46" s="154">
        <f t="shared" si="14"/>
        <v>1.0125200000000001</v>
      </c>
      <c r="N46" s="157">
        <f>M46*PARÂMETROS!$E$12</f>
        <v>60.81195120000001</v>
      </c>
      <c r="O46" s="60">
        <v>13.6</v>
      </c>
      <c r="R46" s="158" t="s">
        <v>1143</v>
      </c>
      <c r="S46" s="158">
        <v>28</v>
      </c>
      <c r="T46" s="159">
        <f t="shared" si="21"/>
        <v>456.63991100000004</v>
      </c>
      <c r="V46" s="158" t="s">
        <v>1143</v>
      </c>
      <c r="W46" s="158">
        <v>28</v>
      </c>
      <c r="X46" s="159">
        <f t="shared" si="16"/>
        <v>669.53492376000008</v>
      </c>
      <c r="Y46" s="57"/>
      <c r="Z46" s="57"/>
      <c r="AA46" s="160" t="s">
        <v>1143</v>
      </c>
      <c r="AB46" s="160">
        <v>28</v>
      </c>
      <c r="AC46" s="161">
        <f t="shared" si="15"/>
        <v>456.63991100000004</v>
      </c>
      <c r="AD46" s="162">
        <f>PARÂMETROS!$H$3</f>
        <v>40</v>
      </c>
      <c r="AE46" s="163">
        <v>6.5972222222222196E-2</v>
      </c>
      <c r="AF46" s="162">
        <f t="shared" si="17"/>
        <v>63.333333333333314</v>
      </c>
      <c r="AG46" s="164">
        <v>2</v>
      </c>
      <c r="AH46" s="165">
        <f t="shared" si="18"/>
        <v>31.666666666666657</v>
      </c>
      <c r="AI46" s="166">
        <f t="shared" si="19"/>
        <v>488.30657766666673</v>
      </c>
      <c r="AJ46" s="164">
        <v>2</v>
      </c>
      <c r="AK46" s="23">
        <f t="shared" si="20"/>
        <v>28</v>
      </c>
    </row>
    <row r="47" spans="1:37" ht="24" customHeight="1" thickBot="1" x14ac:dyDescent="0.35">
      <c r="A47" s="152" t="s">
        <v>1143</v>
      </c>
      <c r="B47" s="153">
        <v>30</v>
      </c>
      <c r="C47" s="153" t="s">
        <v>1157</v>
      </c>
      <c r="D47" s="153" t="s">
        <v>1144</v>
      </c>
      <c r="E47" s="154">
        <v>14.584</v>
      </c>
      <c r="F47" s="155">
        <f>E47*PARÂMETROS!$E$15</f>
        <v>497.75192000000004</v>
      </c>
      <c r="G47" s="154">
        <f t="shared" si="11"/>
        <v>1.4584000000000001</v>
      </c>
      <c r="H47" s="155">
        <f>G47*PARÂMETROS!$E$8</f>
        <v>45.049976000000008</v>
      </c>
      <c r="I47" s="154">
        <f t="shared" si="12"/>
        <v>8.7205341599999997</v>
      </c>
      <c r="J47" s="155">
        <f>I47*PARÂMETROS!$E$10</f>
        <v>444.311215452</v>
      </c>
      <c r="K47" s="154">
        <f t="shared" si="13"/>
        <v>6.2439199199999997</v>
      </c>
      <c r="L47" s="155">
        <f>K47*PARÂMETROS!$E$11</f>
        <v>279.35297722080003</v>
      </c>
      <c r="M47" s="154">
        <f t="shared" si="14"/>
        <v>1.2037076</v>
      </c>
      <c r="N47" s="157">
        <f>M47*PARÂMETROS!$E$12</f>
        <v>72.294678456</v>
      </c>
      <c r="O47" s="60">
        <v>16.167999999999999</v>
      </c>
      <c r="R47" s="158" t="s">
        <v>1143</v>
      </c>
      <c r="S47" s="158">
        <v>30</v>
      </c>
      <c r="T47" s="159">
        <f t="shared" si="21"/>
        <v>542.80189600000006</v>
      </c>
      <c r="V47" s="158" t="s">
        <v>1143</v>
      </c>
      <c r="W47" s="158">
        <v>30</v>
      </c>
      <c r="X47" s="159">
        <f t="shared" si="16"/>
        <v>795.95887112879996</v>
      </c>
      <c r="Y47" s="57"/>
      <c r="Z47" s="57"/>
      <c r="AA47" s="160" t="s">
        <v>1143</v>
      </c>
      <c r="AB47" s="160">
        <v>30</v>
      </c>
      <c r="AC47" s="161">
        <f t="shared" si="15"/>
        <v>542.80189600000006</v>
      </c>
      <c r="AD47" s="162">
        <f>PARÂMETROS!$H$3</f>
        <v>40</v>
      </c>
      <c r="AE47" s="163">
        <v>6.5972222222222196E-2</v>
      </c>
      <c r="AF47" s="162">
        <f t="shared" si="17"/>
        <v>63.333333333333314</v>
      </c>
      <c r="AG47" s="164">
        <v>1</v>
      </c>
      <c r="AH47" s="165">
        <f t="shared" si="18"/>
        <v>63.333333333333314</v>
      </c>
      <c r="AI47" s="166">
        <f t="shared" si="19"/>
        <v>606.13522933333343</v>
      </c>
      <c r="AJ47" s="164">
        <v>1</v>
      </c>
      <c r="AK47" s="23">
        <f t="shared" si="20"/>
        <v>30</v>
      </c>
    </row>
    <row r="48" spans="1:37" ht="24" customHeight="1" thickBot="1" x14ac:dyDescent="0.35">
      <c r="A48" s="152" t="s">
        <v>1143</v>
      </c>
      <c r="B48" s="153">
        <v>32</v>
      </c>
      <c r="C48" s="153" t="s">
        <v>1158</v>
      </c>
      <c r="D48" s="153" t="s">
        <v>1144</v>
      </c>
      <c r="E48" s="154">
        <v>13.853999999999999</v>
      </c>
      <c r="F48" s="155">
        <f>E48*PARÂMETROS!$E$15</f>
        <v>472.83702</v>
      </c>
      <c r="G48" s="154">
        <f t="shared" si="11"/>
        <v>1.3854</v>
      </c>
      <c r="H48" s="155">
        <f>G48*PARÂMETROS!$E$8</f>
        <v>42.795006000000001</v>
      </c>
      <c r="I48" s="154">
        <f t="shared" si="12"/>
        <v>8.306298</v>
      </c>
      <c r="J48" s="155">
        <f>I48*PARÂMETROS!$E$10</f>
        <v>423.20588309999999</v>
      </c>
      <c r="K48" s="154">
        <f t="shared" si="13"/>
        <v>5.9473259999999994</v>
      </c>
      <c r="L48" s="155">
        <f>K48*PARÂMETROS!$E$11</f>
        <v>266.08336523999998</v>
      </c>
      <c r="M48" s="154">
        <f t="shared" si="14"/>
        <v>1.14653</v>
      </c>
      <c r="N48" s="157">
        <f>M48*PARÂMETROS!$E$12</f>
        <v>68.860591800000009</v>
      </c>
      <c r="O48" s="60">
        <v>15.4</v>
      </c>
      <c r="R48" s="158" t="s">
        <v>1143</v>
      </c>
      <c r="S48" s="158">
        <v>32</v>
      </c>
      <c r="T48" s="159">
        <f t="shared" si="21"/>
        <v>515.632026</v>
      </c>
      <c r="V48" s="158" t="s">
        <v>1143</v>
      </c>
      <c r="W48" s="158">
        <v>32</v>
      </c>
      <c r="X48" s="159">
        <f t="shared" si="16"/>
        <v>758.14984013999992</v>
      </c>
      <c r="Y48" s="57"/>
      <c r="Z48" s="57"/>
      <c r="AA48" s="160" t="s">
        <v>1143</v>
      </c>
      <c r="AB48" s="160">
        <v>32</v>
      </c>
      <c r="AC48" s="161">
        <f t="shared" si="15"/>
        <v>515.632026</v>
      </c>
      <c r="AD48" s="162">
        <f>PARÂMETROS!$H$3</f>
        <v>40</v>
      </c>
      <c r="AE48" s="163">
        <v>0.131944444444444</v>
      </c>
      <c r="AF48" s="162">
        <f t="shared" si="17"/>
        <v>126.66666666666623</v>
      </c>
      <c r="AG48" s="164">
        <v>1</v>
      </c>
      <c r="AH48" s="165">
        <f t="shared" si="18"/>
        <v>126.66666666666623</v>
      </c>
      <c r="AI48" s="166">
        <f t="shared" si="19"/>
        <v>642.29869266666628</v>
      </c>
      <c r="AJ48" s="164">
        <v>1</v>
      </c>
      <c r="AK48" s="23">
        <f t="shared" si="20"/>
        <v>32</v>
      </c>
    </row>
    <row r="49" spans="1:37" ht="24" customHeight="1" thickBot="1" x14ac:dyDescent="0.35">
      <c r="A49" s="152" t="s">
        <v>1143</v>
      </c>
      <c r="B49" s="153">
        <v>34</v>
      </c>
      <c r="C49" s="153" t="s">
        <v>1159</v>
      </c>
      <c r="D49" s="153" t="s">
        <v>1144</v>
      </c>
      <c r="E49" s="154">
        <v>16.446999999999999</v>
      </c>
      <c r="F49" s="155">
        <f>E49*PARÂMETROS!$E$15</f>
        <v>561.33610999999996</v>
      </c>
      <c r="G49" s="154">
        <f t="shared" si="11"/>
        <v>1.6447000000000001</v>
      </c>
      <c r="H49" s="155">
        <f>G49*PARÂMETROS!$E$8</f>
        <v>50.804783</v>
      </c>
      <c r="I49" s="154">
        <f t="shared" si="12"/>
        <v>9.8327150999999997</v>
      </c>
      <c r="J49" s="155">
        <f>I49*PARÂMETROS!$E$10</f>
        <v>500.97683434499999</v>
      </c>
      <c r="K49" s="154">
        <f t="shared" si="13"/>
        <v>7.0402436999999995</v>
      </c>
      <c r="L49" s="155">
        <f>K49*PARÂMETROS!$E$11</f>
        <v>314.98050313800002</v>
      </c>
      <c r="M49" s="154">
        <f t="shared" si="14"/>
        <v>1.3572235000000001</v>
      </c>
      <c r="N49" s="157">
        <f>M49*PARÂMETROS!$E$12</f>
        <v>81.514843410000012</v>
      </c>
      <c r="O49" s="60">
        <v>18.23</v>
      </c>
      <c r="R49" s="158" t="s">
        <v>1143</v>
      </c>
      <c r="S49" s="158">
        <v>34</v>
      </c>
      <c r="T49" s="159">
        <f t="shared" si="21"/>
        <v>612.14089300000001</v>
      </c>
      <c r="V49" s="158" t="s">
        <v>1143</v>
      </c>
      <c r="W49" s="158">
        <v>34</v>
      </c>
      <c r="X49" s="159">
        <f t="shared" si="16"/>
        <v>897.47218089300009</v>
      </c>
      <c r="Y49" s="57"/>
      <c r="Z49" s="57"/>
      <c r="AA49" s="160" t="s">
        <v>1143</v>
      </c>
      <c r="AB49" s="160">
        <v>34</v>
      </c>
      <c r="AC49" s="161">
        <f t="shared" si="15"/>
        <v>612.14089300000001</v>
      </c>
      <c r="AD49" s="162">
        <f>PARÂMETROS!$H$3</f>
        <v>40</v>
      </c>
      <c r="AE49" s="163">
        <v>0.131944444444444</v>
      </c>
      <c r="AF49" s="162">
        <f t="shared" si="17"/>
        <v>126.66666666666623</v>
      </c>
      <c r="AG49" s="164">
        <v>1</v>
      </c>
      <c r="AH49" s="165">
        <f t="shared" si="18"/>
        <v>126.66666666666623</v>
      </c>
      <c r="AI49" s="166">
        <f t="shared" si="19"/>
        <v>738.80755966666629</v>
      </c>
      <c r="AJ49" s="164">
        <v>1</v>
      </c>
      <c r="AK49" s="23">
        <f t="shared" si="20"/>
        <v>34</v>
      </c>
    </row>
    <row r="50" spans="1:37" ht="24" customHeight="1" thickBot="1" x14ac:dyDescent="0.35">
      <c r="A50" s="152" t="s">
        <v>1143</v>
      </c>
      <c r="B50" s="153">
        <v>36</v>
      </c>
      <c r="C50" s="153" t="s">
        <v>1160</v>
      </c>
      <c r="D50" s="153" t="s">
        <v>1144</v>
      </c>
      <c r="E50" s="154">
        <v>18.321999999999999</v>
      </c>
      <c r="F50" s="155">
        <f>E50*PARÂMETROS!$E$15</f>
        <v>625.32986000000005</v>
      </c>
      <c r="G50" s="154">
        <f t="shared" si="11"/>
        <v>1.8322000000000001</v>
      </c>
      <c r="H50" s="155">
        <f>G50*PARÂMETROS!$E$8</f>
        <v>56.596658000000005</v>
      </c>
      <c r="I50" s="154">
        <f t="shared" si="12"/>
        <v>10.949211</v>
      </c>
      <c r="J50" s="155">
        <f>I50*PARÂMETROS!$E$10</f>
        <v>557.86230045000002</v>
      </c>
      <c r="K50" s="154">
        <f t="shared" si="13"/>
        <v>7.8396569999999999</v>
      </c>
      <c r="L50" s="155">
        <f>K50*PARÂMETROS!$E$11</f>
        <v>350.74625417999999</v>
      </c>
      <c r="M50" s="154">
        <f t="shared" si="14"/>
        <v>1.5113350000000001</v>
      </c>
      <c r="N50" s="157">
        <f>M50*PARÂMETROS!$E$12</f>
        <v>90.77078010000001</v>
      </c>
      <c r="O50" s="60">
        <v>20.3</v>
      </c>
      <c r="R50" s="158" t="s">
        <v>1143</v>
      </c>
      <c r="S50" s="158">
        <v>36</v>
      </c>
      <c r="T50" s="159">
        <f t="shared" si="21"/>
        <v>681.9265180000001</v>
      </c>
      <c r="V50" s="158" t="s">
        <v>1143</v>
      </c>
      <c r="W50" s="158">
        <v>36</v>
      </c>
      <c r="X50" s="159">
        <f t="shared" si="16"/>
        <v>999.37933472999998</v>
      </c>
      <c r="Y50" s="57"/>
      <c r="Z50" s="57"/>
      <c r="AA50" s="160" t="s">
        <v>1143</v>
      </c>
      <c r="AB50" s="160">
        <v>36</v>
      </c>
      <c r="AC50" s="161">
        <f t="shared" si="15"/>
        <v>681.9265180000001</v>
      </c>
      <c r="AD50" s="162">
        <f>PARÂMETROS!$H$3</f>
        <v>40</v>
      </c>
      <c r="AE50" s="163">
        <v>0.131944444444444</v>
      </c>
      <c r="AF50" s="162">
        <f t="shared" si="17"/>
        <v>126.66666666666623</v>
      </c>
      <c r="AG50" s="164">
        <v>1</v>
      </c>
      <c r="AH50" s="165">
        <f t="shared" si="18"/>
        <v>126.66666666666623</v>
      </c>
      <c r="AI50" s="166">
        <f t="shared" si="19"/>
        <v>808.59318466666628</v>
      </c>
      <c r="AJ50" s="164">
        <v>1</v>
      </c>
      <c r="AK50" s="23">
        <f t="shared" si="20"/>
        <v>36</v>
      </c>
    </row>
    <row r="51" spans="1:37" ht="24" customHeight="1" thickBot="1" x14ac:dyDescent="0.35">
      <c r="A51" s="152" t="s">
        <v>1143</v>
      </c>
      <c r="B51" s="153">
        <v>38</v>
      </c>
      <c r="C51" s="153" t="s">
        <v>1161</v>
      </c>
      <c r="D51" s="153" t="s">
        <v>1144</v>
      </c>
      <c r="E51" s="154">
        <v>23.099</v>
      </c>
      <c r="F51" s="155">
        <f>E51*PARÂMETROS!$E$15</f>
        <v>788.36887000000002</v>
      </c>
      <c r="G51" s="154">
        <f t="shared" si="11"/>
        <v>2.3099000000000003</v>
      </c>
      <c r="H51" s="155">
        <f>G51*PARÂMETROS!$E$8</f>
        <v>71.352811000000017</v>
      </c>
      <c r="I51" s="154">
        <f t="shared" si="12"/>
        <v>13.807872000000001</v>
      </c>
      <c r="J51" s="155">
        <f>I51*PARÂMETROS!$E$10</f>
        <v>703.51107840000009</v>
      </c>
      <c r="K51" s="154">
        <f t="shared" si="13"/>
        <v>9.8864640000000001</v>
      </c>
      <c r="L51" s="155">
        <f>K51*PARÂMETROS!$E$11</f>
        <v>442.32039936000001</v>
      </c>
      <c r="M51" s="154">
        <f t="shared" si="14"/>
        <v>1.9059200000000001</v>
      </c>
      <c r="N51" s="157">
        <f>M51*PARÂMETROS!$E$12</f>
        <v>114.4695552</v>
      </c>
      <c r="O51" s="60">
        <v>25.6</v>
      </c>
      <c r="R51" s="158" t="s">
        <v>1143</v>
      </c>
      <c r="S51" s="158">
        <v>38</v>
      </c>
      <c r="T51" s="159">
        <f t="shared" si="21"/>
        <v>859.72168099999999</v>
      </c>
      <c r="V51" s="158" t="s">
        <v>1143</v>
      </c>
      <c r="W51" s="158">
        <v>38</v>
      </c>
      <c r="X51" s="159">
        <f t="shared" si="16"/>
        <v>1260.3010329600002</v>
      </c>
      <c r="Y51" s="57"/>
      <c r="Z51" s="57"/>
      <c r="AA51" s="160" t="s">
        <v>1143</v>
      </c>
      <c r="AB51" s="160">
        <v>38</v>
      </c>
      <c r="AC51" s="161">
        <f t="shared" si="15"/>
        <v>859.72168099999999</v>
      </c>
      <c r="AD51" s="162">
        <f>PARÂMETROS!$H$3</f>
        <v>40</v>
      </c>
      <c r="AE51" s="163">
        <v>0.131944444444444</v>
      </c>
      <c r="AF51" s="162">
        <f t="shared" si="17"/>
        <v>126.66666666666623</v>
      </c>
      <c r="AG51" s="164">
        <v>1</v>
      </c>
      <c r="AH51" s="165">
        <f t="shared" si="18"/>
        <v>126.66666666666623</v>
      </c>
      <c r="AI51" s="166">
        <f t="shared" si="19"/>
        <v>986.38834766666628</v>
      </c>
      <c r="AJ51" s="164">
        <v>1</v>
      </c>
      <c r="AK51" s="23">
        <f t="shared" si="20"/>
        <v>38</v>
      </c>
    </row>
    <row r="52" spans="1:37" ht="24" customHeight="1" thickBot="1" x14ac:dyDescent="0.35">
      <c r="A52" s="152" t="s">
        <v>1143</v>
      </c>
      <c r="B52" s="153">
        <v>40</v>
      </c>
      <c r="C52" s="153" t="s">
        <v>1162</v>
      </c>
      <c r="D52" s="153" t="s">
        <v>1144</v>
      </c>
      <c r="E52" s="154">
        <v>27.698</v>
      </c>
      <c r="F52" s="155">
        <f>E52*PARÂMETROS!$E$15</f>
        <v>945.33274000000006</v>
      </c>
      <c r="G52" s="154">
        <f t="shared" si="11"/>
        <v>2.7698</v>
      </c>
      <c r="H52" s="155">
        <f>G52*PARÂMETROS!$E$8</f>
        <v>85.559122000000002</v>
      </c>
      <c r="I52" s="154">
        <f t="shared" si="12"/>
        <v>16.558658999999999</v>
      </c>
      <c r="J52" s="155">
        <f>I52*PARÂMETROS!$E$10</f>
        <v>843.66367604999994</v>
      </c>
      <c r="K52" s="154">
        <f t="shared" si="13"/>
        <v>11.856032999999998</v>
      </c>
      <c r="L52" s="155">
        <f>K52*PARÂMETROS!$E$11</f>
        <v>530.43891641999994</v>
      </c>
      <c r="M52" s="154">
        <f t="shared" si="14"/>
        <v>2.285615</v>
      </c>
      <c r="N52" s="157">
        <f>M52*PARÂMETROS!$E$12</f>
        <v>137.2740369</v>
      </c>
      <c r="O52" s="60">
        <v>30.7</v>
      </c>
      <c r="R52" s="158" t="s">
        <v>1143</v>
      </c>
      <c r="S52" s="158">
        <v>40</v>
      </c>
      <c r="T52" s="159">
        <f t="shared" si="21"/>
        <v>1030.8918619999999</v>
      </c>
      <c r="V52" s="158" t="s">
        <v>1143</v>
      </c>
      <c r="W52" s="158">
        <v>40</v>
      </c>
      <c r="X52" s="159">
        <f t="shared" si="16"/>
        <v>1511.37662937</v>
      </c>
      <c r="Y52" s="57"/>
      <c r="Z52" s="57"/>
      <c r="AA52" s="160" t="s">
        <v>1143</v>
      </c>
      <c r="AB52" s="160">
        <v>40</v>
      </c>
      <c r="AC52" s="161">
        <f t="shared" si="15"/>
        <v>1030.8918619999999</v>
      </c>
      <c r="AD52" s="162">
        <f>PARÂMETROS!$H$3</f>
        <v>40</v>
      </c>
      <c r="AE52" s="163">
        <v>0.131944444444444</v>
      </c>
      <c r="AF52" s="162">
        <f t="shared" si="17"/>
        <v>126.66666666666623</v>
      </c>
      <c r="AG52" s="164">
        <v>1</v>
      </c>
      <c r="AH52" s="165">
        <f t="shared" si="18"/>
        <v>126.66666666666623</v>
      </c>
      <c r="AI52" s="166">
        <f t="shared" si="19"/>
        <v>1157.5585286666662</v>
      </c>
      <c r="AJ52" s="164">
        <v>1</v>
      </c>
      <c r="AK52" s="23">
        <f t="shared" si="20"/>
        <v>40</v>
      </c>
    </row>
    <row r="53" spans="1:37" ht="24" customHeight="1" thickBot="1" x14ac:dyDescent="0.35">
      <c r="A53" s="152" t="s">
        <v>1143</v>
      </c>
      <c r="B53" s="153">
        <v>42</v>
      </c>
      <c r="C53" s="153" t="s">
        <v>1163</v>
      </c>
      <c r="D53" s="153" t="s">
        <v>1144</v>
      </c>
      <c r="E53" s="154">
        <v>36.265999999999998</v>
      </c>
      <c r="F53" s="155">
        <f>E53*PARÂMETROS!$E$15</f>
        <v>1237.7585799999999</v>
      </c>
      <c r="G53" s="154">
        <f t="shared" si="11"/>
        <v>3.6265999999999998</v>
      </c>
      <c r="H53" s="155">
        <f>G53*PARÂMETROS!$E$8</f>
        <v>112.025674</v>
      </c>
      <c r="I53" s="154">
        <f t="shared" si="12"/>
        <v>21.736611</v>
      </c>
      <c r="J53" s="155">
        <f>I53*PARÂMETROS!$E$10</f>
        <v>1107.4803304500001</v>
      </c>
      <c r="K53" s="154">
        <f t="shared" si="13"/>
        <v>15.563456999999998</v>
      </c>
      <c r="L53" s="155">
        <f>K53*PARÂMETROS!$E$11</f>
        <v>696.30906617999995</v>
      </c>
      <c r="M53" s="154">
        <f t="shared" si="14"/>
        <v>3.0003349999999998</v>
      </c>
      <c r="N53" s="157">
        <f>M53*PARÂMETROS!$E$12</f>
        <v>180.20012009999999</v>
      </c>
      <c r="O53" s="60">
        <v>40.299999999999997</v>
      </c>
      <c r="R53" s="158" t="s">
        <v>1143</v>
      </c>
      <c r="S53" s="158">
        <v>42</v>
      </c>
      <c r="T53" s="159">
        <f t="shared" si="21"/>
        <v>1349.7842539999999</v>
      </c>
      <c r="V53" s="158" t="s">
        <v>1143</v>
      </c>
      <c r="W53" s="158">
        <v>42</v>
      </c>
      <c r="X53" s="159">
        <f t="shared" si="16"/>
        <v>1983.9895167300001</v>
      </c>
      <c r="Y53" s="57"/>
      <c r="Z53" s="57"/>
      <c r="AA53" s="160" t="s">
        <v>1143</v>
      </c>
      <c r="AB53" s="160">
        <v>42</v>
      </c>
      <c r="AC53" s="161">
        <f t="shared" si="15"/>
        <v>1349.7842539999999</v>
      </c>
      <c r="AD53" s="162">
        <f>PARÂMETROS!$H$3</f>
        <v>40</v>
      </c>
      <c r="AE53" s="163">
        <v>0.131944444444444</v>
      </c>
      <c r="AF53" s="162">
        <f t="shared" si="17"/>
        <v>126.66666666666623</v>
      </c>
      <c r="AG53" s="164">
        <v>1</v>
      </c>
      <c r="AH53" s="165">
        <f t="shared" si="18"/>
        <v>126.66666666666623</v>
      </c>
      <c r="AI53" s="166">
        <f t="shared" si="19"/>
        <v>1476.4509206666662</v>
      </c>
      <c r="AJ53" s="164">
        <v>1</v>
      </c>
      <c r="AK53" s="23">
        <f t="shared" si="20"/>
        <v>42</v>
      </c>
    </row>
    <row r="54" spans="1:37" ht="24" customHeight="1" thickBot="1" x14ac:dyDescent="0.35">
      <c r="A54" s="152" t="s">
        <v>1164</v>
      </c>
      <c r="B54" s="153">
        <v>2</v>
      </c>
      <c r="C54" s="153"/>
      <c r="D54" s="153" t="s">
        <v>1144</v>
      </c>
      <c r="E54" s="154"/>
      <c r="F54" s="155">
        <f>E54*PARÂMETROS!$E$14</f>
        <v>0</v>
      </c>
      <c r="G54" s="154">
        <f t="shared" si="11"/>
        <v>0</v>
      </c>
      <c r="H54" s="155">
        <f>G54*PARÂMETROS!$E$8</f>
        <v>0</v>
      </c>
      <c r="I54" s="154">
        <f t="shared" si="12"/>
        <v>0</v>
      </c>
      <c r="J54" s="155">
        <f>I54*PARÂMETROS!$E$10</f>
        <v>0</v>
      </c>
      <c r="K54" s="154">
        <f t="shared" si="13"/>
        <v>0</v>
      </c>
      <c r="L54" s="155">
        <f>K54*PARÂMETROS!$E$11</f>
        <v>0</v>
      </c>
      <c r="M54" s="154">
        <f t="shared" si="14"/>
        <v>0</v>
      </c>
      <c r="N54" s="157">
        <f>M54*PARÂMETROS!$E$12</f>
        <v>0</v>
      </c>
      <c r="R54" s="158" t="s">
        <v>1164</v>
      </c>
      <c r="S54" s="158">
        <v>2</v>
      </c>
      <c r="T54" s="159">
        <f t="shared" si="21"/>
        <v>0</v>
      </c>
      <c r="V54" s="158" t="s">
        <v>1164</v>
      </c>
      <c r="W54" s="158">
        <v>2</v>
      </c>
      <c r="X54" s="159">
        <f t="shared" si="16"/>
        <v>0</v>
      </c>
      <c r="Y54" s="57"/>
      <c r="Z54" s="57"/>
      <c r="AA54" s="160" t="s">
        <v>1164</v>
      </c>
      <c r="AB54" s="160">
        <v>2</v>
      </c>
      <c r="AC54" s="161">
        <v>3.6</v>
      </c>
      <c r="AD54" s="162">
        <f>PARÂMETROS!$H$3</f>
        <v>40</v>
      </c>
      <c r="AE54" s="163">
        <v>6.5972222222222196E-2</v>
      </c>
      <c r="AF54" s="162">
        <f t="shared" si="17"/>
        <v>63.333333333333314</v>
      </c>
      <c r="AG54" s="164">
        <v>4</v>
      </c>
      <c r="AH54" s="165">
        <f t="shared" si="18"/>
        <v>15.833333333333329</v>
      </c>
      <c r="AI54" s="166">
        <f t="shared" si="19"/>
        <v>19.43333333333333</v>
      </c>
      <c r="AJ54" s="164">
        <v>4</v>
      </c>
      <c r="AK54" s="23">
        <f t="shared" si="20"/>
        <v>2</v>
      </c>
    </row>
    <row r="55" spans="1:37" ht="24" customHeight="1" thickBot="1" x14ac:dyDescent="0.35">
      <c r="A55" s="152" t="s">
        <v>1164</v>
      </c>
      <c r="B55" s="153">
        <v>3</v>
      </c>
      <c r="C55" s="153"/>
      <c r="D55" s="153" t="s">
        <v>1144</v>
      </c>
      <c r="E55" s="154"/>
      <c r="F55" s="155">
        <f>E55*PARÂMETROS!$E$14</f>
        <v>0</v>
      </c>
      <c r="G55" s="154">
        <f t="shared" si="11"/>
        <v>0</v>
      </c>
      <c r="H55" s="155">
        <f>G55*PARÂMETROS!$E$8</f>
        <v>0</v>
      </c>
      <c r="I55" s="154">
        <f t="shared" si="12"/>
        <v>0</v>
      </c>
      <c r="J55" s="155">
        <f>I55*PARÂMETROS!$E$10</f>
        <v>0</v>
      </c>
      <c r="K55" s="154">
        <f t="shared" si="13"/>
        <v>0</v>
      </c>
      <c r="L55" s="155">
        <f>K55*PARÂMETROS!$E$11</f>
        <v>0</v>
      </c>
      <c r="M55" s="154">
        <f t="shared" si="14"/>
        <v>0</v>
      </c>
      <c r="N55" s="157">
        <f>M55*PARÂMETROS!$E$12</f>
        <v>0</v>
      </c>
      <c r="R55" s="158" t="s">
        <v>1164</v>
      </c>
      <c r="S55" s="158">
        <v>3</v>
      </c>
      <c r="T55" s="159">
        <f t="shared" si="21"/>
        <v>0</v>
      </c>
      <c r="V55" s="158" t="s">
        <v>1164</v>
      </c>
      <c r="W55" s="158">
        <v>3</v>
      </c>
      <c r="X55" s="159">
        <f t="shared" si="16"/>
        <v>0</v>
      </c>
      <c r="Y55" s="57"/>
      <c r="Z55" s="57"/>
      <c r="AA55" s="160" t="s">
        <v>1164</v>
      </c>
      <c r="AB55" s="160">
        <v>3</v>
      </c>
      <c r="AC55" s="161">
        <v>3.8</v>
      </c>
      <c r="AD55" s="162">
        <f>PARÂMETROS!$H$3</f>
        <v>40</v>
      </c>
      <c r="AE55" s="163">
        <v>6.5972222222222196E-2</v>
      </c>
      <c r="AF55" s="162">
        <f t="shared" si="17"/>
        <v>63.333333333333314</v>
      </c>
      <c r="AG55" s="164">
        <v>4</v>
      </c>
      <c r="AH55" s="165">
        <f t="shared" si="18"/>
        <v>15.833333333333329</v>
      </c>
      <c r="AI55" s="166">
        <f t="shared" si="19"/>
        <v>19.633333333333329</v>
      </c>
      <c r="AJ55" s="164">
        <v>4</v>
      </c>
      <c r="AK55" s="23">
        <f t="shared" si="20"/>
        <v>3</v>
      </c>
    </row>
    <row r="56" spans="1:37" ht="24" customHeight="1" thickBot="1" x14ac:dyDescent="0.35">
      <c r="A56" s="152" t="s">
        <v>1164</v>
      </c>
      <c r="B56" s="153">
        <v>4</v>
      </c>
      <c r="C56" s="153"/>
      <c r="D56" s="153" t="s">
        <v>1144</v>
      </c>
      <c r="E56" s="154"/>
      <c r="F56" s="155">
        <f>E56*PARÂMETROS!$E$14</f>
        <v>0</v>
      </c>
      <c r="G56" s="154">
        <f t="shared" si="11"/>
        <v>0</v>
      </c>
      <c r="H56" s="155">
        <f>G56*PARÂMETROS!$E$8</f>
        <v>0</v>
      </c>
      <c r="I56" s="154">
        <f t="shared" si="12"/>
        <v>0</v>
      </c>
      <c r="J56" s="155">
        <f>I56*PARÂMETROS!$E$10</f>
        <v>0</v>
      </c>
      <c r="K56" s="154">
        <f t="shared" si="13"/>
        <v>0</v>
      </c>
      <c r="L56" s="155">
        <f>K56*PARÂMETROS!$E$11</f>
        <v>0</v>
      </c>
      <c r="M56" s="154">
        <f t="shared" si="14"/>
        <v>0</v>
      </c>
      <c r="N56" s="157">
        <f>M56*PARÂMETROS!$E$12</f>
        <v>0</v>
      </c>
      <c r="R56" s="158" t="s">
        <v>1164</v>
      </c>
      <c r="S56" s="158">
        <v>4</v>
      </c>
      <c r="T56" s="159">
        <f t="shared" si="21"/>
        <v>0</v>
      </c>
      <c r="V56" s="158" t="s">
        <v>1164</v>
      </c>
      <c r="W56" s="158">
        <v>4</v>
      </c>
      <c r="X56" s="159">
        <f t="shared" si="16"/>
        <v>0</v>
      </c>
      <c r="Y56" s="57"/>
      <c r="Z56" s="57"/>
      <c r="AA56" s="160" t="s">
        <v>1164</v>
      </c>
      <c r="AB56" s="160">
        <v>4</v>
      </c>
      <c r="AC56" s="161">
        <v>4</v>
      </c>
      <c r="AD56" s="162">
        <f>PARÂMETROS!$H$3</f>
        <v>40</v>
      </c>
      <c r="AE56" s="163">
        <v>6.5972222222222196E-2</v>
      </c>
      <c r="AF56" s="162">
        <f t="shared" si="17"/>
        <v>63.333333333333314</v>
      </c>
      <c r="AG56" s="164">
        <v>4</v>
      </c>
      <c r="AH56" s="165">
        <f t="shared" si="18"/>
        <v>15.833333333333329</v>
      </c>
      <c r="AI56" s="166">
        <f t="shared" si="19"/>
        <v>19.833333333333329</v>
      </c>
      <c r="AJ56" s="164">
        <v>4</v>
      </c>
      <c r="AK56" s="23">
        <f t="shared" si="20"/>
        <v>4</v>
      </c>
    </row>
    <row r="57" spans="1:37" ht="24" customHeight="1" thickBot="1" x14ac:dyDescent="0.35">
      <c r="A57" s="152" t="s">
        <v>1164</v>
      </c>
      <c r="B57" s="153">
        <v>6</v>
      </c>
      <c r="C57" s="153" t="s">
        <v>1165</v>
      </c>
      <c r="D57" s="153" t="s">
        <v>1144</v>
      </c>
      <c r="E57" s="154">
        <v>0.105</v>
      </c>
      <c r="F57" s="155">
        <f>E57*PARÂMETROS!$E$14</f>
        <v>2.26065</v>
      </c>
      <c r="G57" s="154">
        <f t="shared" si="11"/>
        <v>1.0500000000000001E-2</v>
      </c>
      <c r="H57" s="155">
        <f>G57*PARÂMETROS!$E$8</f>
        <v>0.32434500000000005</v>
      </c>
      <c r="I57" s="154">
        <f t="shared" si="12"/>
        <v>6.7421250000000002E-2</v>
      </c>
      <c r="J57" s="155">
        <f>I57*PARÂMETROS!$E$10</f>
        <v>3.4351126875000002</v>
      </c>
      <c r="K57" s="154">
        <f t="shared" si="13"/>
        <v>4.8273749999999997E-2</v>
      </c>
      <c r="L57" s="155">
        <f>K57*PARÂMETROS!$E$11</f>
        <v>2.1597675750000001</v>
      </c>
      <c r="M57" s="154">
        <f t="shared" si="14"/>
        <v>9.3062500000000003E-3</v>
      </c>
      <c r="N57" s="157">
        <f>M57*PARÂMETROS!$E$12</f>
        <v>0.55893337500000007</v>
      </c>
      <c r="O57" s="60">
        <v>0.125</v>
      </c>
      <c r="R57" s="158" t="s">
        <v>1164</v>
      </c>
      <c r="S57" s="158">
        <v>6</v>
      </c>
      <c r="T57" s="159">
        <f t="shared" si="21"/>
        <v>2.5849950000000002</v>
      </c>
      <c r="V57" s="158" t="s">
        <v>1164</v>
      </c>
      <c r="W57" s="158">
        <v>6</v>
      </c>
      <c r="X57" s="159">
        <f t="shared" si="16"/>
        <v>6.1538136375000008</v>
      </c>
      <c r="Y57" s="57"/>
      <c r="Z57" s="57"/>
      <c r="AA57" s="160" t="s">
        <v>1164</v>
      </c>
      <c r="AB57" s="160">
        <v>6</v>
      </c>
      <c r="AC57" s="161">
        <f t="shared" ref="AC57:AC120" si="22">T57</f>
        <v>2.5849950000000002</v>
      </c>
      <c r="AD57" s="162">
        <f>PARÂMETROS!$H$3</f>
        <v>40</v>
      </c>
      <c r="AE57" s="163">
        <v>6.5972222222222196E-2</v>
      </c>
      <c r="AF57" s="162">
        <f t="shared" si="17"/>
        <v>63.333333333333314</v>
      </c>
      <c r="AG57" s="164">
        <v>3</v>
      </c>
      <c r="AH57" s="165">
        <f t="shared" si="18"/>
        <v>21.111111111111104</v>
      </c>
      <c r="AI57" s="166">
        <f t="shared" si="19"/>
        <v>23.696106111111103</v>
      </c>
      <c r="AJ57" s="164">
        <v>3</v>
      </c>
      <c r="AK57" s="23">
        <f t="shared" si="20"/>
        <v>6</v>
      </c>
    </row>
    <row r="58" spans="1:37" ht="24" customHeight="1" thickBot="1" x14ac:dyDescent="0.35">
      <c r="A58" s="152" t="s">
        <v>1164</v>
      </c>
      <c r="B58" s="153">
        <v>8</v>
      </c>
      <c r="C58" s="153" t="s">
        <v>1166</v>
      </c>
      <c r="D58" s="153" t="s">
        <v>1144</v>
      </c>
      <c r="E58" s="154">
        <v>0.20100000000000001</v>
      </c>
      <c r="F58" s="155">
        <f>E58*PARÂMETROS!$E$14</f>
        <v>4.3275300000000003</v>
      </c>
      <c r="G58" s="154">
        <f t="shared" si="11"/>
        <v>2.0100000000000003E-2</v>
      </c>
      <c r="H58" s="155">
        <f>G58*PARÂMETROS!$E$8</f>
        <v>0.62088900000000014</v>
      </c>
      <c r="I58" s="154">
        <f t="shared" si="12"/>
        <v>0.12027951000000001</v>
      </c>
      <c r="J58" s="155">
        <f>I58*PARÂMETROS!$E$10</f>
        <v>6.1282410345000002</v>
      </c>
      <c r="K58" s="154">
        <f t="shared" si="13"/>
        <v>8.6120370000000002E-2</v>
      </c>
      <c r="L58" s="155">
        <f>K58*PARÂMETROS!$E$11</f>
        <v>3.8530253538000001</v>
      </c>
      <c r="M58" s="154">
        <f t="shared" si="14"/>
        <v>1.6602350000000002E-2</v>
      </c>
      <c r="N58" s="157">
        <f>M58*PARÂMETROS!$E$12</f>
        <v>0.99713714100000017</v>
      </c>
      <c r="O58" s="60">
        <v>0.223</v>
      </c>
      <c r="R58" s="158" t="s">
        <v>1164</v>
      </c>
      <c r="S58" s="158">
        <v>8</v>
      </c>
      <c r="T58" s="159">
        <f t="shared" si="21"/>
        <v>4.9484190000000003</v>
      </c>
      <c r="V58" s="158" t="s">
        <v>1164</v>
      </c>
      <c r="W58" s="158">
        <v>8</v>
      </c>
      <c r="X58" s="159">
        <f t="shared" si="16"/>
        <v>10.9784035293</v>
      </c>
      <c r="Y58" s="57"/>
      <c r="Z58" s="57"/>
      <c r="AA58" s="160" t="s">
        <v>1164</v>
      </c>
      <c r="AB58" s="160">
        <v>8</v>
      </c>
      <c r="AC58" s="161">
        <f t="shared" si="22"/>
        <v>4.9484190000000003</v>
      </c>
      <c r="AD58" s="162">
        <f>PARÂMETROS!$H$3</f>
        <v>40</v>
      </c>
      <c r="AE58" s="163">
        <v>6.5972222222222196E-2</v>
      </c>
      <c r="AF58" s="162">
        <f t="shared" si="17"/>
        <v>63.333333333333314</v>
      </c>
      <c r="AG58" s="164">
        <v>3</v>
      </c>
      <c r="AH58" s="165">
        <f t="shared" si="18"/>
        <v>21.111111111111104</v>
      </c>
      <c r="AI58" s="166">
        <f t="shared" si="19"/>
        <v>26.059530111111105</v>
      </c>
      <c r="AJ58" s="164">
        <v>3</v>
      </c>
      <c r="AK58" s="23">
        <f t="shared" si="20"/>
        <v>8</v>
      </c>
    </row>
    <row r="59" spans="1:37" ht="24" customHeight="1" thickBot="1" x14ac:dyDescent="0.35">
      <c r="A59" s="152" t="s">
        <v>1164</v>
      </c>
      <c r="B59" s="153">
        <v>10</v>
      </c>
      <c r="C59" s="153" t="s">
        <v>1167</v>
      </c>
      <c r="D59" s="153" t="s">
        <v>1144</v>
      </c>
      <c r="E59" s="154">
        <v>0.26100000000000001</v>
      </c>
      <c r="F59" s="155">
        <f>E59*PARÂMETROS!$E$14</f>
        <v>5.6193300000000006</v>
      </c>
      <c r="G59" s="154">
        <f t="shared" si="11"/>
        <v>2.6100000000000002E-2</v>
      </c>
      <c r="H59" s="155">
        <f>G59*PARÂMETROS!$E$8</f>
        <v>0.80622900000000008</v>
      </c>
      <c r="I59" s="154">
        <f t="shared" si="12"/>
        <v>0.15641729999999998</v>
      </c>
      <c r="J59" s="155">
        <f>I59*PARÂMETROS!$E$10</f>
        <v>7.9694614349999995</v>
      </c>
      <c r="K59" s="154">
        <f t="shared" si="13"/>
        <v>0.11199509999999999</v>
      </c>
      <c r="L59" s="155">
        <f>K59*PARÂMETROS!$E$11</f>
        <v>5.0106607739999998</v>
      </c>
      <c r="M59" s="154">
        <f t="shared" si="14"/>
        <v>2.1590499999999999E-2</v>
      </c>
      <c r="N59" s="157">
        <f>M59*PARÂMETROS!$E$12</f>
        <v>1.29672543</v>
      </c>
      <c r="O59" s="60">
        <v>0.28999999999999998</v>
      </c>
      <c r="R59" s="158" t="s">
        <v>1164</v>
      </c>
      <c r="S59" s="158">
        <v>10</v>
      </c>
      <c r="T59" s="159">
        <f t="shared" si="21"/>
        <v>6.4255590000000007</v>
      </c>
      <c r="V59" s="158" t="s">
        <v>1164</v>
      </c>
      <c r="W59" s="158">
        <v>10</v>
      </c>
      <c r="X59" s="159">
        <f t="shared" si="16"/>
        <v>14.276847639</v>
      </c>
      <c r="Y59" s="57"/>
      <c r="Z59" s="57"/>
      <c r="AA59" s="160" t="s">
        <v>1164</v>
      </c>
      <c r="AB59" s="160">
        <v>10</v>
      </c>
      <c r="AC59" s="161">
        <f t="shared" si="22"/>
        <v>6.4255590000000007</v>
      </c>
      <c r="AD59" s="162">
        <f>PARÂMETROS!$H$3</f>
        <v>40</v>
      </c>
      <c r="AE59" s="163">
        <v>6.5972222222222196E-2</v>
      </c>
      <c r="AF59" s="162">
        <f t="shared" si="17"/>
        <v>63.333333333333314</v>
      </c>
      <c r="AG59" s="164">
        <v>3</v>
      </c>
      <c r="AH59" s="165">
        <f t="shared" si="18"/>
        <v>21.111111111111104</v>
      </c>
      <c r="AI59" s="166">
        <f t="shared" si="19"/>
        <v>27.536670111111103</v>
      </c>
      <c r="AJ59" s="164">
        <v>3</v>
      </c>
      <c r="AK59" s="23">
        <f t="shared" si="20"/>
        <v>10</v>
      </c>
    </row>
    <row r="60" spans="1:37" ht="24" customHeight="1" thickBot="1" x14ac:dyDescent="0.35">
      <c r="A60" s="152" t="s">
        <v>1164</v>
      </c>
      <c r="B60" s="153">
        <v>12</v>
      </c>
      <c r="C60" s="153" t="s">
        <v>1168</v>
      </c>
      <c r="D60" s="153" t="s">
        <v>1144</v>
      </c>
      <c r="E60" s="154">
        <v>0.42199999999999999</v>
      </c>
      <c r="F60" s="155">
        <f>E60*PARÂMETROS!$E$14</f>
        <v>9.0856600000000007</v>
      </c>
      <c r="G60" s="154">
        <f t="shared" si="11"/>
        <v>4.2200000000000001E-2</v>
      </c>
      <c r="H60" s="155">
        <f>G60*PARÂMETROS!$E$8</f>
        <v>1.303558</v>
      </c>
      <c r="I60" s="154">
        <f t="shared" si="12"/>
        <v>0.25242516000000004</v>
      </c>
      <c r="J60" s="155">
        <f>I60*PARÂMETROS!$E$10</f>
        <v>12.861061902000003</v>
      </c>
      <c r="K60" s="154">
        <f t="shared" si="13"/>
        <v>0.18073692</v>
      </c>
      <c r="L60" s="155">
        <f>K60*PARÂMETROS!$E$11</f>
        <v>8.0861698008000005</v>
      </c>
      <c r="M60" s="154">
        <f t="shared" si="14"/>
        <v>3.4842600000000001E-2</v>
      </c>
      <c r="N60" s="157">
        <f>M60*PARÂMETROS!$E$12</f>
        <v>2.092646556</v>
      </c>
      <c r="O60" s="60">
        <v>0.46800000000000003</v>
      </c>
      <c r="R60" s="158" t="s">
        <v>1164</v>
      </c>
      <c r="S60" s="158">
        <v>12</v>
      </c>
      <c r="T60" s="159">
        <f t="shared" si="21"/>
        <v>10.389218000000001</v>
      </c>
      <c r="V60" s="158" t="s">
        <v>1164</v>
      </c>
      <c r="W60" s="158">
        <v>12</v>
      </c>
      <c r="X60" s="159">
        <f t="shared" si="16"/>
        <v>23.039878258800002</v>
      </c>
      <c r="Y60" s="57"/>
      <c r="Z60" s="57"/>
      <c r="AA60" s="160" t="s">
        <v>1164</v>
      </c>
      <c r="AB60" s="160">
        <v>12</v>
      </c>
      <c r="AC60" s="161">
        <f t="shared" si="22"/>
        <v>10.389218000000001</v>
      </c>
      <c r="AD60" s="162">
        <f>PARÂMETROS!$H$3</f>
        <v>40</v>
      </c>
      <c r="AE60" s="163">
        <v>6.5972222222222196E-2</v>
      </c>
      <c r="AF60" s="162">
        <f t="shared" si="17"/>
        <v>63.333333333333314</v>
      </c>
      <c r="AG60" s="164">
        <v>2</v>
      </c>
      <c r="AH60" s="165">
        <f t="shared" si="18"/>
        <v>31.666666666666657</v>
      </c>
      <c r="AI60" s="166">
        <f t="shared" si="19"/>
        <v>42.055884666666657</v>
      </c>
      <c r="AJ60" s="164">
        <v>2</v>
      </c>
      <c r="AK60" s="23">
        <f t="shared" si="20"/>
        <v>12</v>
      </c>
    </row>
    <row r="61" spans="1:37" ht="24" customHeight="1" thickBot="1" x14ac:dyDescent="0.35">
      <c r="A61" s="152" t="s">
        <v>1164</v>
      </c>
      <c r="B61" s="153">
        <v>14</v>
      </c>
      <c r="C61" s="153" t="s">
        <v>1169</v>
      </c>
      <c r="D61" s="153" t="s">
        <v>1144</v>
      </c>
      <c r="E61" s="154">
        <v>0.65100000000000002</v>
      </c>
      <c r="F61" s="155">
        <f>E61*PARÂMETROS!$E$14</f>
        <v>14.016030000000001</v>
      </c>
      <c r="G61" s="154">
        <f t="shared" si="11"/>
        <v>6.5100000000000005E-2</v>
      </c>
      <c r="H61" s="155">
        <f>G61*PARÂMETROS!$E$8</f>
        <v>2.010939</v>
      </c>
      <c r="I61" s="154">
        <f t="shared" si="12"/>
        <v>0.38834639999999998</v>
      </c>
      <c r="J61" s="155">
        <f>I61*PARÂMETROS!$E$10</f>
        <v>19.786249080000001</v>
      </c>
      <c r="K61" s="154">
        <f t="shared" si="13"/>
        <v>0.27805679999999999</v>
      </c>
      <c r="L61" s="155">
        <f>K61*PARÂMETROS!$E$11</f>
        <v>12.440261232000001</v>
      </c>
      <c r="M61" s="154">
        <f t="shared" si="14"/>
        <v>5.3603999999999999E-2</v>
      </c>
      <c r="N61" s="157">
        <f>M61*PARÂMETROS!$E$12</f>
        <v>3.21945624</v>
      </c>
      <c r="O61" s="60">
        <v>0.72</v>
      </c>
      <c r="R61" s="158" t="s">
        <v>1164</v>
      </c>
      <c r="S61" s="158">
        <v>14</v>
      </c>
      <c r="T61" s="159">
        <f t="shared" si="21"/>
        <v>16.026969000000001</v>
      </c>
      <c r="V61" s="158" t="s">
        <v>1164</v>
      </c>
      <c r="W61" s="158">
        <v>14</v>
      </c>
      <c r="X61" s="159">
        <f t="shared" si="16"/>
        <v>35.445966552000002</v>
      </c>
      <c r="Y61" s="57"/>
      <c r="Z61" s="57"/>
      <c r="AA61" s="160" t="s">
        <v>1164</v>
      </c>
      <c r="AB61" s="160">
        <v>14</v>
      </c>
      <c r="AC61" s="161">
        <f t="shared" si="22"/>
        <v>16.026969000000001</v>
      </c>
      <c r="AD61" s="162">
        <f>PARÂMETROS!$H$3</f>
        <v>40</v>
      </c>
      <c r="AE61" s="163">
        <v>6.5972222222222196E-2</v>
      </c>
      <c r="AF61" s="162">
        <f t="shared" si="17"/>
        <v>63.333333333333314</v>
      </c>
      <c r="AG61" s="164">
        <v>2</v>
      </c>
      <c r="AH61" s="165">
        <f t="shared" si="18"/>
        <v>31.666666666666657</v>
      </c>
      <c r="AI61" s="166">
        <f t="shared" si="19"/>
        <v>47.693635666666658</v>
      </c>
      <c r="AJ61" s="164">
        <v>2</v>
      </c>
      <c r="AK61" s="23">
        <f t="shared" si="20"/>
        <v>14</v>
      </c>
    </row>
    <row r="62" spans="1:37" ht="24" customHeight="1" thickBot="1" x14ac:dyDescent="0.35">
      <c r="A62" s="152" t="s">
        <v>1164</v>
      </c>
      <c r="B62" s="153">
        <v>16</v>
      </c>
      <c r="C62" s="153" t="s">
        <v>1170</v>
      </c>
      <c r="D62" s="153" t="s">
        <v>1144</v>
      </c>
      <c r="E62" s="154">
        <v>1.028</v>
      </c>
      <c r="F62" s="155">
        <f>E62*PARÂMETROS!$E$14</f>
        <v>22.132840000000002</v>
      </c>
      <c r="G62" s="154">
        <f t="shared" si="11"/>
        <v>0.1028</v>
      </c>
      <c r="H62" s="155">
        <f>G62*PARÂMETROS!$E$8</f>
        <v>3.1754920000000002</v>
      </c>
      <c r="I62" s="154">
        <f t="shared" si="12"/>
        <v>0.60948809999999998</v>
      </c>
      <c r="J62" s="155">
        <f>I62*PARÂMETROS!$E$10</f>
        <v>31.053418695000001</v>
      </c>
      <c r="K62" s="154">
        <f t="shared" si="13"/>
        <v>0.43639469999999991</v>
      </c>
      <c r="L62" s="155">
        <f>K62*PARÂMETROS!$E$11</f>
        <v>19.524298877999996</v>
      </c>
      <c r="M62" s="154">
        <f t="shared" si="14"/>
        <v>8.4128499999999995E-2</v>
      </c>
      <c r="N62" s="157">
        <f>M62*PARÂMETROS!$E$12</f>
        <v>5.0527577099999998</v>
      </c>
      <c r="O62" s="60">
        <v>1.1299999999999999</v>
      </c>
      <c r="R62" s="158" t="s">
        <v>1164</v>
      </c>
      <c r="S62" s="158">
        <v>16</v>
      </c>
      <c r="T62" s="159">
        <f t="shared" si="21"/>
        <v>25.308332</v>
      </c>
      <c r="V62" s="158" t="s">
        <v>1164</v>
      </c>
      <c r="W62" s="158">
        <v>16</v>
      </c>
      <c r="X62" s="159">
        <f t="shared" si="16"/>
        <v>55.630475282999996</v>
      </c>
      <c r="Y62" s="57"/>
      <c r="Z62" s="57"/>
      <c r="AA62" s="160" t="s">
        <v>1164</v>
      </c>
      <c r="AB62" s="160">
        <v>16</v>
      </c>
      <c r="AC62" s="161">
        <f t="shared" si="22"/>
        <v>25.308332</v>
      </c>
      <c r="AD62" s="162">
        <f>PARÂMETROS!$H$3</f>
        <v>40</v>
      </c>
      <c r="AE62" s="163">
        <v>6.5972222222222196E-2</v>
      </c>
      <c r="AF62" s="162">
        <f t="shared" si="17"/>
        <v>63.333333333333314</v>
      </c>
      <c r="AG62" s="164">
        <v>2</v>
      </c>
      <c r="AH62" s="165">
        <f t="shared" si="18"/>
        <v>31.666666666666657</v>
      </c>
      <c r="AI62" s="166">
        <f t="shared" si="19"/>
        <v>56.974998666666657</v>
      </c>
      <c r="AJ62" s="164">
        <v>2</v>
      </c>
      <c r="AK62" s="23">
        <f t="shared" si="20"/>
        <v>16</v>
      </c>
    </row>
    <row r="63" spans="1:37" ht="24" customHeight="1" thickBot="1" x14ac:dyDescent="0.35">
      <c r="A63" s="152" t="s">
        <v>1164</v>
      </c>
      <c r="B63" s="153">
        <v>18</v>
      </c>
      <c r="C63" s="153" t="s">
        <v>1171</v>
      </c>
      <c r="D63" s="153" t="s">
        <v>1144</v>
      </c>
      <c r="E63" s="154">
        <v>1.2889999999999999</v>
      </c>
      <c r="F63" s="155">
        <f>E63*PARÂMETROS!$E$14</f>
        <v>27.75217</v>
      </c>
      <c r="G63" s="154">
        <f t="shared" si="11"/>
        <v>0.12889999999999999</v>
      </c>
      <c r="H63" s="155">
        <f>G63*PARÂMETROS!$E$8</f>
        <v>3.9817209999999998</v>
      </c>
      <c r="I63" s="154">
        <f t="shared" si="12"/>
        <v>0.78208650000000002</v>
      </c>
      <c r="J63" s="155">
        <f>I63*PARÂMETROS!$E$10</f>
        <v>39.847307175000005</v>
      </c>
      <c r="K63" s="154">
        <f t="shared" si="13"/>
        <v>0.55997549999999996</v>
      </c>
      <c r="L63" s="155">
        <f>K63*PARÂMETROS!$E$11</f>
        <v>25.053303870000001</v>
      </c>
      <c r="M63" s="154">
        <f t="shared" si="14"/>
        <v>0.10795250000000001</v>
      </c>
      <c r="N63" s="157">
        <f>M63*PARÂMETROS!$E$12</f>
        <v>6.4836271500000002</v>
      </c>
      <c r="O63" s="60">
        <v>1.45</v>
      </c>
      <c r="R63" s="158" t="s">
        <v>1164</v>
      </c>
      <c r="S63" s="158">
        <v>18</v>
      </c>
      <c r="T63" s="159">
        <f t="shared" si="21"/>
        <v>31.733891</v>
      </c>
      <c r="V63" s="158" t="s">
        <v>1164</v>
      </c>
      <c r="W63" s="158">
        <v>18</v>
      </c>
      <c r="X63" s="159">
        <f t="shared" si="16"/>
        <v>71.384238195000009</v>
      </c>
      <c r="Y63" s="57"/>
      <c r="Z63" s="57"/>
      <c r="AA63" s="160" t="s">
        <v>1164</v>
      </c>
      <c r="AB63" s="160">
        <v>18</v>
      </c>
      <c r="AC63" s="161">
        <f t="shared" si="22"/>
        <v>31.733891</v>
      </c>
      <c r="AD63" s="162">
        <f>PARÂMETROS!$H$3</f>
        <v>40</v>
      </c>
      <c r="AE63" s="163">
        <v>6.5972222222222196E-2</v>
      </c>
      <c r="AF63" s="162">
        <f t="shared" si="17"/>
        <v>63.333333333333314</v>
      </c>
      <c r="AG63" s="164">
        <v>2</v>
      </c>
      <c r="AH63" s="165">
        <f t="shared" si="18"/>
        <v>31.666666666666657</v>
      </c>
      <c r="AI63" s="166">
        <f t="shared" si="19"/>
        <v>63.400557666666657</v>
      </c>
      <c r="AJ63" s="164">
        <v>2</v>
      </c>
      <c r="AK63" s="23">
        <f t="shared" si="20"/>
        <v>18</v>
      </c>
    </row>
    <row r="64" spans="1:37" ht="24" customHeight="1" thickBot="1" x14ac:dyDescent="0.35">
      <c r="A64" s="152" t="s">
        <v>1164</v>
      </c>
      <c r="B64" s="153">
        <v>20</v>
      </c>
      <c r="C64" s="153" t="s">
        <v>1172</v>
      </c>
      <c r="D64" s="153" t="s">
        <v>1144</v>
      </c>
      <c r="E64" s="154">
        <v>1.5649999999999999</v>
      </c>
      <c r="F64" s="155">
        <f>E64*PARÂMETROS!$E$14</f>
        <v>33.694450000000003</v>
      </c>
      <c r="G64" s="154">
        <f t="shared" si="11"/>
        <v>0.1565</v>
      </c>
      <c r="H64" s="155">
        <f>G64*PARÂMETROS!$E$8</f>
        <v>4.8342850000000004</v>
      </c>
      <c r="I64" s="154">
        <f t="shared" si="12"/>
        <v>0.93311010000000005</v>
      </c>
      <c r="J64" s="155">
        <f>I64*PARÂMETROS!$E$10</f>
        <v>47.541959595000009</v>
      </c>
      <c r="K64" s="154">
        <f t="shared" si="13"/>
        <v>0.6681087</v>
      </c>
      <c r="L64" s="155">
        <f>K64*PARÂMETROS!$E$11</f>
        <v>29.891183238</v>
      </c>
      <c r="M64" s="154">
        <f t="shared" si="14"/>
        <v>0.12879850000000001</v>
      </c>
      <c r="N64" s="157">
        <f>M64*PARÂMETROS!$E$12</f>
        <v>7.7356379100000012</v>
      </c>
      <c r="O64" s="60">
        <v>1.73</v>
      </c>
      <c r="R64" s="158" t="s">
        <v>1164</v>
      </c>
      <c r="S64" s="158">
        <v>20</v>
      </c>
      <c r="T64" s="159">
        <f t="shared" si="21"/>
        <v>38.528735000000005</v>
      </c>
      <c r="V64" s="158" t="s">
        <v>1164</v>
      </c>
      <c r="W64" s="158">
        <v>20</v>
      </c>
      <c r="X64" s="159">
        <f t="shared" si="16"/>
        <v>85.168780743000013</v>
      </c>
      <c r="Y64" s="57"/>
      <c r="Z64" s="57"/>
      <c r="AA64" s="160" t="s">
        <v>1164</v>
      </c>
      <c r="AB64" s="160">
        <v>20</v>
      </c>
      <c r="AC64" s="161">
        <f t="shared" si="22"/>
        <v>38.528735000000005</v>
      </c>
      <c r="AD64" s="162">
        <f>PARÂMETROS!$H$3</f>
        <v>40</v>
      </c>
      <c r="AE64" s="163">
        <v>6.5972222222222196E-2</v>
      </c>
      <c r="AF64" s="162">
        <f t="shared" si="17"/>
        <v>63.333333333333314</v>
      </c>
      <c r="AG64" s="164">
        <v>2</v>
      </c>
      <c r="AH64" s="165">
        <f t="shared" si="18"/>
        <v>31.666666666666657</v>
      </c>
      <c r="AI64" s="166">
        <f t="shared" si="19"/>
        <v>70.195401666666669</v>
      </c>
      <c r="AJ64" s="164">
        <v>2</v>
      </c>
      <c r="AK64" s="23">
        <f t="shared" si="20"/>
        <v>20</v>
      </c>
    </row>
    <row r="65" spans="1:37" ht="24" customHeight="1" thickBot="1" x14ac:dyDescent="0.35">
      <c r="A65" s="152" t="s">
        <v>1164</v>
      </c>
      <c r="B65" s="153">
        <v>22</v>
      </c>
      <c r="C65" s="153" t="s">
        <v>1173</v>
      </c>
      <c r="D65" s="153" t="s">
        <v>1144</v>
      </c>
      <c r="E65" s="154">
        <v>2.6</v>
      </c>
      <c r="F65" s="155">
        <f>E65*PARÂMETROS!$E$14</f>
        <v>55.978000000000002</v>
      </c>
      <c r="G65" s="154">
        <f t="shared" si="11"/>
        <v>0.26</v>
      </c>
      <c r="H65" s="155">
        <f>G65*PARÂMETROS!$E$8</f>
        <v>8.0313999999999997</v>
      </c>
      <c r="I65" s="154">
        <f t="shared" si="12"/>
        <v>1.5533855999999999</v>
      </c>
      <c r="J65" s="155">
        <f>I65*PARÂMETROS!$E$10</f>
        <v>79.144996320000004</v>
      </c>
      <c r="K65" s="154">
        <f t="shared" si="13"/>
        <v>1.1122272</v>
      </c>
      <c r="L65" s="155">
        <f>K65*PARÂMETROS!$E$11</f>
        <v>49.761044928000004</v>
      </c>
      <c r="M65" s="154">
        <f t="shared" si="14"/>
        <v>0.214416</v>
      </c>
      <c r="N65" s="157">
        <f>M65*PARÂMETROS!$E$12</f>
        <v>12.87782496</v>
      </c>
      <c r="O65" s="60">
        <v>2.88</v>
      </c>
      <c r="R65" s="158" t="s">
        <v>1164</v>
      </c>
      <c r="S65" s="158">
        <v>22</v>
      </c>
      <c r="T65" s="159">
        <f t="shared" si="21"/>
        <v>64.009399999999999</v>
      </c>
      <c r="V65" s="158" t="s">
        <v>1164</v>
      </c>
      <c r="W65" s="158">
        <v>22</v>
      </c>
      <c r="X65" s="159">
        <f t="shared" si="16"/>
        <v>141.78386620800001</v>
      </c>
      <c r="Y65" s="57"/>
      <c r="Z65" s="57"/>
      <c r="AA65" s="160" t="s">
        <v>1164</v>
      </c>
      <c r="AB65" s="160">
        <v>22</v>
      </c>
      <c r="AC65" s="161">
        <f t="shared" si="22"/>
        <v>64.009399999999999</v>
      </c>
      <c r="AD65" s="162">
        <f>PARÂMETROS!$H$3</f>
        <v>40</v>
      </c>
      <c r="AE65" s="163">
        <v>6.5972222222222196E-2</v>
      </c>
      <c r="AF65" s="162">
        <f t="shared" si="17"/>
        <v>63.333333333333314</v>
      </c>
      <c r="AG65" s="164">
        <v>2</v>
      </c>
      <c r="AH65" s="165">
        <f t="shared" si="18"/>
        <v>31.666666666666657</v>
      </c>
      <c r="AI65" s="166">
        <f t="shared" si="19"/>
        <v>95.676066666666657</v>
      </c>
      <c r="AJ65" s="164">
        <v>2</v>
      </c>
      <c r="AK65" s="23">
        <f t="shared" si="20"/>
        <v>22</v>
      </c>
    </row>
    <row r="66" spans="1:37" ht="24" customHeight="1" thickBot="1" x14ac:dyDescent="0.35">
      <c r="A66" s="152" t="s">
        <v>1164</v>
      </c>
      <c r="B66" s="153">
        <v>24</v>
      </c>
      <c r="C66" s="153" t="s">
        <v>1174</v>
      </c>
      <c r="D66" s="153" t="s">
        <v>1144</v>
      </c>
      <c r="E66" s="154">
        <v>2.8170000000000002</v>
      </c>
      <c r="F66" s="155">
        <f>E66*PARÂMETROS!$E$14</f>
        <v>60.650010000000009</v>
      </c>
      <c r="G66" s="154">
        <f t="shared" si="11"/>
        <v>0.28170000000000001</v>
      </c>
      <c r="H66" s="155">
        <f>G66*PARÂMETROS!$E$8</f>
        <v>8.7017129999999998</v>
      </c>
      <c r="I66" s="154">
        <f t="shared" si="12"/>
        <v>1.6990155</v>
      </c>
      <c r="J66" s="155">
        <f>I66*PARÂMETROS!$E$10</f>
        <v>86.564839724999999</v>
      </c>
      <c r="K66" s="154">
        <f t="shared" si="13"/>
        <v>1.2164984999999999</v>
      </c>
      <c r="L66" s="155">
        <f>K66*PARÂMETROS!$E$11</f>
        <v>54.426142890000001</v>
      </c>
      <c r="M66" s="154">
        <f t="shared" si="14"/>
        <v>0.23451749999999999</v>
      </c>
      <c r="N66" s="157">
        <f>M66*PARÂMETROS!$E$12</f>
        <v>14.08512105</v>
      </c>
      <c r="O66" s="60">
        <v>3.15</v>
      </c>
      <c r="R66" s="158" t="s">
        <v>1164</v>
      </c>
      <c r="S66" s="158">
        <v>24</v>
      </c>
      <c r="T66" s="159">
        <f t="shared" si="21"/>
        <v>69.351723000000007</v>
      </c>
      <c r="V66" s="158" t="s">
        <v>1164</v>
      </c>
      <c r="W66" s="158">
        <v>24</v>
      </c>
      <c r="X66" s="159">
        <f t="shared" si="16"/>
        <v>155.07610366500001</v>
      </c>
      <c r="Y66" s="57"/>
      <c r="Z66" s="57"/>
      <c r="AA66" s="160" t="s">
        <v>1164</v>
      </c>
      <c r="AB66" s="160">
        <v>24</v>
      </c>
      <c r="AC66" s="161">
        <f t="shared" si="22"/>
        <v>69.351723000000007</v>
      </c>
      <c r="AD66" s="162">
        <f>PARÂMETROS!$H$3</f>
        <v>40</v>
      </c>
      <c r="AE66" s="163">
        <v>6.5972222222222196E-2</v>
      </c>
      <c r="AF66" s="162">
        <f t="shared" si="17"/>
        <v>63.333333333333314</v>
      </c>
      <c r="AG66" s="164">
        <v>2</v>
      </c>
      <c r="AH66" s="165">
        <f t="shared" si="18"/>
        <v>31.666666666666657</v>
      </c>
      <c r="AI66" s="166">
        <f t="shared" si="19"/>
        <v>101.01838966666666</v>
      </c>
      <c r="AJ66" s="164">
        <v>2</v>
      </c>
      <c r="AK66" s="23">
        <f t="shared" si="20"/>
        <v>24</v>
      </c>
    </row>
    <row r="67" spans="1:37" ht="24" customHeight="1" thickBot="1" x14ac:dyDescent="0.35">
      <c r="A67" s="152" t="s">
        <v>1164</v>
      </c>
      <c r="B67" s="153">
        <v>26</v>
      </c>
      <c r="C67" s="153" t="s">
        <v>1174</v>
      </c>
      <c r="D67" s="153" t="s">
        <v>1144</v>
      </c>
      <c r="E67" s="154">
        <v>2.8170000000000002</v>
      </c>
      <c r="F67" s="155">
        <f>E67*PARÂMETROS!$E$14</f>
        <v>60.650010000000009</v>
      </c>
      <c r="G67" s="154">
        <f t="shared" si="11"/>
        <v>0.28170000000000001</v>
      </c>
      <c r="H67" s="155">
        <f>G67*PARÂMETROS!$E$8</f>
        <v>8.7017129999999998</v>
      </c>
      <c r="I67" s="154">
        <f t="shared" si="12"/>
        <v>1.6990155</v>
      </c>
      <c r="J67" s="155">
        <f>I67*PARÂMETROS!$E$10</f>
        <v>86.564839724999999</v>
      </c>
      <c r="K67" s="154">
        <f t="shared" si="13"/>
        <v>1.2164984999999999</v>
      </c>
      <c r="L67" s="155">
        <f>K67*PARÂMETROS!$E$11</f>
        <v>54.426142890000001</v>
      </c>
      <c r="M67" s="154">
        <f t="shared" si="14"/>
        <v>0.23451749999999999</v>
      </c>
      <c r="N67" s="157">
        <f>M67*PARÂMETROS!$E$12</f>
        <v>14.08512105</v>
      </c>
      <c r="O67" s="60">
        <v>3.15</v>
      </c>
      <c r="R67" s="158" t="s">
        <v>1164</v>
      </c>
      <c r="S67" s="158">
        <v>26</v>
      </c>
      <c r="T67" s="159">
        <f t="shared" si="21"/>
        <v>69.351723000000007</v>
      </c>
      <c r="V67" s="158" t="s">
        <v>1164</v>
      </c>
      <c r="W67" s="158">
        <v>26</v>
      </c>
      <c r="X67" s="159">
        <f t="shared" si="16"/>
        <v>155.07610366500001</v>
      </c>
      <c r="Y67" s="57"/>
      <c r="Z67" s="57"/>
      <c r="AA67" s="160" t="s">
        <v>1164</v>
      </c>
      <c r="AB67" s="160">
        <v>26</v>
      </c>
      <c r="AC67" s="161">
        <f t="shared" si="22"/>
        <v>69.351723000000007</v>
      </c>
      <c r="AD67" s="162">
        <f>PARÂMETROS!$H$3</f>
        <v>40</v>
      </c>
      <c r="AE67" s="163">
        <v>6.5972222222222196E-2</v>
      </c>
      <c r="AF67" s="162">
        <f t="shared" si="17"/>
        <v>63.333333333333314</v>
      </c>
      <c r="AG67" s="164">
        <v>2</v>
      </c>
      <c r="AH67" s="165">
        <f t="shared" si="18"/>
        <v>31.666666666666657</v>
      </c>
      <c r="AI67" s="166">
        <f t="shared" si="19"/>
        <v>101.01838966666666</v>
      </c>
      <c r="AJ67" s="164">
        <v>2</v>
      </c>
      <c r="AK67" s="23">
        <f t="shared" si="20"/>
        <v>26</v>
      </c>
    </row>
    <row r="68" spans="1:37" ht="24" customHeight="1" thickBot="1" x14ac:dyDescent="0.35">
      <c r="A68" s="152" t="s">
        <v>1164</v>
      </c>
      <c r="B68" s="153">
        <v>28</v>
      </c>
      <c r="C68" s="153" t="s">
        <v>1175</v>
      </c>
      <c r="D68" s="153" t="s">
        <v>1144</v>
      </c>
      <c r="E68" s="154">
        <v>3.28</v>
      </c>
      <c r="F68" s="155">
        <f>E68*PARÂMETROS!$E$14</f>
        <v>70.618399999999994</v>
      </c>
      <c r="G68" s="154">
        <f t="shared" si="11"/>
        <v>0.32800000000000001</v>
      </c>
      <c r="H68" s="155">
        <f>G68*PARÂMETROS!$E$8</f>
        <v>10.131920000000001</v>
      </c>
      <c r="I68" s="154">
        <f t="shared" si="12"/>
        <v>1.941732</v>
      </c>
      <c r="J68" s="155">
        <f>I68*PARÂMETROS!$E$10</f>
        <v>98.931245400000009</v>
      </c>
      <c r="K68" s="154">
        <f t="shared" si="13"/>
        <v>1.3902839999999999</v>
      </c>
      <c r="L68" s="155">
        <f>K68*PARÂMETROS!$E$11</f>
        <v>62.201306159999994</v>
      </c>
      <c r="M68" s="154">
        <f t="shared" si="14"/>
        <v>0.26802000000000004</v>
      </c>
      <c r="N68" s="157">
        <f>M68*PARÂMETROS!$E$12</f>
        <v>16.097281200000001</v>
      </c>
      <c r="O68" s="60">
        <v>3.6</v>
      </c>
      <c r="R68" s="158" t="s">
        <v>1164</v>
      </c>
      <c r="S68" s="158">
        <v>28</v>
      </c>
      <c r="T68" s="159">
        <f t="shared" si="21"/>
        <v>80.750319999999988</v>
      </c>
      <c r="V68" s="158" t="s">
        <v>1164</v>
      </c>
      <c r="W68" s="158">
        <v>28</v>
      </c>
      <c r="X68" s="159">
        <f t="shared" si="16"/>
        <v>177.22983276000002</v>
      </c>
      <c r="Y68" s="57"/>
      <c r="Z68" s="57"/>
      <c r="AA68" s="160" t="s">
        <v>1164</v>
      </c>
      <c r="AB68" s="160">
        <v>28</v>
      </c>
      <c r="AC68" s="161">
        <f t="shared" si="22"/>
        <v>80.750319999999988</v>
      </c>
      <c r="AD68" s="162">
        <f>PARÂMETROS!$H$3</f>
        <v>40</v>
      </c>
      <c r="AE68" s="163">
        <v>6.5972222222222196E-2</v>
      </c>
      <c r="AF68" s="162">
        <f t="shared" si="17"/>
        <v>63.333333333333314</v>
      </c>
      <c r="AG68" s="164">
        <v>2</v>
      </c>
      <c r="AH68" s="165">
        <f t="shared" si="18"/>
        <v>31.666666666666657</v>
      </c>
      <c r="AI68" s="166">
        <f t="shared" si="19"/>
        <v>112.41698666666665</v>
      </c>
      <c r="AJ68" s="164">
        <v>2</v>
      </c>
      <c r="AK68" s="23">
        <f t="shared" si="20"/>
        <v>28</v>
      </c>
    </row>
    <row r="69" spans="1:37" ht="24" customHeight="1" thickBot="1" x14ac:dyDescent="0.35">
      <c r="A69" s="152" t="s">
        <v>1164</v>
      </c>
      <c r="B69" s="153">
        <v>30</v>
      </c>
      <c r="C69" s="153" t="s">
        <v>1175</v>
      </c>
      <c r="D69" s="153" t="s">
        <v>1144</v>
      </c>
      <c r="E69" s="154">
        <v>3.28</v>
      </c>
      <c r="F69" s="155">
        <f>E69*PARÂMETROS!$E$14</f>
        <v>70.618399999999994</v>
      </c>
      <c r="G69" s="154">
        <f t="shared" si="11"/>
        <v>0.32800000000000001</v>
      </c>
      <c r="H69" s="155">
        <f>G69*PARÂMETROS!$E$8</f>
        <v>10.131920000000001</v>
      </c>
      <c r="I69" s="154">
        <f t="shared" si="12"/>
        <v>1.9579131000000001</v>
      </c>
      <c r="J69" s="155">
        <f>I69*PARÂMETROS!$E$10</f>
        <v>99.755672445000016</v>
      </c>
      <c r="K69" s="154">
        <f t="shared" si="13"/>
        <v>1.4018696999999998</v>
      </c>
      <c r="L69" s="155">
        <f>K69*PARÂMETROS!$E$11</f>
        <v>62.71965037799999</v>
      </c>
      <c r="M69" s="154">
        <f t="shared" si="14"/>
        <v>0.27025349999999998</v>
      </c>
      <c r="N69" s="157">
        <f>M69*PARÂMETROS!$E$12</f>
        <v>16.231425210000001</v>
      </c>
      <c r="O69" s="60">
        <v>3.63</v>
      </c>
      <c r="R69" s="158" t="s">
        <v>1164</v>
      </c>
      <c r="S69" s="158">
        <v>30</v>
      </c>
      <c r="T69" s="159">
        <f t="shared" si="21"/>
        <v>80.750319999999988</v>
      </c>
      <c r="V69" s="158" t="s">
        <v>1164</v>
      </c>
      <c r="W69" s="158">
        <v>30</v>
      </c>
      <c r="X69" s="159">
        <f t="shared" si="16"/>
        <v>178.706748033</v>
      </c>
      <c r="Y69" s="57"/>
      <c r="Z69" s="57"/>
      <c r="AA69" s="160" t="s">
        <v>1164</v>
      </c>
      <c r="AB69" s="160">
        <v>30</v>
      </c>
      <c r="AC69" s="161">
        <f t="shared" si="22"/>
        <v>80.750319999999988</v>
      </c>
      <c r="AD69" s="162">
        <f>PARÂMETROS!$H$3</f>
        <v>40</v>
      </c>
      <c r="AE69" s="163">
        <v>6.5972222222222196E-2</v>
      </c>
      <c r="AF69" s="162">
        <f t="shared" si="17"/>
        <v>63.333333333333314</v>
      </c>
      <c r="AG69" s="164">
        <v>1</v>
      </c>
      <c r="AH69" s="165">
        <f t="shared" si="18"/>
        <v>63.333333333333314</v>
      </c>
      <c r="AI69" s="166">
        <f t="shared" si="19"/>
        <v>144.0836533333333</v>
      </c>
      <c r="AJ69" s="164">
        <v>1</v>
      </c>
      <c r="AK69" s="23">
        <f t="shared" si="20"/>
        <v>30</v>
      </c>
    </row>
    <row r="70" spans="1:37" ht="24" customHeight="1" thickBot="1" x14ac:dyDescent="0.35">
      <c r="A70" s="152" t="s">
        <v>1164</v>
      </c>
      <c r="B70" s="153">
        <v>32</v>
      </c>
      <c r="C70" s="153" t="s">
        <v>1176</v>
      </c>
      <c r="D70" s="153" t="s">
        <v>1144</v>
      </c>
      <c r="E70" s="154">
        <v>4.7450000000000001</v>
      </c>
      <c r="F70" s="155">
        <f>E70*PARÂMETROS!$E$15</f>
        <v>161.94685000000001</v>
      </c>
      <c r="G70" s="154">
        <f t="shared" si="11"/>
        <v>0.47450000000000003</v>
      </c>
      <c r="H70" s="155">
        <f>G70*PARÂMETROS!$E$8</f>
        <v>14.657305000000001</v>
      </c>
      <c r="I70" s="154">
        <f t="shared" si="12"/>
        <v>2.8586610000000001</v>
      </c>
      <c r="J70" s="155">
        <f>I70*PARÂMETROS!$E$10</f>
        <v>145.64877795000001</v>
      </c>
      <c r="K70" s="154">
        <f t="shared" si="13"/>
        <v>2.0468069999999998</v>
      </c>
      <c r="L70" s="155">
        <f>K70*PARÂMETROS!$E$11</f>
        <v>91.574145180000002</v>
      </c>
      <c r="M70" s="154">
        <f t="shared" si="14"/>
        <v>0.39458500000000002</v>
      </c>
      <c r="N70" s="157">
        <f>M70*PARÂMETROS!$E$12</f>
        <v>23.698775100000002</v>
      </c>
      <c r="O70" s="60">
        <v>5.3</v>
      </c>
      <c r="R70" s="158" t="s">
        <v>1164</v>
      </c>
      <c r="S70" s="158">
        <v>32</v>
      </c>
      <c r="T70" s="159">
        <f t="shared" si="21"/>
        <v>176.60415500000002</v>
      </c>
      <c r="V70" s="158" t="s">
        <v>1164</v>
      </c>
      <c r="W70" s="158">
        <v>32</v>
      </c>
      <c r="X70" s="159">
        <f t="shared" si="16"/>
        <v>260.92169823</v>
      </c>
      <c r="Y70" s="57"/>
      <c r="Z70" s="57"/>
      <c r="AA70" s="160" t="s">
        <v>1164</v>
      </c>
      <c r="AB70" s="160">
        <v>32</v>
      </c>
      <c r="AC70" s="161">
        <f t="shared" si="22"/>
        <v>176.60415500000002</v>
      </c>
      <c r="AD70" s="162">
        <f>PARÂMETROS!$H$3</f>
        <v>40</v>
      </c>
      <c r="AE70" s="163">
        <v>6.5972222222222196E-2</v>
      </c>
      <c r="AF70" s="162">
        <f t="shared" si="17"/>
        <v>63.333333333333314</v>
      </c>
      <c r="AG70" s="164">
        <v>1</v>
      </c>
      <c r="AH70" s="165">
        <f t="shared" si="18"/>
        <v>63.333333333333314</v>
      </c>
      <c r="AI70" s="166">
        <f t="shared" si="19"/>
        <v>239.93748833333333</v>
      </c>
      <c r="AJ70" s="164">
        <v>1</v>
      </c>
      <c r="AK70" s="23">
        <f t="shared" si="20"/>
        <v>32</v>
      </c>
    </row>
    <row r="71" spans="1:37" ht="24" customHeight="1" thickBot="1" x14ac:dyDescent="0.35">
      <c r="A71" s="152" t="s">
        <v>1164</v>
      </c>
      <c r="B71" s="153">
        <v>34</v>
      </c>
      <c r="C71" s="153" t="s">
        <v>1176</v>
      </c>
      <c r="D71" s="153" t="s">
        <v>1144</v>
      </c>
      <c r="E71" s="154">
        <v>4.7450000000000001</v>
      </c>
      <c r="F71" s="155">
        <f>E71*PARÂMETROS!$E$15</f>
        <v>161.94685000000001</v>
      </c>
      <c r="G71" s="154">
        <f t="shared" si="11"/>
        <v>0.47450000000000003</v>
      </c>
      <c r="H71" s="155">
        <f>G71*PARÂMETROS!$E$8</f>
        <v>14.657305000000001</v>
      </c>
      <c r="I71" s="154">
        <f t="shared" si="12"/>
        <v>2.8586610000000001</v>
      </c>
      <c r="J71" s="155">
        <f>I71*PARÂMETROS!$E$10</f>
        <v>145.64877795000001</v>
      </c>
      <c r="K71" s="154">
        <f t="shared" si="13"/>
        <v>2.0468069999999998</v>
      </c>
      <c r="L71" s="155">
        <f>K71*PARÂMETROS!$E$11</f>
        <v>91.574145180000002</v>
      </c>
      <c r="M71" s="154">
        <f t="shared" si="14"/>
        <v>0.39458500000000002</v>
      </c>
      <c r="N71" s="157">
        <f>M71*PARÂMETROS!$E$12</f>
        <v>23.698775100000002</v>
      </c>
      <c r="O71" s="60">
        <v>5.3</v>
      </c>
      <c r="R71" s="158" t="s">
        <v>1164</v>
      </c>
      <c r="S71" s="158">
        <v>34</v>
      </c>
      <c r="T71" s="159">
        <f t="shared" si="21"/>
        <v>176.60415500000002</v>
      </c>
      <c r="V71" s="158" t="s">
        <v>1164</v>
      </c>
      <c r="W71" s="158">
        <v>34</v>
      </c>
      <c r="X71" s="159">
        <f t="shared" si="16"/>
        <v>260.92169823</v>
      </c>
      <c r="Y71" s="57"/>
      <c r="Z71" s="57"/>
      <c r="AA71" s="160" t="s">
        <v>1164</v>
      </c>
      <c r="AB71" s="160">
        <v>34</v>
      </c>
      <c r="AC71" s="161">
        <f t="shared" si="22"/>
        <v>176.60415500000002</v>
      </c>
      <c r="AD71" s="162">
        <f>PARÂMETROS!$H$3</f>
        <v>40</v>
      </c>
      <c r="AE71" s="163">
        <v>6.5972222222222196E-2</v>
      </c>
      <c r="AF71" s="162">
        <f t="shared" si="17"/>
        <v>63.333333333333314</v>
      </c>
      <c r="AG71" s="164">
        <v>1</v>
      </c>
      <c r="AH71" s="165">
        <f t="shared" si="18"/>
        <v>63.333333333333314</v>
      </c>
      <c r="AI71" s="166">
        <f t="shared" si="19"/>
        <v>239.93748833333333</v>
      </c>
      <c r="AJ71" s="164">
        <v>1</v>
      </c>
      <c r="AK71" s="23">
        <f t="shared" si="20"/>
        <v>34</v>
      </c>
    </row>
    <row r="72" spans="1:37" ht="24" customHeight="1" thickBot="1" x14ac:dyDescent="0.35">
      <c r="A72" s="152" t="s">
        <v>1164</v>
      </c>
      <c r="B72" s="153">
        <v>36</v>
      </c>
      <c r="C72" s="153" t="s">
        <v>1177</v>
      </c>
      <c r="D72" s="153" t="s">
        <v>1144</v>
      </c>
      <c r="E72" s="154">
        <v>10.167999999999999</v>
      </c>
      <c r="F72" s="155">
        <f>E72*PARÂMETROS!$E$15</f>
        <v>347.03384</v>
      </c>
      <c r="G72" s="154">
        <f t="shared" si="11"/>
        <v>1.0167999999999999</v>
      </c>
      <c r="H72" s="155">
        <f>G72*PARÂMETROS!$E$8</f>
        <v>31.408951999999999</v>
      </c>
      <c r="I72" s="154">
        <f t="shared" si="12"/>
        <v>5.555511000000001</v>
      </c>
      <c r="J72" s="155">
        <f>I72*PARÂMETROS!$E$10</f>
        <v>283.05328545000009</v>
      </c>
      <c r="K72" s="154">
        <f t="shared" si="13"/>
        <v>3.977757</v>
      </c>
      <c r="L72" s="155">
        <f>K72*PARÂMETROS!$E$11</f>
        <v>177.96484818000002</v>
      </c>
      <c r="M72" s="154">
        <f t="shared" si="14"/>
        <v>0.76683500000000004</v>
      </c>
      <c r="N72" s="157">
        <f>M72*PARÂMETROS!$E$12</f>
        <v>46.056110100000005</v>
      </c>
      <c r="O72" s="60">
        <v>10.3</v>
      </c>
      <c r="R72" s="158" t="s">
        <v>1164</v>
      </c>
      <c r="S72" s="158">
        <v>36</v>
      </c>
      <c r="T72" s="159">
        <f t="shared" si="21"/>
        <v>378.442792</v>
      </c>
      <c r="V72" s="158" t="s">
        <v>1164</v>
      </c>
      <c r="W72" s="158">
        <v>36</v>
      </c>
      <c r="X72" s="159">
        <f t="shared" si="16"/>
        <v>507.07424373000015</v>
      </c>
      <c r="Y72" s="57"/>
      <c r="Z72" s="57"/>
      <c r="AA72" s="160" t="s">
        <v>1164</v>
      </c>
      <c r="AB72" s="160">
        <v>36</v>
      </c>
      <c r="AC72" s="161">
        <f t="shared" si="22"/>
        <v>378.442792</v>
      </c>
      <c r="AD72" s="162">
        <f>PARÂMETROS!$H$3</f>
        <v>40</v>
      </c>
      <c r="AE72" s="163">
        <v>6.5972222222222196E-2</v>
      </c>
      <c r="AF72" s="162">
        <f t="shared" si="17"/>
        <v>63.333333333333314</v>
      </c>
      <c r="AG72" s="164">
        <v>1</v>
      </c>
      <c r="AH72" s="165">
        <f t="shared" si="18"/>
        <v>63.333333333333314</v>
      </c>
      <c r="AI72" s="166">
        <f t="shared" si="19"/>
        <v>441.77612533333331</v>
      </c>
      <c r="AJ72" s="164">
        <v>1</v>
      </c>
      <c r="AK72" s="23">
        <f t="shared" si="20"/>
        <v>36</v>
      </c>
    </row>
    <row r="73" spans="1:37" ht="24" customHeight="1" thickBot="1" x14ac:dyDescent="0.35">
      <c r="A73" s="152" t="s">
        <v>1164</v>
      </c>
      <c r="B73" s="153">
        <v>38</v>
      </c>
      <c r="C73" s="153" t="s">
        <v>1177</v>
      </c>
      <c r="D73" s="153" t="s">
        <v>1144</v>
      </c>
      <c r="E73" s="154">
        <v>10.167999999999999</v>
      </c>
      <c r="F73" s="155">
        <f>E73*PARÂMETROS!$E$15</f>
        <v>347.03384</v>
      </c>
      <c r="G73" s="154">
        <f t="shared" si="11"/>
        <v>1.0167999999999999</v>
      </c>
      <c r="H73" s="155">
        <f>G73*PARÂMETROS!$E$8</f>
        <v>31.408951999999999</v>
      </c>
      <c r="I73" s="154">
        <f t="shared" si="12"/>
        <v>5.555511000000001</v>
      </c>
      <c r="J73" s="155">
        <f>I73*PARÂMETROS!$E$10</f>
        <v>283.05328545000009</v>
      </c>
      <c r="K73" s="154">
        <f t="shared" si="13"/>
        <v>3.977757</v>
      </c>
      <c r="L73" s="155">
        <f>K73*PARÂMETROS!$E$11</f>
        <v>177.96484818000002</v>
      </c>
      <c r="M73" s="154">
        <f t="shared" si="14"/>
        <v>0.76683500000000004</v>
      </c>
      <c r="N73" s="157">
        <f>M73*PARÂMETROS!$E$12</f>
        <v>46.056110100000005</v>
      </c>
      <c r="O73" s="60">
        <v>10.3</v>
      </c>
      <c r="R73" s="158" t="s">
        <v>1164</v>
      </c>
      <c r="S73" s="158">
        <v>38</v>
      </c>
      <c r="T73" s="159">
        <f t="shared" si="21"/>
        <v>378.442792</v>
      </c>
      <c r="V73" s="158" t="s">
        <v>1164</v>
      </c>
      <c r="W73" s="158">
        <v>38</v>
      </c>
      <c r="X73" s="159">
        <f t="shared" si="16"/>
        <v>507.07424373000015</v>
      </c>
      <c r="Y73" s="57"/>
      <c r="Z73" s="57"/>
      <c r="AA73" s="160" t="s">
        <v>1164</v>
      </c>
      <c r="AB73" s="160">
        <v>38</v>
      </c>
      <c r="AC73" s="161">
        <f t="shared" si="22"/>
        <v>378.442792</v>
      </c>
      <c r="AD73" s="162">
        <f>PARÂMETROS!$H$3</f>
        <v>40</v>
      </c>
      <c r="AE73" s="163">
        <v>6.5972222222222196E-2</v>
      </c>
      <c r="AF73" s="162">
        <f t="shared" si="17"/>
        <v>63.333333333333314</v>
      </c>
      <c r="AG73" s="164">
        <v>1</v>
      </c>
      <c r="AH73" s="165">
        <f t="shared" si="18"/>
        <v>63.333333333333314</v>
      </c>
      <c r="AI73" s="166">
        <f t="shared" si="19"/>
        <v>441.77612533333331</v>
      </c>
      <c r="AJ73" s="164">
        <v>1</v>
      </c>
      <c r="AK73" s="23">
        <f t="shared" si="20"/>
        <v>38</v>
      </c>
    </row>
    <row r="74" spans="1:37" ht="24" customHeight="1" thickBot="1" x14ac:dyDescent="0.35">
      <c r="A74" s="152" t="s">
        <v>1164</v>
      </c>
      <c r="B74" s="153">
        <v>40</v>
      </c>
      <c r="C74" s="153" t="s">
        <v>1178</v>
      </c>
      <c r="D74" s="153" t="s">
        <v>1144</v>
      </c>
      <c r="E74" s="154">
        <v>12.361000000000001</v>
      </c>
      <c r="F74" s="155">
        <f>E74*PARÂMETROS!$E$15</f>
        <v>421.88093000000003</v>
      </c>
      <c r="G74" s="154">
        <f t="shared" si="11"/>
        <v>1.2361000000000002</v>
      </c>
      <c r="H74" s="155">
        <f>G74*PARÂMETROS!$E$8</f>
        <v>38.183129000000008</v>
      </c>
      <c r="I74" s="154">
        <f t="shared" si="12"/>
        <v>7.3893689999999994</v>
      </c>
      <c r="J74" s="155">
        <f>I74*PARÂMETROS!$E$10</f>
        <v>376.48835055000001</v>
      </c>
      <c r="K74" s="154">
        <f t="shared" si="13"/>
        <v>5.2908029999999995</v>
      </c>
      <c r="L74" s="155">
        <f>K74*PARÂMETROS!$E$11</f>
        <v>236.71052621999999</v>
      </c>
      <c r="M74" s="154">
        <f t="shared" si="14"/>
        <v>1.019965</v>
      </c>
      <c r="N74" s="157">
        <f>M74*PARÂMETROS!$E$12</f>
        <v>61.2590979</v>
      </c>
      <c r="O74" s="60">
        <v>13.7</v>
      </c>
      <c r="R74" s="158" t="s">
        <v>1164</v>
      </c>
      <c r="S74" s="158">
        <v>40</v>
      </c>
      <c r="T74" s="159">
        <f t="shared" si="21"/>
        <v>460.06405900000004</v>
      </c>
      <c r="V74" s="158" t="s">
        <v>1164</v>
      </c>
      <c r="W74" s="158">
        <v>40</v>
      </c>
      <c r="X74" s="159">
        <f t="shared" ref="X74:X89" si="23">N74+L74+J74</f>
        <v>674.45797467</v>
      </c>
      <c r="Y74" s="57"/>
      <c r="Z74" s="57"/>
      <c r="AA74" s="160" t="s">
        <v>1164</v>
      </c>
      <c r="AB74" s="160">
        <v>40</v>
      </c>
      <c r="AC74" s="161">
        <f t="shared" si="22"/>
        <v>460.06405900000004</v>
      </c>
      <c r="AD74" s="162">
        <f>PARÂMETROS!$H$3</f>
        <v>40</v>
      </c>
      <c r="AE74" s="163">
        <v>6.5972222222222196E-2</v>
      </c>
      <c r="AF74" s="162">
        <f t="shared" ref="AF74:AF105" si="24">(AE74*AD74)*24</f>
        <v>63.333333333333314</v>
      </c>
      <c r="AG74" s="164">
        <v>1</v>
      </c>
      <c r="AH74" s="165">
        <f t="shared" ref="AH74:AH105" si="25">AF74/AG74</f>
        <v>63.333333333333314</v>
      </c>
      <c r="AI74" s="166">
        <f t="shared" ref="AI74:AI105" si="26">AH74+AC74</f>
        <v>523.3973923333333</v>
      </c>
      <c r="AJ74" s="164">
        <v>1</v>
      </c>
      <c r="AK74" s="23">
        <f t="shared" ref="AK74:AK105" si="27">IFERROR(VALUE(SUBSTITUTE(SUBSTITUTE(SUBSTITUTE(SUBSTITUTE(SUBSTITUTE(AB74,"DN",""),CHAR(34),""),"”",""),"“",""),"''","")),"")</f>
        <v>40</v>
      </c>
    </row>
    <row r="75" spans="1:37" ht="24" customHeight="1" thickBot="1" x14ac:dyDescent="0.35">
      <c r="A75" s="152" t="s">
        <v>1164</v>
      </c>
      <c r="B75" s="153">
        <v>42</v>
      </c>
      <c r="C75" s="153" t="s">
        <v>1179</v>
      </c>
      <c r="D75" s="153" t="s">
        <v>1144</v>
      </c>
      <c r="E75" s="154">
        <v>13.734999999999999</v>
      </c>
      <c r="F75" s="155">
        <f>E75*PARÂMETROS!$E$15</f>
        <v>468.77555000000001</v>
      </c>
      <c r="G75" s="154">
        <f t="shared" si="11"/>
        <v>1.3734999999999999</v>
      </c>
      <c r="H75" s="155">
        <f>G75*PARÂMETROS!$E$8</f>
        <v>42.427414999999996</v>
      </c>
      <c r="I75" s="154">
        <f t="shared" si="12"/>
        <v>8.2092114000000009</v>
      </c>
      <c r="J75" s="155">
        <f>I75*PARÂMETROS!$E$10</f>
        <v>418.25932083000009</v>
      </c>
      <c r="K75" s="154">
        <f t="shared" si="13"/>
        <v>5.8778117999999999</v>
      </c>
      <c r="L75" s="155">
        <f>K75*PARÂMETROS!$E$11</f>
        <v>262.97329993200003</v>
      </c>
      <c r="M75" s="154">
        <f t="shared" si="14"/>
        <v>1.1331290000000001</v>
      </c>
      <c r="N75" s="157">
        <f>M75*PARÂMETROS!$E$12</f>
        <v>68.055727740000009</v>
      </c>
      <c r="O75" s="60">
        <v>15.22</v>
      </c>
      <c r="R75" s="158" t="s">
        <v>1164</v>
      </c>
      <c r="S75" s="158">
        <v>42</v>
      </c>
      <c r="T75" s="159">
        <f t="shared" si="21"/>
        <v>511.20296500000001</v>
      </c>
      <c r="V75" s="158" t="s">
        <v>1164</v>
      </c>
      <c r="W75" s="158">
        <v>42</v>
      </c>
      <c r="X75" s="159">
        <f t="shared" si="23"/>
        <v>749.28834850200019</v>
      </c>
      <c r="Y75" s="57"/>
      <c r="Z75" s="57"/>
      <c r="AA75" s="160" t="s">
        <v>1164</v>
      </c>
      <c r="AB75" s="160">
        <v>42</v>
      </c>
      <c r="AC75" s="161">
        <f t="shared" si="22"/>
        <v>511.20296500000001</v>
      </c>
      <c r="AD75" s="162">
        <f>PARÂMETROS!$H$3</f>
        <v>40</v>
      </c>
      <c r="AE75" s="163">
        <v>6.5972222222222196E-2</v>
      </c>
      <c r="AF75" s="162">
        <f t="shared" si="24"/>
        <v>63.333333333333314</v>
      </c>
      <c r="AG75" s="164">
        <v>1</v>
      </c>
      <c r="AH75" s="165">
        <f t="shared" si="25"/>
        <v>63.333333333333314</v>
      </c>
      <c r="AI75" s="166">
        <f t="shared" si="26"/>
        <v>574.53629833333332</v>
      </c>
      <c r="AJ75" s="164">
        <v>1</v>
      </c>
      <c r="AK75" s="23">
        <f t="shared" si="27"/>
        <v>42</v>
      </c>
    </row>
    <row r="76" spans="1:37" ht="24" customHeight="1" thickBot="1" x14ac:dyDescent="0.35">
      <c r="A76" s="152" t="s">
        <v>1180</v>
      </c>
      <c r="B76" s="153">
        <v>2</v>
      </c>
      <c r="C76" s="153" t="s">
        <v>1181</v>
      </c>
      <c r="D76" s="153" t="s">
        <v>1123</v>
      </c>
      <c r="E76" s="154">
        <f t="shared" ref="E76:E89" si="28">O76*91.7%</f>
        <v>0.133882</v>
      </c>
      <c r="F76" s="155">
        <f>E76*PARÂMETROS!$E$6</f>
        <v>5.3459082599999999</v>
      </c>
      <c r="G76" s="156">
        <f t="shared" ref="G76:G89" si="29">O76*6.8%</f>
        <v>9.9279999999999993E-3</v>
      </c>
      <c r="H76" s="155">
        <f>G76*PARÂMETROS!$E$8</f>
        <v>0.30667591999999999</v>
      </c>
      <c r="I76" s="154">
        <f t="shared" ref="I76:I89" si="30">O76*45.045%</f>
        <v>6.5765699999999996E-2</v>
      </c>
      <c r="J76" s="155">
        <f>I76*PARÂMETROS!$E$10</f>
        <v>3.3507624150000002</v>
      </c>
      <c r="K76" s="154">
        <f t="shared" ref="K76:K89" si="31">O76*49.549%</f>
        <v>7.2341539999999996E-2</v>
      </c>
      <c r="L76" s="155">
        <f>K76*PARÂMETROS!$E$11</f>
        <v>3.2365604995999999</v>
      </c>
      <c r="M76" s="154">
        <f t="shared" ref="M76:M89" si="32">O76*5.405%</f>
        <v>7.8913000000000004E-3</v>
      </c>
      <c r="N76" s="157">
        <f>M76*PARÂMETROS!$E$12</f>
        <v>0.47395147800000004</v>
      </c>
      <c r="O76" s="60">
        <v>0.14599999999999999</v>
      </c>
      <c r="R76" s="158" t="s">
        <v>1180</v>
      </c>
      <c r="S76" s="158">
        <v>2</v>
      </c>
      <c r="T76" s="159">
        <f t="shared" si="21"/>
        <v>5.6525841799999998</v>
      </c>
      <c r="V76" s="158" t="s">
        <v>1180</v>
      </c>
      <c r="W76" s="158">
        <v>2</v>
      </c>
      <c r="X76" s="159">
        <f t="shared" si="23"/>
        <v>7.0612743925999997</v>
      </c>
      <c r="Y76" s="57"/>
      <c r="Z76" s="57"/>
      <c r="AA76" s="167" t="s">
        <v>1180</v>
      </c>
      <c r="AB76" s="167">
        <v>2</v>
      </c>
      <c r="AC76" s="161">
        <f t="shared" si="22"/>
        <v>5.6525841799999998</v>
      </c>
      <c r="AD76" s="162">
        <f>PARÂMETROS!$H$3</f>
        <v>40</v>
      </c>
      <c r="AE76" s="163">
        <v>0.14236111111111099</v>
      </c>
      <c r="AF76" s="162">
        <f t="shared" si="24"/>
        <v>136.66666666666654</v>
      </c>
      <c r="AG76" s="168">
        <v>1</v>
      </c>
      <c r="AH76" s="165">
        <f t="shared" si="25"/>
        <v>136.66666666666654</v>
      </c>
      <c r="AI76" s="166">
        <f t="shared" si="26"/>
        <v>142.31925084666653</v>
      </c>
      <c r="AJ76" s="168">
        <v>1</v>
      </c>
      <c r="AK76" s="23">
        <f t="shared" si="27"/>
        <v>2</v>
      </c>
    </row>
    <row r="77" spans="1:37" ht="24" customHeight="1" thickBot="1" x14ac:dyDescent="0.35">
      <c r="A77" s="152" t="s">
        <v>1180</v>
      </c>
      <c r="B77" s="153">
        <v>3</v>
      </c>
      <c r="C77" s="153" t="s">
        <v>1181</v>
      </c>
      <c r="D77" s="153" t="s">
        <v>1123</v>
      </c>
      <c r="E77" s="154">
        <f t="shared" si="28"/>
        <v>0.355796</v>
      </c>
      <c r="F77" s="155">
        <f>E77*PARÂMETROS!$E$6</f>
        <v>14.20693428</v>
      </c>
      <c r="G77" s="156">
        <f t="shared" si="29"/>
        <v>2.6384000000000001E-2</v>
      </c>
      <c r="H77" s="155">
        <f>G77*PARÂMETROS!$E$8</f>
        <v>0.81500176000000002</v>
      </c>
      <c r="I77" s="154">
        <f t="shared" si="30"/>
        <v>0.1747746</v>
      </c>
      <c r="J77" s="155">
        <f>I77*PARÂMETROS!$E$10</f>
        <v>8.9047658700000003</v>
      </c>
      <c r="K77" s="154">
        <f t="shared" si="31"/>
        <v>0.19225012</v>
      </c>
      <c r="L77" s="155">
        <f>K77*PARÂMETROS!$E$11</f>
        <v>8.6012703687999998</v>
      </c>
      <c r="M77" s="154">
        <f t="shared" si="32"/>
        <v>2.0971400000000001E-2</v>
      </c>
      <c r="N77" s="157">
        <f>M77*PARÂMETROS!$E$12</f>
        <v>1.2595422840000001</v>
      </c>
      <c r="O77" s="60">
        <v>0.38800000000000001</v>
      </c>
      <c r="R77" s="158" t="s">
        <v>1180</v>
      </c>
      <c r="S77" s="158">
        <v>3</v>
      </c>
      <c r="T77" s="159">
        <f t="shared" ref="T77:T140" si="33">F77+H77</f>
        <v>15.02193604</v>
      </c>
      <c r="V77" s="158" t="s">
        <v>1180</v>
      </c>
      <c r="W77" s="158">
        <v>3</v>
      </c>
      <c r="X77" s="159">
        <f t="shared" si="23"/>
        <v>18.765578522799998</v>
      </c>
      <c r="Y77" s="57"/>
      <c r="Z77" s="57"/>
      <c r="AA77" s="167" t="s">
        <v>1180</v>
      </c>
      <c r="AB77" s="167">
        <v>3</v>
      </c>
      <c r="AC77" s="161">
        <f t="shared" si="22"/>
        <v>15.02193604</v>
      </c>
      <c r="AD77" s="162">
        <f>PARÂMETROS!$H$3</f>
        <v>40</v>
      </c>
      <c r="AE77" s="163">
        <v>0.14236111111111099</v>
      </c>
      <c r="AF77" s="162">
        <f t="shared" si="24"/>
        <v>136.66666666666654</v>
      </c>
      <c r="AG77" s="168">
        <v>1</v>
      </c>
      <c r="AH77" s="165">
        <f t="shared" si="25"/>
        <v>136.66666666666654</v>
      </c>
      <c r="AI77" s="166">
        <f t="shared" si="26"/>
        <v>151.68860270666653</v>
      </c>
      <c r="AJ77" s="168">
        <v>1</v>
      </c>
      <c r="AK77" s="23">
        <f t="shared" si="27"/>
        <v>3</v>
      </c>
    </row>
    <row r="78" spans="1:37" ht="24" customHeight="1" thickBot="1" x14ac:dyDescent="0.35">
      <c r="A78" s="152" t="s">
        <v>1180</v>
      </c>
      <c r="B78" s="153">
        <v>4</v>
      </c>
      <c r="C78" s="153" t="s">
        <v>1181</v>
      </c>
      <c r="D78" s="153" t="s">
        <v>1123</v>
      </c>
      <c r="E78" s="154">
        <f t="shared" si="28"/>
        <v>0.91700000000000004</v>
      </c>
      <c r="F78" s="155">
        <f>E78*PARÂMETROS!$E$6</f>
        <v>36.615810000000003</v>
      </c>
      <c r="G78" s="156">
        <f t="shared" si="29"/>
        <v>6.8000000000000005E-2</v>
      </c>
      <c r="H78" s="155">
        <f>G78*PARÂMETROS!$E$8</f>
        <v>2.1005200000000004</v>
      </c>
      <c r="I78" s="154">
        <f t="shared" si="30"/>
        <v>0.45045000000000002</v>
      </c>
      <c r="J78" s="155">
        <f>I78*PARÂMETROS!$E$10</f>
        <v>22.950427500000004</v>
      </c>
      <c r="K78" s="154">
        <f t="shared" si="31"/>
        <v>0.49548999999999999</v>
      </c>
      <c r="L78" s="155">
        <f>K78*PARÂMETROS!$E$11</f>
        <v>22.1682226</v>
      </c>
      <c r="M78" s="154">
        <f t="shared" si="32"/>
        <v>5.4050000000000001E-2</v>
      </c>
      <c r="N78" s="157">
        <f>M78*PARÂMETROS!$E$12</f>
        <v>3.2462430000000002</v>
      </c>
      <c r="O78" s="60">
        <v>1</v>
      </c>
      <c r="R78" s="158" t="s">
        <v>1180</v>
      </c>
      <c r="S78" s="158">
        <v>4</v>
      </c>
      <c r="T78" s="159">
        <f t="shared" si="33"/>
        <v>38.716330000000006</v>
      </c>
      <c r="V78" s="158" t="s">
        <v>1180</v>
      </c>
      <c r="W78" s="158">
        <v>4</v>
      </c>
      <c r="X78" s="159">
        <f t="shared" si="23"/>
        <v>48.364893100000003</v>
      </c>
      <c r="Y78" s="57"/>
      <c r="Z78" s="57"/>
      <c r="AA78" s="167" t="s">
        <v>1180</v>
      </c>
      <c r="AB78" s="167">
        <v>4</v>
      </c>
      <c r="AC78" s="161">
        <f t="shared" si="22"/>
        <v>38.716330000000006</v>
      </c>
      <c r="AD78" s="162">
        <f>PARÂMETROS!$H$3</f>
        <v>40</v>
      </c>
      <c r="AE78" s="163">
        <v>0.14236111111111099</v>
      </c>
      <c r="AF78" s="162">
        <f t="shared" si="24"/>
        <v>136.66666666666654</v>
      </c>
      <c r="AG78" s="168">
        <v>1</v>
      </c>
      <c r="AH78" s="165">
        <f t="shared" si="25"/>
        <v>136.66666666666654</v>
      </c>
      <c r="AI78" s="166">
        <f t="shared" si="26"/>
        <v>175.38299666666654</v>
      </c>
      <c r="AJ78" s="168">
        <v>1</v>
      </c>
      <c r="AK78" s="23">
        <f t="shared" si="27"/>
        <v>4</v>
      </c>
    </row>
    <row r="79" spans="1:37" ht="24" customHeight="1" thickBot="1" x14ac:dyDescent="0.35">
      <c r="A79" s="152" t="s">
        <v>1180</v>
      </c>
      <c r="B79" s="153">
        <v>6</v>
      </c>
      <c r="C79" s="153" t="s">
        <v>1181</v>
      </c>
      <c r="D79" s="153" t="s">
        <v>1123</v>
      </c>
      <c r="E79" s="154">
        <f t="shared" si="28"/>
        <v>3.2095000000000002</v>
      </c>
      <c r="F79" s="155">
        <f>E79*PARÂMETROS!$E$6</f>
        <v>128.15533500000001</v>
      </c>
      <c r="G79" s="156">
        <f t="shared" si="29"/>
        <v>0.23800000000000002</v>
      </c>
      <c r="H79" s="155">
        <f>G79*PARÂMETROS!$E$8</f>
        <v>7.3518200000000009</v>
      </c>
      <c r="I79" s="154">
        <f t="shared" si="30"/>
        <v>1.5765750000000001</v>
      </c>
      <c r="J79" s="155">
        <f>I79*PARÂMETROS!$E$10</f>
        <v>80.326496250000005</v>
      </c>
      <c r="K79" s="154">
        <f t="shared" si="31"/>
        <v>1.7342149999999998</v>
      </c>
      <c r="L79" s="155">
        <f>K79*PARÂMETROS!$E$11</f>
        <v>77.588779099999996</v>
      </c>
      <c r="M79" s="154">
        <f t="shared" si="32"/>
        <v>0.18917500000000001</v>
      </c>
      <c r="N79" s="157">
        <f>M79*PARÂMETROS!$E$12</f>
        <v>11.361850500000001</v>
      </c>
      <c r="O79" s="60">
        <v>3.5</v>
      </c>
      <c r="R79" s="158" t="s">
        <v>1180</v>
      </c>
      <c r="S79" s="158">
        <v>6</v>
      </c>
      <c r="T79" s="159">
        <f t="shared" si="33"/>
        <v>135.50715500000001</v>
      </c>
      <c r="V79" s="158" t="s">
        <v>1180</v>
      </c>
      <c r="W79" s="158">
        <v>6</v>
      </c>
      <c r="X79" s="159">
        <f t="shared" si="23"/>
        <v>169.27712585</v>
      </c>
      <c r="Y79" s="57"/>
      <c r="Z79" s="57"/>
      <c r="AA79" s="167" t="s">
        <v>1180</v>
      </c>
      <c r="AB79" s="167">
        <v>6</v>
      </c>
      <c r="AC79" s="161">
        <f t="shared" si="22"/>
        <v>135.50715500000001</v>
      </c>
      <c r="AD79" s="162">
        <f>PARÂMETROS!$H$3</f>
        <v>40</v>
      </c>
      <c r="AE79" s="163">
        <v>0.14236111111111099</v>
      </c>
      <c r="AF79" s="162">
        <f t="shared" si="24"/>
        <v>136.66666666666654</v>
      </c>
      <c r="AG79" s="168">
        <v>1</v>
      </c>
      <c r="AH79" s="165">
        <f t="shared" si="25"/>
        <v>136.66666666666654</v>
      </c>
      <c r="AI79" s="166">
        <f t="shared" si="26"/>
        <v>272.17382166666653</v>
      </c>
      <c r="AJ79" s="168">
        <v>1</v>
      </c>
      <c r="AK79" s="23">
        <f t="shared" si="27"/>
        <v>6</v>
      </c>
    </row>
    <row r="80" spans="1:37" ht="24" customHeight="1" thickBot="1" x14ac:dyDescent="0.35">
      <c r="A80" s="152" t="s">
        <v>1180</v>
      </c>
      <c r="B80" s="153">
        <v>8</v>
      </c>
      <c r="C80" s="153" t="s">
        <v>1181</v>
      </c>
      <c r="D80" s="153" t="s">
        <v>1123</v>
      </c>
      <c r="E80" s="154">
        <f t="shared" si="28"/>
        <v>6.5106999999999999</v>
      </c>
      <c r="F80" s="155">
        <f>E80*PARÂMETROS!$E$6</f>
        <v>259.97225099999997</v>
      </c>
      <c r="G80" s="156">
        <f t="shared" si="29"/>
        <v>0.48280000000000001</v>
      </c>
      <c r="H80" s="155">
        <f>G80*PARÂMETROS!$E$8</f>
        <v>14.913692000000001</v>
      </c>
      <c r="I80" s="154">
        <f t="shared" si="30"/>
        <v>3.1981950000000001</v>
      </c>
      <c r="J80" s="155">
        <f>I80*PARÂMETROS!$E$10</f>
        <v>162.94803525</v>
      </c>
      <c r="K80" s="154">
        <f t="shared" si="31"/>
        <v>3.5179789999999995</v>
      </c>
      <c r="L80" s="155">
        <f>K80*PARÂMETROS!$E$11</f>
        <v>157.39438045999998</v>
      </c>
      <c r="M80" s="154">
        <f t="shared" si="32"/>
        <v>0.38375500000000001</v>
      </c>
      <c r="N80" s="157">
        <f>M80*PARÂMETROS!$E$12</f>
        <v>23.048325300000002</v>
      </c>
      <c r="O80" s="60">
        <v>7.1</v>
      </c>
      <c r="R80" s="158" t="s">
        <v>1180</v>
      </c>
      <c r="S80" s="158">
        <v>8</v>
      </c>
      <c r="T80" s="159">
        <f t="shared" si="33"/>
        <v>274.885943</v>
      </c>
      <c r="V80" s="158" t="s">
        <v>1180</v>
      </c>
      <c r="W80" s="158">
        <v>8</v>
      </c>
      <c r="X80" s="159">
        <f t="shared" si="23"/>
        <v>343.39074100999994</v>
      </c>
      <c r="Y80" s="57"/>
      <c r="Z80" s="57"/>
      <c r="AA80" s="167" t="s">
        <v>1180</v>
      </c>
      <c r="AB80" s="167">
        <v>8</v>
      </c>
      <c r="AC80" s="161">
        <f t="shared" si="22"/>
        <v>274.885943</v>
      </c>
      <c r="AD80" s="162">
        <f>PARÂMETROS!$H$3</f>
        <v>40</v>
      </c>
      <c r="AE80" s="163">
        <v>0.14236111111111099</v>
      </c>
      <c r="AF80" s="162">
        <f t="shared" si="24"/>
        <v>136.66666666666654</v>
      </c>
      <c r="AG80" s="168">
        <v>1</v>
      </c>
      <c r="AH80" s="165">
        <f t="shared" si="25"/>
        <v>136.66666666666654</v>
      </c>
      <c r="AI80" s="166">
        <f t="shared" si="26"/>
        <v>411.55260966666651</v>
      </c>
      <c r="AJ80" s="168">
        <v>1</v>
      </c>
      <c r="AK80" s="23">
        <f t="shared" si="27"/>
        <v>8</v>
      </c>
    </row>
    <row r="81" spans="1:37" ht="24" customHeight="1" thickBot="1" x14ac:dyDescent="0.35">
      <c r="A81" s="152" t="s">
        <v>1180</v>
      </c>
      <c r="B81" s="153">
        <v>10</v>
      </c>
      <c r="C81" s="153" t="s">
        <v>1181</v>
      </c>
      <c r="D81" s="153" t="s">
        <v>1123</v>
      </c>
      <c r="E81" s="154">
        <f t="shared" si="28"/>
        <v>10.087</v>
      </c>
      <c r="F81" s="155">
        <f>E81*PARÂMETROS!$E$6</f>
        <v>402.77391</v>
      </c>
      <c r="G81" s="156">
        <f t="shared" si="29"/>
        <v>0.748</v>
      </c>
      <c r="H81" s="155">
        <f>G81*PARÂMETROS!$E$8</f>
        <v>23.105720000000002</v>
      </c>
      <c r="I81" s="154">
        <f t="shared" si="30"/>
        <v>4.9549500000000002</v>
      </c>
      <c r="J81" s="155">
        <f>I81*PARÂMETROS!$E$10</f>
        <v>252.45470250000002</v>
      </c>
      <c r="K81" s="154">
        <f t="shared" si="31"/>
        <v>5.4503899999999996</v>
      </c>
      <c r="L81" s="155">
        <f>K81*PARÂMETROS!$E$11</f>
        <v>243.85044859999999</v>
      </c>
      <c r="M81" s="154">
        <f t="shared" si="32"/>
        <v>0.59455000000000002</v>
      </c>
      <c r="N81" s="157">
        <f>M81*PARÂMETROS!$E$12</f>
        <v>35.708673000000005</v>
      </c>
      <c r="O81" s="60">
        <v>11</v>
      </c>
      <c r="R81" s="158" t="s">
        <v>1180</v>
      </c>
      <c r="S81" s="158">
        <v>10</v>
      </c>
      <c r="T81" s="159">
        <f t="shared" si="33"/>
        <v>425.87963000000002</v>
      </c>
      <c r="V81" s="158" t="s">
        <v>1180</v>
      </c>
      <c r="W81" s="158">
        <v>10</v>
      </c>
      <c r="X81" s="159">
        <f t="shared" si="23"/>
        <v>532.01382410000008</v>
      </c>
      <c r="Y81" s="57"/>
      <c r="Z81" s="57"/>
      <c r="AA81" s="167" t="s">
        <v>1180</v>
      </c>
      <c r="AB81" s="167">
        <v>10</v>
      </c>
      <c r="AC81" s="161">
        <f t="shared" si="22"/>
        <v>425.87963000000002</v>
      </c>
      <c r="AD81" s="162">
        <f>PARÂMETROS!$H$3</f>
        <v>40</v>
      </c>
      <c r="AE81" s="163">
        <v>0.14236111111111099</v>
      </c>
      <c r="AF81" s="162">
        <f t="shared" si="24"/>
        <v>136.66666666666654</v>
      </c>
      <c r="AG81" s="168">
        <v>1</v>
      </c>
      <c r="AH81" s="165">
        <f t="shared" si="25"/>
        <v>136.66666666666654</v>
      </c>
      <c r="AI81" s="166">
        <f t="shared" si="26"/>
        <v>562.54629666666654</v>
      </c>
      <c r="AJ81" s="168">
        <v>1</v>
      </c>
      <c r="AK81" s="23">
        <f t="shared" si="27"/>
        <v>10</v>
      </c>
    </row>
    <row r="82" spans="1:37" ht="24" customHeight="1" thickBot="1" x14ac:dyDescent="0.35">
      <c r="A82" s="152" t="s">
        <v>1180</v>
      </c>
      <c r="B82" s="153">
        <v>12</v>
      </c>
      <c r="C82" s="153" t="s">
        <v>1181</v>
      </c>
      <c r="D82" s="153" t="s">
        <v>1123</v>
      </c>
      <c r="E82" s="154">
        <f t="shared" si="28"/>
        <v>14.488600000000002</v>
      </c>
      <c r="F82" s="155">
        <f>E82*PARÂMETROS!$E$6</f>
        <v>578.52979800000003</v>
      </c>
      <c r="G82" s="156">
        <f t="shared" si="29"/>
        <v>1.0744</v>
      </c>
      <c r="H82" s="155">
        <f>G82*PARÂMETROS!$E$8</f>
        <v>33.188216000000004</v>
      </c>
      <c r="I82" s="154">
        <f t="shared" si="30"/>
        <v>7.1171100000000003</v>
      </c>
      <c r="J82" s="155">
        <f>I82*PARÂMETROS!$E$10</f>
        <v>362.61675450000001</v>
      </c>
      <c r="K82" s="154">
        <f t="shared" si="31"/>
        <v>7.8287420000000001</v>
      </c>
      <c r="L82" s="155">
        <f>K82*PARÂMETROS!$E$11</f>
        <v>350.25791708000003</v>
      </c>
      <c r="M82" s="154">
        <f t="shared" si="32"/>
        <v>0.85399000000000003</v>
      </c>
      <c r="N82" s="157">
        <f>M82*PARÂMETROS!$E$12</f>
        <v>51.290639400000003</v>
      </c>
      <c r="O82" s="60">
        <v>15.8</v>
      </c>
      <c r="R82" s="158" t="s">
        <v>1180</v>
      </c>
      <c r="S82" s="158">
        <v>12</v>
      </c>
      <c r="T82" s="159">
        <f t="shared" si="33"/>
        <v>611.71801400000004</v>
      </c>
      <c r="V82" s="158" t="s">
        <v>1180</v>
      </c>
      <c r="W82" s="158">
        <v>12</v>
      </c>
      <c r="X82" s="159">
        <f t="shared" si="23"/>
        <v>764.16531097999996</v>
      </c>
      <c r="Y82" s="57"/>
      <c r="Z82" s="57"/>
      <c r="AA82" s="167" t="s">
        <v>1180</v>
      </c>
      <c r="AB82" s="167">
        <v>12</v>
      </c>
      <c r="AC82" s="161">
        <f t="shared" si="22"/>
        <v>611.71801400000004</v>
      </c>
      <c r="AD82" s="162">
        <f>PARÂMETROS!$H$3</f>
        <v>40</v>
      </c>
      <c r="AE82" s="163">
        <v>0.14583333333333301</v>
      </c>
      <c r="AF82" s="162">
        <f t="shared" si="24"/>
        <v>139.99999999999969</v>
      </c>
      <c r="AG82" s="168">
        <v>1</v>
      </c>
      <c r="AH82" s="165">
        <f t="shared" si="25"/>
        <v>139.99999999999969</v>
      </c>
      <c r="AI82" s="166">
        <f t="shared" si="26"/>
        <v>751.7180139999997</v>
      </c>
      <c r="AJ82" s="168">
        <v>1</v>
      </c>
      <c r="AK82" s="23">
        <f t="shared" si="27"/>
        <v>12</v>
      </c>
    </row>
    <row r="83" spans="1:37" ht="24" customHeight="1" thickBot="1" x14ac:dyDescent="0.35">
      <c r="A83" s="152" t="s">
        <v>1180</v>
      </c>
      <c r="B83" s="153">
        <v>14</v>
      </c>
      <c r="C83" s="153" t="s">
        <v>1181</v>
      </c>
      <c r="D83" s="153" t="s">
        <v>1123</v>
      </c>
      <c r="E83" s="154">
        <f t="shared" si="28"/>
        <v>17.1479</v>
      </c>
      <c r="F83" s="155">
        <f>E83*PARÂMETROS!$E$6</f>
        <v>684.71564699999999</v>
      </c>
      <c r="G83" s="156">
        <f t="shared" si="29"/>
        <v>1.2716000000000001</v>
      </c>
      <c r="H83" s="155">
        <f>G83*PARÂMETROS!$E$8</f>
        <v>39.279724000000002</v>
      </c>
      <c r="I83" s="154">
        <f t="shared" si="30"/>
        <v>8.4234150000000003</v>
      </c>
      <c r="J83" s="155">
        <f>I83*PARÂMETROS!$E$10</f>
        <v>429.17299425000004</v>
      </c>
      <c r="K83" s="154">
        <f t="shared" si="31"/>
        <v>9.265663</v>
      </c>
      <c r="L83" s="155">
        <f>K83*PARÂMETROS!$E$11</f>
        <v>414.54576262</v>
      </c>
      <c r="M83" s="154">
        <f t="shared" si="32"/>
        <v>1.0107349999999999</v>
      </c>
      <c r="N83" s="157">
        <f>M83*PARÂMETROS!$E$12</f>
        <v>60.704744099999999</v>
      </c>
      <c r="O83" s="60">
        <v>18.7</v>
      </c>
      <c r="R83" s="158" t="s">
        <v>1180</v>
      </c>
      <c r="S83" s="158">
        <v>14</v>
      </c>
      <c r="T83" s="159">
        <f t="shared" si="33"/>
        <v>723.99537099999998</v>
      </c>
      <c r="V83" s="158" t="s">
        <v>1180</v>
      </c>
      <c r="W83" s="158">
        <v>14</v>
      </c>
      <c r="X83" s="159">
        <f t="shared" si="23"/>
        <v>904.42350097000008</v>
      </c>
      <c r="Y83" s="57"/>
      <c r="Z83" s="57"/>
      <c r="AA83" s="167" t="s">
        <v>1180</v>
      </c>
      <c r="AB83" s="167">
        <v>14</v>
      </c>
      <c r="AC83" s="161">
        <f t="shared" si="22"/>
        <v>723.99537099999998</v>
      </c>
      <c r="AD83" s="162">
        <f>PARÂMETROS!$H$3</f>
        <v>40</v>
      </c>
      <c r="AE83" s="163">
        <v>0.21875</v>
      </c>
      <c r="AF83" s="162">
        <f t="shared" si="24"/>
        <v>210</v>
      </c>
      <c r="AG83" s="168">
        <v>1</v>
      </c>
      <c r="AH83" s="165">
        <f t="shared" si="25"/>
        <v>210</v>
      </c>
      <c r="AI83" s="166">
        <f t="shared" si="26"/>
        <v>933.99537099999998</v>
      </c>
      <c r="AJ83" s="168">
        <v>1</v>
      </c>
      <c r="AK83" s="23">
        <f t="shared" si="27"/>
        <v>14</v>
      </c>
    </row>
    <row r="84" spans="1:37" ht="24" customHeight="1" thickBot="1" x14ac:dyDescent="0.35">
      <c r="A84" s="152" t="s">
        <v>1180</v>
      </c>
      <c r="B84" s="153">
        <v>16</v>
      </c>
      <c r="C84" s="153" t="s">
        <v>1181</v>
      </c>
      <c r="D84" s="153" t="s">
        <v>1123</v>
      </c>
      <c r="E84" s="154">
        <f t="shared" si="28"/>
        <v>28.518700000000003</v>
      </c>
      <c r="F84" s="155">
        <f>E84*PARÂMETROS!$E$6</f>
        <v>1138.7516910000002</v>
      </c>
      <c r="G84" s="156">
        <f t="shared" si="29"/>
        <v>2.1148000000000002</v>
      </c>
      <c r="H84" s="155">
        <f>G84*PARÂMETROS!$E$8</f>
        <v>65.326172000000014</v>
      </c>
      <c r="I84" s="154">
        <f t="shared" si="30"/>
        <v>14.008995000000001</v>
      </c>
      <c r="J84" s="155">
        <f>I84*PARÂMETROS!$E$10</f>
        <v>713.75829525000006</v>
      </c>
      <c r="K84" s="154">
        <f t="shared" si="31"/>
        <v>15.409739</v>
      </c>
      <c r="L84" s="155">
        <f>K84*PARÂMETROS!$E$11</f>
        <v>689.43172286000004</v>
      </c>
      <c r="M84" s="154">
        <f t="shared" si="32"/>
        <v>1.6809550000000002</v>
      </c>
      <c r="N84" s="157">
        <f>M84*PARÂMETROS!$E$12</f>
        <v>100.95815730000001</v>
      </c>
      <c r="O84" s="60">
        <v>31.1</v>
      </c>
      <c r="R84" s="158" t="s">
        <v>1180</v>
      </c>
      <c r="S84" s="158">
        <v>16</v>
      </c>
      <c r="T84" s="159">
        <f t="shared" si="33"/>
        <v>1204.0778630000002</v>
      </c>
      <c r="V84" s="158" t="s">
        <v>1180</v>
      </c>
      <c r="W84" s="158">
        <v>16</v>
      </c>
      <c r="X84" s="159">
        <f t="shared" si="23"/>
        <v>1504.14817541</v>
      </c>
      <c r="Y84" s="57"/>
      <c r="Z84" s="57"/>
      <c r="AA84" s="167" t="s">
        <v>1180</v>
      </c>
      <c r="AB84" s="167">
        <v>16</v>
      </c>
      <c r="AC84" s="161">
        <f t="shared" si="22"/>
        <v>1204.0778630000002</v>
      </c>
      <c r="AD84" s="162">
        <f>PARÂMETROS!$H$3</f>
        <v>40</v>
      </c>
      <c r="AE84" s="163">
        <v>0.24652777777777801</v>
      </c>
      <c r="AF84" s="162">
        <f t="shared" si="24"/>
        <v>236.66666666666691</v>
      </c>
      <c r="AG84" s="168">
        <v>1</v>
      </c>
      <c r="AH84" s="165">
        <f t="shared" si="25"/>
        <v>236.66666666666691</v>
      </c>
      <c r="AI84" s="166">
        <f t="shared" si="26"/>
        <v>1440.7445296666672</v>
      </c>
      <c r="AJ84" s="168">
        <v>1</v>
      </c>
      <c r="AK84" s="23">
        <f t="shared" si="27"/>
        <v>16</v>
      </c>
    </row>
    <row r="85" spans="1:37" ht="24" customHeight="1" thickBot="1" x14ac:dyDescent="0.35">
      <c r="A85" s="152" t="s">
        <v>1180</v>
      </c>
      <c r="B85" s="153">
        <v>18</v>
      </c>
      <c r="C85" s="153" t="s">
        <v>1181</v>
      </c>
      <c r="D85" s="153" t="s">
        <v>1123</v>
      </c>
      <c r="E85" s="154">
        <f t="shared" si="28"/>
        <v>37.597000000000001</v>
      </c>
      <c r="F85" s="155">
        <f>E85*PARÂMETROS!$E$6</f>
        <v>1501.24821</v>
      </c>
      <c r="G85" s="156">
        <f t="shared" si="29"/>
        <v>2.7880000000000003</v>
      </c>
      <c r="H85" s="155">
        <f>G85*PARÂMETROS!$E$8</f>
        <v>86.121320000000011</v>
      </c>
      <c r="I85" s="154">
        <f t="shared" si="30"/>
        <v>18.468450000000001</v>
      </c>
      <c r="J85" s="155">
        <f>I85*PARÂMETROS!$E$10</f>
        <v>940.96752750000007</v>
      </c>
      <c r="K85" s="154">
        <f t="shared" si="31"/>
        <v>20.315089999999998</v>
      </c>
      <c r="L85" s="155">
        <f>K85*PARÂMETROS!$E$11</f>
        <v>908.89712659999998</v>
      </c>
      <c r="M85" s="154">
        <f t="shared" si="32"/>
        <v>2.2160500000000001</v>
      </c>
      <c r="N85" s="157">
        <f>M85*PARÂMETROS!$E$12</f>
        <v>133.09596300000001</v>
      </c>
      <c r="O85" s="60">
        <v>41</v>
      </c>
      <c r="R85" s="158" t="s">
        <v>1180</v>
      </c>
      <c r="S85" s="158">
        <v>18</v>
      </c>
      <c r="T85" s="159">
        <f t="shared" si="33"/>
        <v>1587.3695299999999</v>
      </c>
      <c r="V85" s="158" t="s">
        <v>1180</v>
      </c>
      <c r="W85" s="158">
        <v>18</v>
      </c>
      <c r="X85" s="159">
        <f t="shared" si="23"/>
        <v>1982.9606171</v>
      </c>
      <c r="Y85" s="57"/>
      <c r="Z85" s="57"/>
      <c r="AA85" s="167" t="s">
        <v>1180</v>
      </c>
      <c r="AB85" s="167">
        <v>18</v>
      </c>
      <c r="AC85" s="161">
        <f t="shared" si="22"/>
        <v>1587.3695299999999</v>
      </c>
      <c r="AD85" s="162">
        <f>PARÂMETROS!$H$3</f>
        <v>40</v>
      </c>
      <c r="AE85" s="163">
        <v>0.27083333333333298</v>
      </c>
      <c r="AF85" s="162">
        <f t="shared" si="24"/>
        <v>259.99999999999966</v>
      </c>
      <c r="AG85" s="168">
        <v>1</v>
      </c>
      <c r="AH85" s="165">
        <f t="shared" si="25"/>
        <v>259.99999999999966</v>
      </c>
      <c r="AI85" s="166">
        <f t="shared" si="26"/>
        <v>1847.3695299999995</v>
      </c>
      <c r="AJ85" s="168">
        <v>1</v>
      </c>
      <c r="AK85" s="23">
        <f t="shared" si="27"/>
        <v>18</v>
      </c>
    </row>
    <row r="86" spans="1:37" ht="24" customHeight="1" thickBot="1" x14ac:dyDescent="0.35">
      <c r="A86" s="152" t="s">
        <v>1180</v>
      </c>
      <c r="B86" s="153">
        <v>20</v>
      </c>
      <c r="C86" s="153" t="s">
        <v>1181</v>
      </c>
      <c r="D86" s="153" t="s">
        <v>1123</v>
      </c>
      <c r="E86" s="154">
        <f t="shared" si="28"/>
        <v>62.356000000000002</v>
      </c>
      <c r="F86" s="155">
        <f>E86*PARÂMETROS!$E$6</f>
        <v>2489.8750800000003</v>
      </c>
      <c r="G86" s="156">
        <f t="shared" si="29"/>
        <v>4.6240000000000006</v>
      </c>
      <c r="H86" s="155">
        <f>G86*PARÂMETROS!$E$8</f>
        <v>142.83536000000001</v>
      </c>
      <c r="I86" s="154">
        <f t="shared" si="30"/>
        <v>30.630600000000001</v>
      </c>
      <c r="J86" s="155">
        <f>I86*PARÂMETROS!$E$10</f>
        <v>1560.6290700000002</v>
      </c>
      <c r="K86" s="154">
        <f t="shared" si="31"/>
        <v>33.69332</v>
      </c>
      <c r="L86" s="155">
        <f>K86*PARÂMETROS!$E$11</f>
        <v>1507.4391368000001</v>
      </c>
      <c r="M86" s="154">
        <f t="shared" si="32"/>
        <v>3.6754000000000002</v>
      </c>
      <c r="N86" s="157">
        <f>M86*PARÂMETROS!$E$12</f>
        <v>220.74452400000001</v>
      </c>
      <c r="O86" s="60">
        <v>68</v>
      </c>
      <c r="R86" s="158" t="s">
        <v>1180</v>
      </c>
      <c r="S86" s="158">
        <v>20</v>
      </c>
      <c r="T86" s="159">
        <f t="shared" si="33"/>
        <v>2632.7104400000003</v>
      </c>
      <c r="V86" s="158" t="s">
        <v>1180</v>
      </c>
      <c r="W86" s="158">
        <v>20</v>
      </c>
      <c r="X86" s="159">
        <f t="shared" si="23"/>
        <v>3288.8127308000003</v>
      </c>
      <c r="Y86" s="57"/>
      <c r="Z86" s="57"/>
      <c r="AA86" s="167" t="s">
        <v>1180</v>
      </c>
      <c r="AB86" s="167">
        <v>20</v>
      </c>
      <c r="AC86" s="161">
        <f t="shared" si="22"/>
        <v>2632.7104400000003</v>
      </c>
      <c r="AD86" s="162">
        <f>PARÂMETROS!$H$3</f>
        <v>40</v>
      </c>
      <c r="AE86" s="163">
        <v>0.27083333333333298</v>
      </c>
      <c r="AF86" s="162">
        <f t="shared" si="24"/>
        <v>259.99999999999966</v>
      </c>
      <c r="AG86" s="168">
        <v>1</v>
      </c>
      <c r="AH86" s="165">
        <f t="shared" si="25"/>
        <v>259.99999999999966</v>
      </c>
      <c r="AI86" s="166">
        <f t="shared" si="26"/>
        <v>2892.7104399999998</v>
      </c>
      <c r="AJ86" s="168">
        <v>1</v>
      </c>
      <c r="AK86" s="23">
        <f t="shared" si="27"/>
        <v>20</v>
      </c>
    </row>
    <row r="87" spans="1:37" ht="24" customHeight="1" thickBot="1" x14ac:dyDescent="0.35">
      <c r="A87" s="152" t="s">
        <v>1180</v>
      </c>
      <c r="B87" s="153">
        <v>22</v>
      </c>
      <c r="C87" s="153" t="s">
        <v>1181</v>
      </c>
      <c r="D87" s="153" t="s">
        <v>1123</v>
      </c>
      <c r="E87" s="154">
        <f t="shared" si="28"/>
        <v>68.775000000000006</v>
      </c>
      <c r="F87" s="155">
        <f>E87*PARÂMETROS!$E$6</f>
        <v>2746.1857500000001</v>
      </c>
      <c r="G87" s="156">
        <f t="shared" si="29"/>
        <v>5.1000000000000005</v>
      </c>
      <c r="H87" s="155">
        <f>G87*PARÂMETROS!$E$8</f>
        <v>157.53900000000002</v>
      </c>
      <c r="I87" s="154">
        <f t="shared" si="30"/>
        <v>33.783749999999998</v>
      </c>
      <c r="J87" s="155">
        <f>I87*PARÂMETROS!$E$10</f>
        <v>1721.2820624999999</v>
      </c>
      <c r="K87" s="154">
        <f t="shared" si="31"/>
        <v>37.161749999999998</v>
      </c>
      <c r="L87" s="155">
        <f>K87*PARÂMETROS!$E$11</f>
        <v>1662.6166949999999</v>
      </c>
      <c r="M87" s="154">
        <f t="shared" si="32"/>
        <v>4.05375</v>
      </c>
      <c r="N87" s="157">
        <f>M87*PARÂMETROS!$E$12</f>
        <v>243.46822500000002</v>
      </c>
      <c r="O87" s="60">
        <v>75</v>
      </c>
      <c r="R87" s="158" t="s">
        <v>1180</v>
      </c>
      <c r="S87" s="158">
        <v>22</v>
      </c>
      <c r="T87" s="159">
        <f t="shared" si="33"/>
        <v>2903.7247500000003</v>
      </c>
      <c r="V87" s="158" t="s">
        <v>1180</v>
      </c>
      <c r="W87" s="158">
        <v>22</v>
      </c>
      <c r="X87" s="159">
        <f t="shared" si="23"/>
        <v>3627.3669824999997</v>
      </c>
      <c r="Y87" s="57"/>
      <c r="Z87" s="57"/>
      <c r="AA87" s="167" t="s">
        <v>1180</v>
      </c>
      <c r="AB87" s="167">
        <v>22</v>
      </c>
      <c r="AC87" s="161">
        <f t="shared" si="22"/>
        <v>2903.7247500000003</v>
      </c>
      <c r="AD87" s="162">
        <f>PARÂMETROS!$H$3</f>
        <v>40</v>
      </c>
      <c r="AE87" s="163">
        <v>0.27083333333333298</v>
      </c>
      <c r="AF87" s="162">
        <f t="shared" si="24"/>
        <v>259.99999999999966</v>
      </c>
      <c r="AG87" s="168">
        <v>1</v>
      </c>
      <c r="AH87" s="165">
        <f t="shared" si="25"/>
        <v>259.99999999999966</v>
      </c>
      <c r="AI87" s="166">
        <f t="shared" si="26"/>
        <v>3163.7247499999999</v>
      </c>
      <c r="AJ87" s="168">
        <v>1</v>
      </c>
      <c r="AK87" s="23">
        <f t="shared" si="27"/>
        <v>22</v>
      </c>
    </row>
    <row r="88" spans="1:37" ht="24" customHeight="1" thickBot="1" x14ac:dyDescent="0.35">
      <c r="A88" s="152" t="s">
        <v>1180</v>
      </c>
      <c r="B88" s="153">
        <v>24</v>
      </c>
      <c r="C88" s="153" t="s">
        <v>1181</v>
      </c>
      <c r="D88" s="153" t="s">
        <v>1123</v>
      </c>
      <c r="E88" s="154">
        <f t="shared" si="28"/>
        <v>99.036000000000001</v>
      </c>
      <c r="F88" s="155">
        <f>E88*PARÂMETROS!$E$6</f>
        <v>3954.5074800000002</v>
      </c>
      <c r="G88" s="156">
        <f t="shared" si="29"/>
        <v>7.3440000000000003</v>
      </c>
      <c r="H88" s="155">
        <f>G88*PARÂMETROS!$E$8</f>
        <v>226.85616000000002</v>
      </c>
      <c r="I88" s="154">
        <f t="shared" si="30"/>
        <v>48.648600000000002</v>
      </c>
      <c r="J88" s="155">
        <f>I88*PARÂMETROS!$E$10</f>
        <v>2478.6461700000004</v>
      </c>
      <c r="K88" s="154">
        <f t="shared" si="31"/>
        <v>53.512920000000001</v>
      </c>
      <c r="L88" s="155">
        <f>K88*PARÂMETROS!$E$11</f>
        <v>2394.1680408000002</v>
      </c>
      <c r="M88" s="154">
        <f t="shared" si="32"/>
        <v>5.8373999999999997</v>
      </c>
      <c r="N88" s="157">
        <f>M88*PARÂMETROS!$E$12</f>
        <v>350.594244</v>
      </c>
      <c r="O88" s="60">
        <v>108</v>
      </c>
      <c r="R88" s="158" t="s">
        <v>1180</v>
      </c>
      <c r="S88" s="158">
        <v>24</v>
      </c>
      <c r="T88" s="159">
        <f t="shared" si="33"/>
        <v>4181.3636400000005</v>
      </c>
      <c r="V88" s="158" t="s">
        <v>1180</v>
      </c>
      <c r="W88" s="158">
        <v>24</v>
      </c>
      <c r="X88" s="159">
        <f t="shared" si="23"/>
        <v>5223.408454800001</v>
      </c>
      <c r="Y88" s="57"/>
      <c r="Z88" s="57"/>
      <c r="AA88" s="167" t="s">
        <v>1180</v>
      </c>
      <c r="AB88" s="167">
        <v>24</v>
      </c>
      <c r="AC88" s="161">
        <f t="shared" si="22"/>
        <v>4181.3636400000005</v>
      </c>
      <c r="AD88" s="162">
        <f>PARÂMETROS!$H$3</f>
        <v>40</v>
      </c>
      <c r="AE88" s="163">
        <v>0.28472222222222199</v>
      </c>
      <c r="AF88" s="162">
        <f t="shared" si="24"/>
        <v>273.33333333333309</v>
      </c>
      <c r="AG88" s="168">
        <v>1</v>
      </c>
      <c r="AH88" s="165">
        <f t="shared" si="25"/>
        <v>273.33333333333309</v>
      </c>
      <c r="AI88" s="166">
        <f t="shared" si="26"/>
        <v>4454.6969733333335</v>
      </c>
      <c r="AJ88" s="168">
        <v>1</v>
      </c>
      <c r="AK88" s="23">
        <f t="shared" si="27"/>
        <v>24</v>
      </c>
    </row>
    <row r="89" spans="1:37" ht="24" customHeight="1" thickBot="1" x14ac:dyDescent="0.35">
      <c r="A89" s="152" t="s">
        <v>1180</v>
      </c>
      <c r="B89" s="153">
        <v>26</v>
      </c>
      <c r="C89" s="153" t="s">
        <v>1181</v>
      </c>
      <c r="D89" s="153" t="s">
        <v>1123</v>
      </c>
      <c r="E89" s="154">
        <f t="shared" si="28"/>
        <v>120.12700000000001</v>
      </c>
      <c r="F89" s="155">
        <f>E89*PARÂMETROS!$E$6</f>
        <v>4796.6711100000002</v>
      </c>
      <c r="G89" s="156">
        <f t="shared" si="29"/>
        <v>8.9080000000000013</v>
      </c>
      <c r="H89" s="155">
        <f>G89*PARÂMETROS!$E$8</f>
        <v>275.16812000000004</v>
      </c>
      <c r="I89" s="154">
        <f t="shared" si="30"/>
        <v>59.008949999999999</v>
      </c>
      <c r="J89" s="155">
        <f>I89*PARÂMETROS!$E$10</f>
        <v>3006.5060025000002</v>
      </c>
      <c r="K89" s="154">
        <f t="shared" si="31"/>
        <v>64.909189999999995</v>
      </c>
      <c r="L89" s="155">
        <f>K89*PARÂMETROS!$E$11</f>
        <v>2904.0371605999999</v>
      </c>
      <c r="M89" s="154">
        <f t="shared" si="32"/>
        <v>7.0805499999999997</v>
      </c>
      <c r="N89" s="157">
        <f>M89*PARÂMETROS!$E$12</f>
        <v>425.25783300000001</v>
      </c>
      <c r="O89" s="60">
        <v>131</v>
      </c>
      <c r="R89" s="158" t="s">
        <v>1180</v>
      </c>
      <c r="S89" s="158">
        <v>26</v>
      </c>
      <c r="T89" s="159">
        <f t="shared" si="33"/>
        <v>5071.8392300000005</v>
      </c>
      <c r="V89" s="158" t="s">
        <v>1180</v>
      </c>
      <c r="W89" s="158">
        <v>26</v>
      </c>
      <c r="X89" s="159">
        <f t="shared" si="23"/>
        <v>6335.8009961000007</v>
      </c>
      <c r="Y89" s="57"/>
      <c r="Z89" s="57"/>
      <c r="AA89" s="167" t="s">
        <v>1180</v>
      </c>
      <c r="AB89" s="167">
        <v>26</v>
      </c>
      <c r="AC89" s="161">
        <f t="shared" si="22"/>
        <v>5071.8392300000005</v>
      </c>
      <c r="AD89" s="162">
        <f>PARÂMETROS!$H$3</f>
        <v>40</v>
      </c>
      <c r="AE89" s="163">
        <v>0.28472222222222199</v>
      </c>
      <c r="AF89" s="162">
        <f t="shared" si="24"/>
        <v>273.33333333333309</v>
      </c>
      <c r="AG89" s="168">
        <v>1</v>
      </c>
      <c r="AH89" s="165">
        <f t="shared" si="25"/>
        <v>273.33333333333309</v>
      </c>
      <c r="AI89" s="166">
        <f t="shared" si="26"/>
        <v>5345.1725633333335</v>
      </c>
      <c r="AJ89" s="168">
        <v>1</v>
      </c>
      <c r="AK89" s="23">
        <f t="shared" si="27"/>
        <v>26</v>
      </c>
    </row>
    <row r="90" spans="1:37" ht="24" customHeight="1" thickBot="1" x14ac:dyDescent="0.35">
      <c r="A90" s="152" t="s">
        <v>1182</v>
      </c>
      <c r="B90" s="153">
        <v>2</v>
      </c>
      <c r="C90" s="153" t="s">
        <v>1181</v>
      </c>
      <c r="D90" s="153" t="s">
        <v>1123</v>
      </c>
      <c r="E90" s="154">
        <v>0.2</v>
      </c>
      <c r="F90" s="155">
        <f>E90*PARÂMETROS!$E$6</f>
        <v>7.9860000000000007</v>
      </c>
      <c r="G90" s="156">
        <f>E90*0.075</f>
        <v>1.4999999999999999E-2</v>
      </c>
      <c r="H90" s="155">
        <f>G90*PARÂMETROS!$E$8</f>
        <v>0.46334999999999998</v>
      </c>
      <c r="I90" s="156"/>
      <c r="J90" s="155"/>
      <c r="K90" s="154"/>
      <c r="L90" s="155"/>
      <c r="M90" s="154"/>
      <c r="N90" s="157"/>
      <c r="R90" s="158" t="s">
        <v>1182</v>
      </c>
      <c r="S90" s="158">
        <v>2</v>
      </c>
      <c r="T90" s="159">
        <f t="shared" si="33"/>
        <v>8.4493500000000008</v>
      </c>
      <c r="V90" s="158"/>
      <c r="W90" s="158"/>
      <c r="X90" s="158"/>
      <c r="Y90" s="56"/>
      <c r="Z90" s="56"/>
      <c r="AA90" s="167" t="s">
        <v>1182</v>
      </c>
      <c r="AB90" s="167">
        <v>2</v>
      </c>
      <c r="AC90" s="161">
        <f t="shared" si="22"/>
        <v>8.4493500000000008</v>
      </c>
      <c r="AD90" s="162">
        <f>PARÂMETROS!$H$3</f>
        <v>40</v>
      </c>
      <c r="AE90" s="163">
        <v>0.14236111111111099</v>
      </c>
      <c r="AF90" s="162">
        <f t="shared" si="24"/>
        <v>136.66666666666654</v>
      </c>
      <c r="AG90" s="168">
        <v>1</v>
      </c>
      <c r="AH90" s="165">
        <f t="shared" si="25"/>
        <v>136.66666666666654</v>
      </c>
      <c r="AI90" s="166">
        <f t="shared" si="26"/>
        <v>145.11601666666655</v>
      </c>
      <c r="AJ90" s="168">
        <v>1</v>
      </c>
      <c r="AK90" s="23">
        <f t="shared" si="27"/>
        <v>2</v>
      </c>
    </row>
    <row r="91" spans="1:37" ht="24" customHeight="1" thickBot="1" x14ac:dyDescent="0.35">
      <c r="A91" s="152" t="s">
        <v>1182</v>
      </c>
      <c r="B91" s="153">
        <v>3</v>
      </c>
      <c r="C91" s="153" t="s">
        <v>1181</v>
      </c>
      <c r="D91" s="153" t="s">
        <v>1123</v>
      </c>
      <c r="E91" s="154">
        <v>0.43</v>
      </c>
      <c r="F91" s="155">
        <f>E91*PARÂMETROS!$E$6</f>
        <v>17.169899999999998</v>
      </c>
      <c r="G91" s="156">
        <f t="shared" ref="G91:G141" si="34">E91*0.075</f>
        <v>3.2250000000000001E-2</v>
      </c>
      <c r="H91" s="155">
        <f>G91*PARÂMETROS!$E$8</f>
        <v>0.99620249999999999</v>
      </c>
      <c r="I91" s="156"/>
      <c r="J91" s="155"/>
      <c r="K91" s="154"/>
      <c r="L91" s="155"/>
      <c r="M91" s="154"/>
      <c r="N91" s="157"/>
      <c r="R91" s="158" t="s">
        <v>1182</v>
      </c>
      <c r="S91" s="158">
        <v>3</v>
      </c>
      <c r="T91" s="159">
        <f t="shared" si="33"/>
        <v>18.166102499999997</v>
      </c>
      <c r="V91" s="158"/>
      <c r="W91" s="158"/>
      <c r="X91" s="158"/>
      <c r="Y91" s="56"/>
      <c r="Z91" s="56"/>
      <c r="AA91" s="167" t="s">
        <v>1182</v>
      </c>
      <c r="AB91" s="167">
        <v>3</v>
      </c>
      <c r="AC91" s="161">
        <f t="shared" si="22"/>
        <v>18.166102499999997</v>
      </c>
      <c r="AD91" s="162">
        <f>PARÂMETROS!$H$3</f>
        <v>40</v>
      </c>
      <c r="AE91" s="163">
        <v>0.14236111111111099</v>
      </c>
      <c r="AF91" s="162">
        <f t="shared" si="24"/>
        <v>136.66666666666654</v>
      </c>
      <c r="AG91" s="168">
        <v>1</v>
      </c>
      <c r="AH91" s="165">
        <f t="shared" si="25"/>
        <v>136.66666666666654</v>
      </c>
      <c r="AI91" s="166">
        <f t="shared" si="26"/>
        <v>154.83276916666654</v>
      </c>
      <c r="AJ91" s="168">
        <v>1</v>
      </c>
      <c r="AK91" s="23">
        <f t="shared" si="27"/>
        <v>3</v>
      </c>
    </row>
    <row r="92" spans="1:37" ht="24" customHeight="1" thickBot="1" x14ac:dyDescent="0.35">
      <c r="A92" s="152" t="s">
        <v>1182</v>
      </c>
      <c r="B92" s="153">
        <v>4</v>
      </c>
      <c r="C92" s="153" t="s">
        <v>1181</v>
      </c>
      <c r="D92" s="153" t="s">
        <v>1123</v>
      </c>
      <c r="E92" s="154">
        <v>0.9</v>
      </c>
      <c r="F92" s="155">
        <f>E92*PARÂMETROS!$E$6</f>
        <v>35.936999999999998</v>
      </c>
      <c r="G92" s="156">
        <f t="shared" si="34"/>
        <v>6.7500000000000004E-2</v>
      </c>
      <c r="H92" s="155">
        <f>G92*PARÂMETROS!$E$8</f>
        <v>2.0850750000000002</v>
      </c>
      <c r="I92" s="156"/>
      <c r="J92" s="155"/>
      <c r="K92" s="154"/>
      <c r="L92" s="155"/>
      <c r="M92" s="154"/>
      <c r="N92" s="157"/>
      <c r="R92" s="158" t="s">
        <v>1182</v>
      </c>
      <c r="S92" s="158">
        <v>4</v>
      </c>
      <c r="T92" s="159">
        <f t="shared" si="33"/>
        <v>38.022075000000001</v>
      </c>
      <c r="V92" s="158"/>
      <c r="W92" s="158"/>
      <c r="X92" s="158"/>
      <c r="Y92" s="56"/>
      <c r="Z92" s="56"/>
      <c r="AA92" s="167" t="s">
        <v>1182</v>
      </c>
      <c r="AB92" s="167">
        <v>4</v>
      </c>
      <c r="AC92" s="161">
        <f t="shared" si="22"/>
        <v>38.022075000000001</v>
      </c>
      <c r="AD92" s="162">
        <f>PARÂMETROS!$H$3</f>
        <v>40</v>
      </c>
      <c r="AE92" s="163">
        <v>0.14236111111111099</v>
      </c>
      <c r="AF92" s="162">
        <f t="shared" si="24"/>
        <v>136.66666666666654</v>
      </c>
      <c r="AG92" s="168">
        <v>1</v>
      </c>
      <c r="AH92" s="165">
        <f t="shared" si="25"/>
        <v>136.66666666666654</v>
      </c>
      <c r="AI92" s="166">
        <f t="shared" si="26"/>
        <v>174.68874166666654</v>
      </c>
      <c r="AJ92" s="168">
        <v>1</v>
      </c>
      <c r="AK92" s="23">
        <f t="shared" si="27"/>
        <v>4</v>
      </c>
    </row>
    <row r="93" spans="1:37" ht="24" customHeight="1" thickBot="1" x14ac:dyDescent="0.35">
      <c r="A93" s="152" t="s">
        <v>1182</v>
      </c>
      <c r="B93" s="153" t="s">
        <v>1183</v>
      </c>
      <c r="C93" s="153" t="s">
        <v>1181</v>
      </c>
      <c r="D93" s="153" t="s">
        <v>1123</v>
      </c>
      <c r="E93" s="154">
        <v>0.91</v>
      </c>
      <c r="F93" s="155">
        <f>E93*PARÂMETROS!$E$6</f>
        <v>36.336300000000001</v>
      </c>
      <c r="G93" s="156">
        <f t="shared" si="34"/>
        <v>6.8250000000000005E-2</v>
      </c>
      <c r="H93" s="155">
        <f>G93*PARÂMETROS!$E$8</f>
        <v>2.1082425000000002</v>
      </c>
      <c r="I93" s="156"/>
      <c r="J93" s="155"/>
      <c r="K93" s="154"/>
      <c r="L93" s="155"/>
      <c r="M93" s="154"/>
      <c r="N93" s="157"/>
      <c r="R93" s="158" t="s">
        <v>1182</v>
      </c>
      <c r="S93" s="158" t="s">
        <v>1183</v>
      </c>
      <c r="T93" s="159">
        <f t="shared" si="33"/>
        <v>38.444542500000004</v>
      </c>
      <c r="V93" s="158"/>
      <c r="W93" s="158"/>
      <c r="X93" s="158"/>
      <c r="Y93" s="56"/>
      <c r="Z93" s="56"/>
      <c r="AA93" s="167" t="s">
        <v>1182</v>
      </c>
      <c r="AB93" s="167" t="s">
        <v>1183</v>
      </c>
      <c r="AC93" s="161">
        <f t="shared" si="22"/>
        <v>38.444542500000004</v>
      </c>
      <c r="AD93" s="162">
        <f>PARÂMETROS!$H$3</f>
        <v>40</v>
      </c>
      <c r="AE93" s="163">
        <v>0.14236111111111099</v>
      </c>
      <c r="AF93" s="162">
        <f t="shared" si="24"/>
        <v>136.66666666666654</v>
      </c>
      <c r="AG93" s="168">
        <v>1</v>
      </c>
      <c r="AH93" s="165">
        <f t="shared" si="25"/>
        <v>136.66666666666654</v>
      </c>
      <c r="AI93" s="166">
        <f t="shared" si="26"/>
        <v>175.11120916666655</v>
      </c>
      <c r="AJ93" s="168">
        <v>1</v>
      </c>
      <c r="AK93" s="23" t="str">
        <f t="shared" si="27"/>
        <v/>
      </c>
    </row>
    <row r="94" spans="1:37" ht="24" customHeight="1" thickBot="1" x14ac:dyDescent="0.35">
      <c r="A94" s="152" t="s">
        <v>1182</v>
      </c>
      <c r="B94" s="153">
        <v>5.74</v>
      </c>
      <c r="C94" s="153" t="s">
        <v>1181</v>
      </c>
      <c r="D94" s="153" t="s">
        <v>1123</v>
      </c>
      <c r="E94" s="154">
        <v>2.2000000000000002</v>
      </c>
      <c r="F94" s="155">
        <f>E94*PARÂMETROS!$E$6</f>
        <v>87.846000000000004</v>
      </c>
      <c r="G94" s="156">
        <f t="shared" si="34"/>
        <v>0.16500000000000001</v>
      </c>
      <c r="H94" s="155">
        <f>G94*PARÂMETROS!$E$8</f>
        <v>5.0968500000000008</v>
      </c>
      <c r="I94" s="156"/>
      <c r="J94" s="155"/>
      <c r="K94" s="154"/>
      <c r="L94" s="155"/>
      <c r="M94" s="154"/>
      <c r="N94" s="157"/>
      <c r="R94" s="158" t="s">
        <v>1182</v>
      </c>
      <c r="S94" s="158">
        <v>5.74</v>
      </c>
      <c r="T94" s="159">
        <f t="shared" si="33"/>
        <v>92.942850000000007</v>
      </c>
      <c r="V94" s="158"/>
      <c r="W94" s="158"/>
      <c r="X94" s="158"/>
      <c r="Y94" s="56"/>
      <c r="Z94" s="56"/>
      <c r="AA94" s="167" t="s">
        <v>1182</v>
      </c>
      <c r="AB94" s="169">
        <v>5.74</v>
      </c>
      <c r="AC94" s="161">
        <f t="shared" si="22"/>
        <v>92.942850000000007</v>
      </c>
      <c r="AD94" s="162">
        <f>PARÂMETROS!$H$3</f>
        <v>40</v>
      </c>
      <c r="AE94" s="163">
        <v>0.14236111111111099</v>
      </c>
      <c r="AF94" s="162">
        <f t="shared" si="24"/>
        <v>136.66666666666654</v>
      </c>
      <c r="AG94" s="168">
        <v>1</v>
      </c>
      <c r="AH94" s="165">
        <f t="shared" si="25"/>
        <v>136.66666666666654</v>
      </c>
      <c r="AI94" s="166">
        <f t="shared" si="26"/>
        <v>229.60951666666654</v>
      </c>
      <c r="AJ94" s="168">
        <v>1</v>
      </c>
      <c r="AK94" s="23">
        <f t="shared" si="27"/>
        <v>5.74</v>
      </c>
    </row>
    <row r="95" spans="1:37" ht="24" customHeight="1" thickBot="1" x14ac:dyDescent="0.35">
      <c r="A95" s="152" t="s">
        <v>1182</v>
      </c>
      <c r="B95" s="153">
        <v>8</v>
      </c>
      <c r="C95" s="153" t="s">
        <v>1181</v>
      </c>
      <c r="D95" s="153" t="s">
        <v>1123</v>
      </c>
      <c r="E95" s="154">
        <v>8.1</v>
      </c>
      <c r="F95" s="155">
        <f>E95*PARÂMETROS!$E$6</f>
        <v>323.43299999999999</v>
      </c>
      <c r="G95" s="156">
        <f t="shared" si="34"/>
        <v>0.60749999999999993</v>
      </c>
      <c r="H95" s="155">
        <f>G95*PARÂMETROS!$E$8</f>
        <v>18.765674999999998</v>
      </c>
      <c r="I95" s="156"/>
      <c r="J95" s="155"/>
      <c r="K95" s="154"/>
      <c r="L95" s="155"/>
      <c r="M95" s="154"/>
      <c r="N95" s="157"/>
      <c r="R95" s="158" t="s">
        <v>1182</v>
      </c>
      <c r="S95" s="158">
        <v>8</v>
      </c>
      <c r="T95" s="159">
        <f t="shared" si="33"/>
        <v>342.19867499999998</v>
      </c>
      <c r="V95" s="158"/>
      <c r="W95" s="158"/>
      <c r="X95" s="158"/>
      <c r="Y95" s="56"/>
      <c r="Z95" s="56"/>
      <c r="AA95" s="167" t="s">
        <v>1182</v>
      </c>
      <c r="AB95" s="167">
        <v>8</v>
      </c>
      <c r="AC95" s="161">
        <f t="shared" si="22"/>
        <v>342.19867499999998</v>
      </c>
      <c r="AD95" s="162">
        <f>PARÂMETROS!$H$3</f>
        <v>40</v>
      </c>
      <c r="AE95" s="163">
        <v>0.14236111111111099</v>
      </c>
      <c r="AF95" s="162">
        <f t="shared" si="24"/>
        <v>136.66666666666654</v>
      </c>
      <c r="AG95" s="168">
        <v>1</v>
      </c>
      <c r="AH95" s="165">
        <f t="shared" si="25"/>
        <v>136.66666666666654</v>
      </c>
      <c r="AI95" s="166">
        <f t="shared" si="26"/>
        <v>478.8653416666665</v>
      </c>
      <c r="AJ95" s="168">
        <v>1</v>
      </c>
      <c r="AK95" s="23">
        <f t="shared" si="27"/>
        <v>8</v>
      </c>
    </row>
    <row r="96" spans="1:37" ht="24" customHeight="1" thickBot="1" x14ac:dyDescent="0.35">
      <c r="A96" s="152" t="s">
        <v>1182</v>
      </c>
      <c r="B96" s="153">
        <v>11</v>
      </c>
      <c r="C96" s="153" t="s">
        <v>1181</v>
      </c>
      <c r="D96" s="153" t="s">
        <v>1123</v>
      </c>
      <c r="E96" s="154">
        <v>11.6</v>
      </c>
      <c r="F96" s="155">
        <f>E96*PARÂMETROS!$E$6</f>
        <v>463.18799999999999</v>
      </c>
      <c r="G96" s="156">
        <f t="shared" si="34"/>
        <v>0.87</v>
      </c>
      <c r="H96" s="155">
        <f>G96*PARÂMETROS!$E$8</f>
        <v>26.874300000000002</v>
      </c>
      <c r="I96" s="156"/>
      <c r="J96" s="155"/>
      <c r="K96" s="154"/>
      <c r="L96" s="155"/>
      <c r="M96" s="156"/>
      <c r="N96" s="157"/>
      <c r="R96" s="158" t="s">
        <v>1182</v>
      </c>
      <c r="S96" s="158">
        <v>11</v>
      </c>
      <c r="T96" s="159">
        <f t="shared" si="33"/>
        <v>490.06229999999999</v>
      </c>
      <c r="V96" s="158"/>
      <c r="W96" s="158"/>
      <c r="X96" s="158"/>
      <c r="Y96" s="56"/>
      <c r="Z96" s="56"/>
      <c r="AA96" s="167" t="s">
        <v>1182</v>
      </c>
      <c r="AB96" s="167">
        <v>11</v>
      </c>
      <c r="AC96" s="161">
        <f t="shared" si="22"/>
        <v>490.06229999999999</v>
      </c>
      <c r="AD96" s="162">
        <f>PARÂMETROS!$H$3</f>
        <v>40</v>
      </c>
      <c r="AE96" s="163">
        <v>0.14236111111111099</v>
      </c>
      <c r="AF96" s="162">
        <f t="shared" si="24"/>
        <v>136.66666666666654</v>
      </c>
      <c r="AG96" s="168">
        <v>1</v>
      </c>
      <c r="AH96" s="165">
        <f t="shared" si="25"/>
        <v>136.66666666666654</v>
      </c>
      <c r="AI96" s="166">
        <f t="shared" si="26"/>
        <v>626.72896666666657</v>
      </c>
      <c r="AJ96" s="168">
        <v>1</v>
      </c>
      <c r="AK96" s="23">
        <f t="shared" si="27"/>
        <v>11</v>
      </c>
    </row>
    <row r="97" spans="1:37" ht="24" customHeight="1" thickBot="1" x14ac:dyDescent="0.35">
      <c r="A97" s="152" t="s">
        <v>1184</v>
      </c>
      <c r="B97" s="153">
        <v>3</v>
      </c>
      <c r="C97" s="153" t="s">
        <v>1181</v>
      </c>
      <c r="D97" s="153" t="s">
        <v>1123</v>
      </c>
      <c r="E97" s="154">
        <v>0.55000000000000004</v>
      </c>
      <c r="F97" s="155">
        <f>E97*PARÂMETROS!$E$6</f>
        <v>21.961500000000001</v>
      </c>
      <c r="G97" s="156">
        <f t="shared" si="34"/>
        <v>4.1250000000000002E-2</v>
      </c>
      <c r="H97" s="155">
        <f>G97*PARÂMETROS!$E$8</f>
        <v>1.2742125000000002</v>
      </c>
      <c r="I97" s="156"/>
      <c r="J97" s="155"/>
      <c r="K97" s="154"/>
      <c r="L97" s="155"/>
      <c r="M97" s="156"/>
      <c r="N97" s="157"/>
      <c r="R97" s="158" t="s">
        <v>1184</v>
      </c>
      <c r="S97" s="158">
        <v>3</v>
      </c>
      <c r="T97" s="159">
        <f t="shared" si="33"/>
        <v>23.235712500000002</v>
      </c>
      <c r="V97" s="158"/>
      <c r="W97" s="158"/>
      <c r="X97" s="158"/>
      <c r="Y97" s="56"/>
      <c r="Z97" s="56"/>
      <c r="AA97" s="167" t="s">
        <v>1184</v>
      </c>
      <c r="AB97" s="167">
        <v>3</v>
      </c>
      <c r="AC97" s="161">
        <f t="shared" si="22"/>
        <v>23.235712500000002</v>
      </c>
      <c r="AD97" s="162">
        <f>PARÂMETROS!$H$3</f>
        <v>40</v>
      </c>
      <c r="AE97" s="163">
        <v>0.14236111111111099</v>
      </c>
      <c r="AF97" s="162">
        <f t="shared" si="24"/>
        <v>136.66666666666654</v>
      </c>
      <c r="AG97" s="168">
        <v>1</v>
      </c>
      <c r="AH97" s="165">
        <f t="shared" si="25"/>
        <v>136.66666666666654</v>
      </c>
      <c r="AI97" s="166">
        <f t="shared" si="26"/>
        <v>159.90237916666655</v>
      </c>
      <c r="AJ97" s="168">
        <v>1</v>
      </c>
      <c r="AK97" s="23">
        <f t="shared" si="27"/>
        <v>3</v>
      </c>
    </row>
    <row r="98" spans="1:37" ht="24" customHeight="1" thickBot="1" x14ac:dyDescent="0.35">
      <c r="A98" s="152" t="s">
        <v>1184</v>
      </c>
      <c r="B98" s="153" t="s">
        <v>1185</v>
      </c>
      <c r="C98" s="153" t="s">
        <v>1181</v>
      </c>
      <c r="D98" s="153" t="s">
        <v>1123</v>
      </c>
      <c r="E98" s="154">
        <v>0.5</v>
      </c>
      <c r="F98" s="155">
        <f>E98*PARÂMETROS!$E$6</f>
        <v>19.965</v>
      </c>
      <c r="G98" s="156">
        <f t="shared" si="34"/>
        <v>3.7499999999999999E-2</v>
      </c>
      <c r="H98" s="155">
        <f>G98*PARÂMETROS!$E$8</f>
        <v>1.1583749999999999</v>
      </c>
      <c r="I98" s="156"/>
      <c r="J98" s="155"/>
      <c r="K98" s="154"/>
      <c r="L98" s="155"/>
      <c r="M98" s="156"/>
      <c r="N98" s="157"/>
      <c r="R98" s="158" t="s">
        <v>1184</v>
      </c>
      <c r="S98" s="158" t="s">
        <v>1185</v>
      </c>
      <c r="T98" s="159">
        <f t="shared" si="33"/>
        <v>21.123374999999999</v>
      </c>
      <c r="V98" s="158"/>
      <c r="W98" s="158"/>
      <c r="X98" s="158"/>
      <c r="Y98" s="56"/>
      <c r="Z98" s="56"/>
      <c r="AA98" s="167" t="s">
        <v>1184</v>
      </c>
      <c r="AB98" s="167" t="s">
        <v>1185</v>
      </c>
      <c r="AC98" s="161">
        <f t="shared" si="22"/>
        <v>21.123374999999999</v>
      </c>
      <c r="AD98" s="162">
        <f>PARÂMETROS!$H$3</f>
        <v>40</v>
      </c>
      <c r="AE98" s="163">
        <v>0.14236111111111099</v>
      </c>
      <c r="AF98" s="162">
        <f t="shared" si="24"/>
        <v>136.66666666666654</v>
      </c>
      <c r="AG98" s="168">
        <v>1</v>
      </c>
      <c r="AH98" s="165">
        <f t="shared" si="25"/>
        <v>136.66666666666654</v>
      </c>
      <c r="AI98" s="166">
        <f t="shared" si="26"/>
        <v>157.79004166666655</v>
      </c>
      <c r="AJ98" s="168">
        <v>1</v>
      </c>
      <c r="AK98" s="23" t="str">
        <f t="shared" si="27"/>
        <v/>
      </c>
    </row>
    <row r="99" spans="1:37" ht="24" customHeight="1" thickBot="1" x14ac:dyDescent="0.35">
      <c r="A99" s="152" t="s">
        <v>1184</v>
      </c>
      <c r="B99" s="153">
        <v>4.17</v>
      </c>
      <c r="C99" s="153" t="s">
        <v>1181</v>
      </c>
      <c r="D99" s="153" t="s">
        <v>1123</v>
      </c>
      <c r="E99" s="154">
        <v>0.70599999999999996</v>
      </c>
      <c r="F99" s="155">
        <f>E99*PARÂMETROS!$E$6</f>
        <v>28.190579999999997</v>
      </c>
      <c r="G99" s="156">
        <f t="shared" si="34"/>
        <v>5.2949999999999997E-2</v>
      </c>
      <c r="H99" s="155">
        <f>G99*PARÂMETROS!$E$8</f>
        <v>1.6356255</v>
      </c>
      <c r="I99" s="156"/>
      <c r="J99" s="155"/>
      <c r="K99" s="154"/>
      <c r="L99" s="155"/>
      <c r="M99" s="156"/>
      <c r="N99" s="157"/>
      <c r="R99" s="158" t="s">
        <v>1184</v>
      </c>
      <c r="S99" s="158">
        <v>4.17</v>
      </c>
      <c r="T99" s="159">
        <f t="shared" si="33"/>
        <v>29.826205499999997</v>
      </c>
      <c r="V99" s="158"/>
      <c r="W99" s="158"/>
      <c r="X99" s="158"/>
      <c r="Y99" s="56"/>
      <c r="Z99" s="56"/>
      <c r="AA99" s="167" t="s">
        <v>1184</v>
      </c>
      <c r="AB99" s="169">
        <v>4.17</v>
      </c>
      <c r="AC99" s="161">
        <f t="shared" si="22"/>
        <v>29.826205499999997</v>
      </c>
      <c r="AD99" s="162">
        <f>PARÂMETROS!$H$3</f>
        <v>40</v>
      </c>
      <c r="AE99" s="163">
        <v>0.14236111111111099</v>
      </c>
      <c r="AF99" s="162">
        <f t="shared" si="24"/>
        <v>136.66666666666654</v>
      </c>
      <c r="AG99" s="168">
        <v>1</v>
      </c>
      <c r="AH99" s="165">
        <f t="shared" si="25"/>
        <v>136.66666666666654</v>
      </c>
      <c r="AI99" s="166">
        <f t="shared" si="26"/>
        <v>166.49287216666653</v>
      </c>
      <c r="AJ99" s="168">
        <v>1</v>
      </c>
      <c r="AK99" s="23">
        <f t="shared" si="27"/>
        <v>4.17</v>
      </c>
    </row>
    <row r="100" spans="1:37" ht="24" customHeight="1" thickBot="1" x14ac:dyDescent="0.35">
      <c r="A100" s="152" t="s">
        <v>1184</v>
      </c>
      <c r="B100" s="153">
        <v>4.25</v>
      </c>
      <c r="C100" s="153" t="s">
        <v>1181</v>
      </c>
      <c r="D100" s="153" t="s">
        <v>1123</v>
      </c>
      <c r="E100" s="154">
        <v>1.25</v>
      </c>
      <c r="F100" s="155">
        <f>E100*PARÂMETROS!$E$6</f>
        <v>49.912500000000001</v>
      </c>
      <c r="G100" s="156">
        <f t="shared" si="34"/>
        <v>9.375E-2</v>
      </c>
      <c r="H100" s="155">
        <f>G100*PARÂMETROS!$E$8</f>
        <v>2.8959375000000001</v>
      </c>
      <c r="I100" s="156"/>
      <c r="J100" s="155"/>
      <c r="K100" s="154"/>
      <c r="L100" s="155"/>
      <c r="M100" s="156"/>
      <c r="N100" s="157"/>
      <c r="R100" s="158" t="s">
        <v>1184</v>
      </c>
      <c r="S100" s="158">
        <v>4.25</v>
      </c>
      <c r="T100" s="159">
        <f t="shared" si="33"/>
        <v>52.808437500000004</v>
      </c>
      <c r="V100" s="158"/>
      <c r="W100" s="158"/>
      <c r="X100" s="158"/>
      <c r="Y100" s="56"/>
      <c r="Z100" s="56"/>
      <c r="AA100" s="167" t="s">
        <v>1184</v>
      </c>
      <c r="AB100" s="169">
        <v>4.25</v>
      </c>
      <c r="AC100" s="161">
        <f t="shared" si="22"/>
        <v>52.808437500000004</v>
      </c>
      <c r="AD100" s="162">
        <f>PARÂMETROS!$H$3</f>
        <v>40</v>
      </c>
      <c r="AE100" s="163">
        <v>0.14236111111111099</v>
      </c>
      <c r="AF100" s="162">
        <f t="shared" si="24"/>
        <v>136.66666666666654</v>
      </c>
      <c r="AG100" s="168">
        <v>1</v>
      </c>
      <c r="AH100" s="165">
        <f t="shared" si="25"/>
        <v>136.66666666666654</v>
      </c>
      <c r="AI100" s="166">
        <f t="shared" si="26"/>
        <v>189.47510416666654</v>
      </c>
      <c r="AJ100" s="168">
        <v>1</v>
      </c>
      <c r="AK100" s="23">
        <f t="shared" si="27"/>
        <v>4.25</v>
      </c>
    </row>
    <row r="101" spans="1:37" ht="24" customHeight="1" thickBot="1" x14ac:dyDescent="0.35">
      <c r="A101" s="152" t="s">
        <v>1184</v>
      </c>
      <c r="B101" s="153">
        <v>4.4000000000000004</v>
      </c>
      <c r="C101" s="153" t="s">
        <v>1181</v>
      </c>
      <c r="D101" s="153" t="s">
        <v>1123</v>
      </c>
      <c r="E101" s="154">
        <v>0.92</v>
      </c>
      <c r="F101" s="155">
        <f>E101*PARÂMETROS!$E$6</f>
        <v>36.735599999999998</v>
      </c>
      <c r="G101" s="156">
        <f t="shared" si="34"/>
        <v>6.9000000000000006E-2</v>
      </c>
      <c r="H101" s="155">
        <f>G101*PARÂMETROS!$E$8</f>
        <v>2.1314100000000002</v>
      </c>
      <c r="I101" s="156"/>
      <c r="J101" s="155"/>
      <c r="K101" s="154"/>
      <c r="L101" s="155"/>
      <c r="M101" s="156"/>
      <c r="N101" s="157"/>
      <c r="R101" s="158" t="s">
        <v>1184</v>
      </c>
      <c r="S101" s="158">
        <v>4.4000000000000004</v>
      </c>
      <c r="T101" s="159">
        <f t="shared" si="33"/>
        <v>38.867010000000001</v>
      </c>
      <c r="V101" s="158"/>
      <c r="W101" s="158"/>
      <c r="X101" s="158"/>
      <c r="Y101" s="56"/>
      <c r="Z101" s="56"/>
      <c r="AA101" s="167" t="s">
        <v>1184</v>
      </c>
      <c r="AB101" s="169">
        <v>4.4000000000000004</v>
      </c>
      <c r="AC101" s="161">
        <f t="shared" si="22"/>
        <v>38.867010000000001</v>
      </c>
      <c r="AD101" s="162">
        <f>PARÂMETROS!$H$3</f>
        <v>40</v>
      </c>
      <c r="AE101" s="163">
        <v>0.14236111111111099</v>
      </c>
      <c r="AF101" s="162">
        <f t="shared" si="24"/>
        <v>136.66666666666654</v>
      </c>
      <c r="AG101" s="168">
        <v>1</v>
      </c>
      <c r="AH101" s="165">
        <f t="shared" si="25"/>
        <v>136.66666666666654</v>
      </c>
      <c r="AI101" s="166">
        <f t="shared" si="26"/>
        <v>175.53367666666654</v>
      </c>
      <c r="AJ101" s="168">
        <v>1</v>
      </c>
      <c r="AK101" s="23">
        <f t="shared" si="27"/>
        <v>4.4000000000000004</v>
      </c>
    </row>
    <row r="102" spans="1:37" ht="24" customHeight="1" thickBot="1" x14ac:dyDescent="0.35">
      <c r="A102" s="152" t="s">
        <v>1184</v>
      </c>
      <c r="B102" s="153">
        <v>6.37</v>
      </c>
      <c r="C102" s="153" t="s">
        <v>1181</v>
      </c>
      <c r="D102" s="153" t="s">
        <v>1123</v>
      </c>
      <c r="E102" s="154">
        <v>2.6</v>
      </c>
      <c r="F102" s="155">
        <f>E102*PARÂMETROS!$E$6</f>
        <v>103.818</v>
      </c>
      <c r="G102" s="156">
        <f t="shared" si="34"/>
        <v>0.19500000000000001</v>
      </c>
      <c r="H102" s="155">
        <f>G102*PARÂMETROS!$E$8</f>
        <v>6.0235500000000002</v>
      </c>
      <c r="I102" s="156"/>
      <c r="J102" s="155"/>
      <c r="K102" s="154"/>
      <c r="L102" s="155"/>
      <c r="M102" s="156"/>
      <c r="N102" s="157"/>
      <c r="R102" s="158" t="s">
        <v>1184</v>
      </c>
      <c r="S102" s="158">
        <v>6.37</v>
      </c>
      <c r="T102" s="159">
        <f t="shared" si="33"/>
        <v>109.84155</v>
      </c>
      <c r="V102" s="158"/>
      <c r="W102" s="158"/>
      <c r="X102" s="158"/>
      <c r="Y102" s="56"/>
      <c r="Z102" s="56"/>
      <c r="AA102" s="167" t="s">
        <v>1184</v>
      </c>
      <c r="AB102" s="169">
        <v>6.37</v>
      </c>
      <c r="AC102" s="161">
        <f t="shared" si="22"/>
        <v>109.84155</v>
      </c>
      <c r="AD102" s="162">
        <f>PARÂMETROS!$H$3</f>
        <v>40</v>
      </c>
      <c r="AE102" s="163">
        <v>0.14236111111111099</v>
      </c>
      <c r="AF102" s="162">
        <f t="shared" si="24"/>
        <v>136.66666666666654</v>
      </c>
      <c r="AG102" s="168">
        <v>1</v>
      </c>
      <c r="AH102" s="165">
        <f t="shared" si="25"/>
        <v>136.66666666666654</v>
      </c>
      <c r="AI102" s="166">
        <f t="shared" si="26"/>
        <v>246.50821666666656</v>
      </c>
      <c r="AJ102" s="168">
        <v>1</v>
      </c>
      <c r="AK102" s="23">
        <f t="shared" si="27"/>
        <v>6.37</v>
      </c>
    </row>
    <row r="103" spans="1:37" ht="24" customHeight="1" thickBot="1" x14ac:dyDescent="0.35">
      <c r="A103" s="152" t="s">
        <v>915</v>
      </c>
      <c r="B103" s="153" t="s">
        <v>1186</v>
      </c>
      <c r="C103" s="153" t="s">
        <v>1181</v>
      </c>
      <c r="D103" s="153" t="s">
        <v>1144</v>
      </c>
      <c r="E103" s="154">
        <v>0.03</v>
      </c>
      <c r="F103" s="155">
        <f>E103*PARÂMETROS!$E$15</f>
        <v>1.0239</v>
      </c>
      <c r="G103" s="156">
        <f t="shared" si="34"/>
        <v>2.2499999999999998E-3</v>
      </c>
      <c r="H103" s="155">
        <f>G103*PARÂMETROS!$E$8</f>
        <v>6.9502499999999995E-2</v>
      </c>
      <c r="I103" s="156"/>
      <c r="J103" s="155"/>
      <c r="K103" s="154"/>
      <c r="L103" s="155"/>
      <c r="M103" s="156"/>
      <c r="N103" s="157"/>
      <c r="R103" s="158" t="s">
        <v>915</v>
      </c>
      <c r="S103" s="158" t="s">
        <v>1186</v>
      </c>
      <c r="T103" s="159">
        <f t="shared" si="33"/>
        <v>1.0934025000000001</v>
      </c>
      <c r="V103" s="158"/>
      <c r="W103" s="158"/>
      <c r="X103" s="158"/>
      <c r="Y103" s="56"/>
      <c r="Z103" s="56"/>
      <c r="AA103" s="167" t="s">
        <v>915</v>
      </c>
      <c r="AB103" s="167" t="s">
        <v>1186</v>
      </c>
      <c r="AC103" s="161">
        <f t="shared" si="22"/>
        <v>1.0934025000000001</v>
      </c>
      <c r="AD103" s="162">
        <f>PARÂMETROS!$H$3</f>
        <v>40</v>
      </c>
      <c r="AE103" s="163">
        <v>0.14236111111111099</v>
      </c>
      <c r="AF103" s="162">
        <f t="shared" si="24"/>
        <v>136.66666666666654</v>
      </c>
      <c r="AG103" s="168">
        <v>10</v>
      </c>
      <c r="AH103" s="165">
        <f t="shared" si="25"/>
        <v>13.666666666666654</v>
      </c>
      <c r="AI103" s="166">
        <f t="shared" si="26"/>
        <v>14.760069166666653</v>
      </c>
      <c r="AJ103" s="168">
        <v>10</v>
      </c>
      <c r="AK103" s="23">
        <f t="shared" si="27"/>
        <v>2</v>
      </c>
    </row>
    <row r="104" spans="1:37" ht="24" customHeight="1" thickBot="1" x14ac:dyDescent="0.35">
      <c r="A104" s="152" t="s">
        <v>915</v>
      </c>
      <c r="B104" s="153" t="s">
        <v>1187</v>
      </c>
      <c r="C104" s="153" t="s">
        <v>1181</v>
      </c>
      <c r="D104" s="153" t="s">
        <v>1144</v>
      </c>
      <c r="E104" s="154">
        <v>0.06</v>
      </c>
      <c r="F104" s="155">
        <f>E104*PARÂMETROS!$E$15</f>
        <v>2.0478000000000001</v>
      </c>
      <c r="G104" s="156">
        <f t="shared" si="34"/>
        <v>4.4999999999999997E-3</v>
      </c>
      <c r="H104" s="155">
        <f>G104*PARÂMETROS!$E$8</f>
        <v>0.13900499999999999</v>
      </c>
      <c r="I104" s="156"/>
      <c r="J104" s="155"/>
      <c r="K104" s="154"/>
      <c r="L104" s="155"/>
      <c r="M104" s="156"/>
      <c r="N104" s="157"/>
      <c r="R104" s="158" t="s">
        <v>915</v>
      </c>
      <c r="S104" s="158" t="s">
        <v>1187</v>
      </c>
      <c r="T104" s="159">
        <f t="shared" si="33"/>
        <v>2.1868050000000001</v>
      </c>
      <c r="V104" s="158"/>
      <c r="W104" s="158"/>
      <c r="X104" s="158"/>
      <c r="Y104" s="56"/>
      <c r="Z104" s="56"/>
      <c r="AA104" s="167" t="s">
        <v>915</v>
      </c>
      <c r="AB104" s="167" t="s">
        <v>1187</v>
      </c>
      <c r="AC104" s="161">
        <f t="shared" si="22"/>
        <v>2.1868050000000001</v>
      </c>
      <c r="AD104" s="162">
        <f>PARÂMETROS!$H$3</f>
        <v>40</v>
      </c>
      <c r="AE104" s="163">
        <v>0.14236111111111099</v>
      </c>
      <c r="AF104" s="162">
        <f t="shared" si="24"/>
        <v>136.66666666666654</v>
      </c>
      <c r="AG104" s="168">
        <v>10</v>
      </c>
      <c r="AH104" s="165">
        <f t="shared" si="25"/>
        <v>13.666666666666654</v>
      </c>
      <c r="AI104" s="166">
        <f t="shared" si="26"/>
        <v>15.853471666666653</v>
      </c>
      <c r="AJ104" s="168">
        <v>10</v>
      </c>
      <c r="AK104" s="23">
        <f t="shared" si="27"/>
        <v>3</v>
      </c>
    </row>
    <row r="105" spans="1:37" ht="24" customHeight="1" thickBot="1" x14ac:dyDescent="0.35">
      <c r="A105" s="152" t="s">
        <v>915</v>
      </c>
      <c r="B105" s="153" t="s">
        <v>1188</v>
      </c>
      <c r="C105" s="153" t="s">
        <v>1181</v>
      </c>
      <c r="D105" s="153" t="s">
        <v>1144</v>
      </c>
      <c r="E105" s="154">
        <v>0.1</v>
      </c>
      <c r="F105" s="155">
        <f>E105*PARÂMETROS!$E$15</f>
        <v>3.4130000000000003</v>
      </c>
      <c r="G105" s="156">
        <f t="shared" si="34"/>
        <v>7.4999999999999997E-3</v>
      </c>
      <c r="H105" s="155">
        <f>G105*PARÂMETROS!$E$8</f>
        <v>0.23167499999999999</v>
      </c>
      <c r="I105" s="156"/>
      <c r="J105" s="155"/>
      <c r="K105" s="154"/>
      <c r="L105" s="155"/>
      <c r="M105" s="156"/>
      <c r="N105" s="157"/>
      <c r="R105" s="158" t="s">
        <v>915</v>
      </c>
      <c r="S105" s="158" t="s">
        <v>1188</v>
      </c>
      <c r="T105" s="159">
        <f t="shared" si="33"/>
        <v>3.6446750000000003</v>
      </c>
      <c r="V105" s="158"/>
      <c r="W105" s="158"/>
      <c r="X105" s="158"/>
      <c r="Y105" s="56"/>
      <c r="Z105" s="56"/>
      <c r="AA105" s="167" t="s">
        <v>915</v>
      </c>
      <c r="AB105" s="167" t="s">
        <v>1188</v>
      </c>
      <c r="AC105" s="161">
        <f t="shared" si="22"/>
        <v>3.6446750000000003</v>
      </c>
      <c r="AD105" s="162">
        <f>PARÂMETROS!$H$3</f>
        <v>40</v>
      </c>
      <c r="AE105" s="163">
        <v>0.14236111111111099</v>
      </c>
      <c r="AF105" s="162">
        <f t="shared" si="24"/>
        <v>136.66666666666654</v>
      </c>
      <c r="AG105" s="168">
        <v>10</v>
      </c>
      <c r="AH105" s="165">
        <f t="shared" si="25"/>
        <v>13.666666666666654</v>
      </c>
      <c r="AI105" s="166">
        <f t="shared" si="26"/>
        <v>17.311341666666653</v>
      </c>
      <c r="AJ105" s="168">
        <v>10</v>
      </c>
      <c r="AK105" s="23">
        <f t="shared" si="27"/>
        <v>4</v>
      </c>
    </row>
    <row r="106" spans="1:37" ht="24" customHeight="1" thickBot="1" x14ac:dyDescent="0.35">
      <c r="A106" s="152" t="s">
        <v>915</v>
      </c>
      <c r="B106" s="153" t="s">
        <v>1189</v>
      </c>
      <c r="C106" s="153" t="s">
        <v>1181</v>
      </c>
      <c r="D106" s="153" t="s">
        <v>1144</v>
      </c>
      <c r="E106" s="154">
        <v>0.4</v>
      </c>
      <c r="F106" s="155">
        <f>E106*PARÂMETROS!$E$15</f>
        <v>13.652000000000001</v>
      </c>
      <c r="G106" s="156">
        <f t="shared" si="34"/>
        <v>0.03</v>
      </c>
      <c r="H106" s="155">
        <f>G106*PARÂMETROS!$E$8</f>
        <v>0.92669999999999997</v>
      </c>
      <c r="I106" s="156"/>
      <c r="J106" s="155"/>
      <c r="K106" s="154"/>
      <c r="L106" s="155"/>
      <c r="M106" s="156"/>
      <c r="N106" s="157"/>
      <c r="R106" s="158" t="s">
        <v>915</v>
      </c>
      <c r="S106" s="158" t="s">
        <v>1189</v>
      </c>
      <c r="T106" s="159">
        <f t="shared" si="33"/>
        <v>14.578700000000001</v>
      </c>
      <c r="V106" s="158"/>
      <c r="W106" s="158"/>
      <c r="X106" s="158"/>
      <c r="Y106" s="56"/>
      <c r="Z106" s="56"/>
      <c r="AA106" s="167" t="s">
        <v>915</v>
      </c>
      <c r="AB106" s="167" t="s">
        <v>1189</v>
      </c>
      <c r="AC106" s="161">
        <f t="shared" si="22"/>
        <v>14.578700000000001</v>
      </c>
      <c r="AD106" s="162">
        <f>PARÂMETROS!$H$3</f>
        <v>40</v>
      </c>
      <c r="AE106" s="163">
        <v>0.14236111111111099</v>
      </c>
      <c r="AF106" s="162">
        <f t="shared" ref="AF106:AF137" si="35">(AE106*AD106)*24</f>
        <v>136.66666666666654</v>
      </c>
      <c r="AG106" s="168">
        <v>1</v>
      </c>
      <c r="AH106" s="165">
        <f t="shared" ref="AH106:AH137" si="36">AF106/AG106</f>
        <v>136.66666666666654</v>
      </c>
      <c r="AI106" s="166">
        <f t="shared" ref="AI106:AI137" si="37">AH106+AC106</f>
        <v>151.24536666666654</v>
      </c>
      <c r="AJ106" s="168">
        <v>1</v>
      </c>
      <c r="AK106" s="23">
        <f t="shared" ref="AK106:AK137" si="38">IFERROR(VALUE(SUBSTITUTE(SUBSTITUTE(SUBSTITUTE(SUBSTITUTE(SUBSTITUTE(AB106,"DN",""),CHAR(34),""),"”",""),"“",""),"''","")),"")</f>
        <v>6</v>
      </c>
    </row>
    <row r="107" spans="1:37" ht="24" customHeight="1" thickBot="1" x14ac:dyDescent="0.35">
      <c r="A107" s="152" t="s">
        <v>915</v>
      </c>
      <c r="B107" s="153" t="s">
        <v>1190</v>
      </c>
      <c r="C107" s="153" t="s">
        <v>1181</v>
      </c>
      <c r="D107" s="153" t="s">
        <v>1144</v>
      </c>
      <c r="E107" s="154">
        <v>0.8</v>
      </c>
      <c r="F107" s="155">
        <f>E107*PARÂMETROS!$E$15</f>
        <v>27.304000000000002</v>
      </c>
      <c r="G107" s="156">
        <f t="shared" si="34"/>
        <v>0.06</v>
      </c>
      <c r="H107" s="155">
        <f>G107*PARÂMETROS!$E$8</f>
        <v>1.8533999999999999</v>
      </c>
      <c r="I107" s="156"/>
      <c r="J107" s="155"/>
      <c r="K107" s="154"/>
      <c r="L107" s="155"/>
      <c r="M107" s="156"/>
      <c r="N107" s="157"/>
      <c r="R107" s="158" t="s">
        <v>915</v>
      </c>
      <c r="S107" s="158" t="s">
        <v>1190</v>
      </c>
      <c r="T107" s="159">
        <f t="shared" si="33"/>
        <v>29.157400000000003</v>
      </c>
      <c r="V107" s="158"/>
      <c r="W107" s="158"/>
      <c r="X107" s="158"/>
      <c r="Y107" s="56"/>
      <c r="Z107" s="56"/>
      <c r="AA107" s="167" t="s">
        <v>915</v>
      </c>
      <c r="AB107" s="167" t="s">
        <v>1190</v>
      </c>
      <c r="AC107" s="161">
        <f t="shared" si="22"/>
        <v>29.157400000000003</v>
      </c>
      <c r="AD107" s="162">
        <f>PARÂMETROS!$H$3</f>
        <v>40</v>
      </c>
      <c r="AE107" s="163">
        <v>0.14236111111111099</v>
      </c>
      <c r="AF107" s="162">
        <f t="shared" si="35"/>
        <v>136.66666666666654</v>
      </c>
      <c r="AG107" s="168">
        <v>1</v>
      </c>
      <c r="AH107" s="165">
        <f t="shared" si="36"/>
        <v>136.66666666666654</v>
      </c>
      <c r="AI107" s="166">
        <f t="shared" si="37"/>
        <v>165.82406666666654</v>
      </c>
      <c r="AJ107" s="168">
        <v>1</v>
      </c>
      <c r="AK107" s="23">
        <f t="shared" si="38"/>
        <v>8</v>
      </c>
    </row>
    <row r="108" spans="1:37" ht="24" customHeight="1" thickBot="1" x14ac:dyDescent="0.35">
      <c r="A108" s="152" t="s">
        <v>915</v>
      </c>
      <c r="B108" s="153" t="s">
        <v>1191</v>
      </c>
      <c r="C108" s="153" t="s">
        <v>1181</v>
      </c>
      <c r="D108" s="153" t="s">
        <v>1144</v>
      </c>
      <c r="E108" s="154">
        <v>1.5</v>
      </c>
      <c r="F108" s="155">
        <f>E108*PARÂMETROS!$E$15</f>
        <v>51.195000000000007</v>
      </c>
      <c r="G108" s="156">
        <f t="shared" si="34"/>
        <v>0.11249999999999999</v>
      </c>
      <c r="H108" s="155">
        <f>G108*PARÂMETROS!$E$8</f>
        <v>3.4751249999999998</v>
      </c>
      <c r="I108" s="156"/>
      <c r="J108" s="155"/>
      <c r="K108" s="154"/>
      <c r="L108" s="155"/>
      <c r="M108" s="156"/>
      <c r="N108" s="157"/>
      <c r="R108" s="158" t="s">
        <v>915</v>
      </c>
      <c r="S108" s="158" t="s">
        <v>1191</v>
      </c>
      <c r="T108" s="159">
        <f t="shared" si="33"/>
        <v>54.670125000000006</v>
      </c>
      <c r="V108" s="158"/>
      <c r="W108" s="158"/>
      <c r="X108" s="158"/>
      <c r="Y108" s="56"/>
      <c r="Z108" s="56"/>
      <c r="AA108" s="167" t="s">
        <v>915</v>
      </c>
      <c r="AB108" s="167" t="s">
        <v>1191</v>
      </c>
      <c r="AC108" s="161">
        <f t="shared" si="22"/>
        <v>54.670125000000006</v>
      </c>
      <c r="AD108" s="162">
        <f>PARÂMETROS!$H$3</f>
        <v>40</v>
      </c>
      <c r="AE108" s="163">
        <v>0.14236111111111099</v>
      </c>
      <c r="AF108" s="162">
        <f t="shared" si="35"/>
        <v>136.66666666666654</v>
      </c>
      <c r="AG108" s="168">
        <v>1</v>
      </c>
      <c r="AH108" s="165">
        <f t="shared" si="36"/>
        <v>136.66666666666654</v>
      </c>
      <c r="AI108" s="166">
        <f t="shared" si="37"/>
        <v>191.33679166666656</v>
      </c>
      <c r="AJ108" s="168">
        <v>1</v>
      </c>
      <c r="AK108" s="23">
        <f t="shared" si="38"/>
        <v>10</v>
      </c>
    </row>
    <row r="109" spans="1:37" ht="24" customHeight="1" thickBot="1" x14ac:dyDescent="0.35">
      <c r="A109" s="152" t="s">
        <v>915</v>
      </c>
      <c r="B109" s="153" t="s">
        <v>1192</v>
      </c>
      <c r="C109" s="153" t="s">
        <v>1181</v>
      </c>
      <c r="D109" s="153" t="s">
        <v>1144</v>
      </c>
      <c r="E109" s="154">
        <v>2.7</v>
      </c>
      <c r="F109" s="155">
        <f>E109*PARÂMETROS!$E$15</f>
        <v>92.15100000000001</v>
      </c>
      <c r="G109" s="156">
        <f t="shared" si="34"/>
        <v>0.20250000000000001</v>
      </c>
      <c r="H109" s="155">
        <f>G109*PARÂMETROS!$E$8</f>
        <v>6.2552250000000003</v>
      </c>
      <c r="I109" s="156"/>
      <c r="J109" s="155"/>
      <c r="K109" s="154"/>
      <c r="L109" s="155"/>
      <c r="M109" s="156"/>
      <c r="N109" s="157"/>
      <c r="R109" s="158" t="s">
        <v>915</v>
      </c>
      <c r="S109" s="158" t="s">
        <v>1192</v>
      </c>
      <c r="T109" s="159">
        <f t="shared" si="33"/>
        <v>98.406225000000006</v>
      </c>
      <c r="V109" s="158"/>
      <c r="W109" s="158"/>
      <c r="X109" s="158"/>
      <c r="Y109" s="56"/>
      <c r="Z109" s="56"/>
      <c r="AA109" s="167" t="s">
        <v>915</v>
      </c>
      <c r="AB109" s="167" t="s">
        <v>1192</v>
      </c>
      <c r="AC109" s="161">
        <f t="shared" si="22"/>
        <v>98.406225000000006</v>
      </c>
      <c r="AD109" s="162">
        <f>PARÂMETROS!$H$3</f>
        <v>40</v>
      </c>
      <c r="AE109" s="163">
        <v>0.14236111111111099</v>
      </c>
      <c r="AF109" s="162">
        <f t="shared" si="35"/>
        <v>136.66666666666654</v>
      </c>
      <c r="AG109" s="168">
        <v>1</v>
      </c>
      <c r="AH109" s="165">
        <f t="shared" si="36"/>
        <v>136.66666666666654</v>
      </c>
      <c r="AI109" s="166">
        <f t="shared" si="37"/>
        <v>235.07289166666655</v>
      </c>
      <c r="AJ109" s="168">
        <v>1</v>
      </c>
      <c r="AK109" s="23">
        <f t="shared" si="38"/>
        <v>12</v>
      </c>
    </row>
    <row r="110" spans="1:37" ht="24" customHeight="1" thickBot="1" x14ac:dyDescent="0.35">
      <c r="A110" s="152" t="s">
        <v>915</v>
      </c>
      <c r="B110" s="153" t="s">
        <v>1193</v>
      </c>
      <c r="C110" s="153" t="s">
        <v>1181</v>
      </c>
      <c r="D110" s="153" t="s">
        <v>1144</v>
      </c>
      <c r="E110" s="154">
        <v>2.9</v>
      </c>
      <c r="F110" s="155">
        <f>E110*PARÂMETROS!$E$15</f>
        <v>98.977000000000004</v>
      </c>
      <c r="G110" s="156">
        <f t="shared" si="34"/>
        <v>0.2175</v>
      </c>
      <c r="H110" s="155">
        <f>G110*PARÂMETROS!$E$8</f>
        <v>6.7185750000000004</v>
      </c>
      <c r="I110" s="156"/>
      <c r="J110" s="155"/>
      <c r="K110" s="154"/>
      <c r="L110" s="155"/>
      <c r="M110" s="156"/>
      <c r="N110" s="157"/>
      <c r="R110" s="158" t="s">
        <v>915</v>
      </c>
      <c r="S110" s="158" t="s">
        <v>1193</v>
      </c>
      <c r="T110" s="159">
        <f t="shared" si="33"/>
        <v>105.69557500000001</v>
      </c>
      <c r="V110" s="158"/>
      <c r="W110" s="158"/>
      <c r="X110" s="158"/>
      <c r="Y110" s="56"/>
      <c r="Z110" s="56"/>
      <c r="AA110" s="167" t="s">
        <v>915</v>
      </c>
      <c r="AB110" s="167" t="s">
        <v>1193</v>
      </c>
      <c r="AC110" s="161">
        <f t="shared" si="22"/>
        <v>105.69557500000001</v>
      </c>
      <c r="AD110" s="162">
        <f>PARÂMETROS!$H$3</f>
        <v>40</v>
      </c>
      <c r="AE110" s="163">
        <v>0.14236111111111099</v>
      </c>
      <c r="AF110" s="162">
        <f t="shared" si="35"/>
        <v>136.66666666666654</v>
      </c>
      <c r="AG110" s="168">
        <v>1</v>
      </c>
      <c r="AH110" s="165">
        <f t="shared" si="36"/>
        <v>136.66666666666654</v>
      </c>
      <c r="AI110" s="166">
        <f t="shared" si="37"/>
        <v>242.36224166666653</v>
      </c>
      <c r="AJ110" s="168">
        <v>1</v>
      </c>
      <c r="AK110" s="23">
        <f t="shared" si="38"/>
        <v>14</v>
      </c>
    </row>
    <row r="111" spans="1:37" ht="24" customHeight="1" thickBot="1" x14ac:dyDescent="0.35">
      <c r="A111" s="152" t="s">
        <v>915</v>
      </c>
      <c r="B111" s="153" t="s">
        <v>1194</v>
      </c>
      <c r="C111" s="153" t="s">
        <v>1181</v>
      </c>
      <c r="D111" s="153" t="s">
        <v>1144</v>
      </c>
      <c r="E111" s="154">
        <v>5.8</v>
      </c>
      <c r="F111" s="155">
        <f>E111*PARÂMETROS!$E$15</f>
        <v>197.95400000000001</v>
      </c>
      <c r="G111" s="156">
        <f t="shared" si="34"/>
        <v>0.435</v>
      </c>
      <c r="H111" s="155">
        <f>G111*PARÂMETROS!$E$8</f>
        <v>13.437150000000001</v>
      </c>
      <c r="I111" s="156"/>
      <c r="J111" s="155"/>
      <c r="K111" s="154"/>
      <c r="L111" s="155"/>
      <c r="M111" s="156"/>
      <c r="N111" s="157"/>
      <c r="R111" s="158" t="s">
        <v>915</v>
      </c>
      <c r="S111" s="158" t="s">
        <v>1194</v>
      </c>
      <c r="T111" s="159">
        <f t="shared" si="33"/>
        <v>211.39115000000001</v>
      </c>
      <c r="V111" s="158"/>
      <c r="W111" s="158"/>
      <c r="X111" s="158"/>
      <c r="Y111" s="56"/>
      <c r="Z111" s="56"/>
      <c r="AA111" s="167" t="s">
        <v>915</v>
      </c>
      <c r="AB111" s="167" t="s">
        <v>1194</v>
      </c>
      <c r="AC111" s="161">
        <f t="shared" si="22"/>
        <v>211.39115000000001</v>
      </c>
      <c r="AD111" s="162">
        <f>PARÂMETROS!$H$3</f>
        <v>40</v>
      </c>
      <c r="AE111" s="163">
        <v>0.14236111111111099</v>
      </c>
      <c r="AF111" s="162">
        <f t="shared" si="35"/>
        <v>136.66666666666654</v>
      </c>
      <c r="AG111" s="168">
        <v>1</v>
      </c>
      <c r="AH111" s="165">
        <f t="shared" si="36"/>
        <v>136.66666666666654</v>
      </c>
      <c r="AI111" s="166">
        <f t="shared" si="37"/>
        <v>348.05781666666655</v>
      </c>
      <c r="AJ111" s="168">
        <v>1</v>
      </c>
      <c r="AK111" s="23">
        <f t="shared" si="38"/>
        <v>16</v>
      </c>
    </row>
    <row r="112" spans="1:37" ht="24" customHeight="1" thickBot="1" x14ac:dyDescent="0.35">
      <c r="A112" s="152" t="s">
        <v>915</v>
      </c>
      <c r="B112" s="153" t="s">
        <v>1195</v>
      </c>
      <c r="C112" s="153" t="s">
        <v>1181</v>
      </c>
      <c r="D112" s="153" t="s">
        <v>1144</v>
      </c>
      <c r="E112" s="154">
        <v>6.4</v>
      </c>
      <c r="F112" s="155">
        <f>E112*PARÂMETROS!$E$15</f>
        <v>218.43200000000002</v>
      </c>
      <c r="G112" s="156">
        <f t="shared" si="34"/>
        <v>0.48</v>
      </c>
      <c r="H112" s="155">
        <f>G112*PARÂMETROS!$E$8</f>
        <v>14.827199999999999</v>
      </c>
      <c r="I112" s="156"/>
      <c r="J112" s="155"/>
      <c r="K112" s="154"/>
      <c r="L112" s="155"/>
      <c r="M112" s="156"/>
      <c r="N112" s="157"/>
      <c r="R112" s="158" t="s">
        <v>915</v>
      </c>
      <c r="S112" s="158" t="s">
        <v>1195</v>
      </c>
      <c r="T112" s="159">
        <f t="shared" si="33"/>
        <v>233.25920000000002</v>
      </c>
      <c r="V112" s="158"/>
      <c r="W112" s="158"/>
      <c r="X112" s="158"/>
      <c r="Y112" s="56"/>
      <c r="Z112" s="56"/>
      <c r="AA112" s="167" t="s">
        <v>915</v>
      </c>
      <c r="AB112" s="167" t="s">
        <v>1195</v>
      </c>
      <c r="AC112" s="161">
        <f t="shared" si="22"/>
        <v>233.25920000000002</v>
      </c>
      <c r="AD112" s="162">
        <f>PARÂMETROS!$H$3</f>
        <v>40</v>
      </c>
      <c r="AE112" s="163">
        <v>0.14236111111111099</v>
      </c>
      <c r="AF112" s="162">
        <f t="shared" si="35"/>
        <v>136.66666666666654</v>
      </c>
      <c r="AG112" s="168">
        <v>1</v>
      </c>
      <c r="AH112" s="165">
        <f t="shared" si="36"/>
        <v>136.66666666666654</v>
      </c>
      <c r="AI112" s="166">
        <f t="shared" si="37"/>
        <v>369.92586666666659</v>
      </c>
      <c r="AJ112" s="168">
        <v>1</v>
      </c>
      <c r="AK112" s="23">
        <f t="shared" si="38"/>
        <v>18</v>
      </c>
    </row>
    <row r="113" spans="1:37" ht="24" customHeight="1" thickBot="1" x14ac:dyDescent="0.35">
      <c r="A113" s="152" t="s">
        <v>915</v>
      </c>
      <c r="B113" s="153" t="s">
        <v>1196</v>
      </c>
      <c r="C113" s="153" t="s">
        <v>1181</v>
      </c>
      <c r="D113" s="153" t="s">
        <v>1144</v>
      </c>
      <c r="E113" s="154">
        <v>8.3000000000000007</v>
      </c>
      <c r="F113" s="155">
        <f>E113*PARÂMETROS!$E$15</f>
        <v>283.27900000000005</v>
      </c>
      <c r="G113" s="156">
        <f t="shared" si="34"/>
        <v>0.62250000000000005</v>
      </c>
      <c r="H113" s="155">
        <f>G113*PARÂMETROS!$E$8</f>
        <v>19.229025000000004</v>
      </c>
      <c r="I113" s="156"/>
      <c r="J113" s="155"/>
      <c r="K113" s="154"/>
      <c r="L113" s="155"/>
      <c r="M113" s="156"/>
      <c r="N113" s="157"/>
      <c r="R113" s="158" t="s">
        <v>915</v>
      </c>
      <c r="S113" s="158" t="s">
        <v>1196</v>
      </c>
      <c r="T113" s="159">
        <f t="shared" si="33"/>
        <v>302.50802500000003</v>
      </c>
      <c r="V113" s="158"/>
      <c r="W113" s="158"/>
      <c r="X113" s="158"/>
      <c r="Y113" s="56"/>
      <c r="Z113" s="56"/>
      <c r="AA113" s="167" t="s">
        <v>915</v>
      </c>
      <c r="AB113" s="167" t="s">
        <v>1196</v>
      </c>
      <c r="AC113" s="161">
        <f t="shared" si="22"/>
        <v>302.50802500000003</v>
      </c>
      <c r="AD113" s="162">
        <f>PARÂMETROS!$H$3</f>
        <v>40</v>
      </c>
      <c r="AE113" s="163">
        <v>0.14236111111111099</v>
      </c>
      <c r="AF113" s="162">
        <f t="shared" si="35"/>
        <v>136.66666666666654</v>
      </c>
      <c r="AG113" s="168">
        <v>1</v>
      </c>
      <c r="AH113" s="165">
        <f t="shared" si="36"/>
        <v>136.66666666666654</v>
      </c>
      <c r="AI113" s="166">
        <f t="shared" si="37"/>
        <v>439.1746916666666</v>
      </c>
      <c r="AJ113" s="168">
        <v>1</v>
      </c>
      <c r="AK113" s="23">
        <f t="shared" si="38"/>
        <v>20</v>
      </c>
    </row>
    <row r="114" spans="1:37" ht="24" customHeight="1" thickBot="1" x14ac:dyDescent="0.35">
      <c r="A114" s="152" t="s">
        <v>915</v>
      </c>
      <c r="B114" s="153" t="s">
        <v>1197</v>
      </c>
      <c r="C114" s="153" t="s">
        <v>1181</v>
      </c>
      <c r="D114" s="153" t="s">
        <v>1144</v>
      </c>
      <c r="E114" s="154">
        <v>11.9</v>
      </c>
      <c r="F114" s="155">
        <f>E114*PARÂMETROS!$E$15</f>
        <v>406.14700000000005</v>
      </c>
      <c r="G114" s="156">
        <f t="shared" si="34"/>
        <v>0.89249999999999996</v>
      </c>
      <c r="H114" s="155">
        <f>G114*PARÂMETROS!$E$8</f>
        <v>27.569324999999999</v>
      </c>
      <c r="I114" s="156"/>
      <c r="J114" s="155"/>
      <c r="K114" s="154"/>
      <c r="L114" s="155"/>
      <c r="M114" s="156"/>
      <c r="N114" s="157"/>
      <c r="R114" s="158" t="s">
        <v>915</v>
      </c>
      <c r="S114" s="158" t="s">
        <v>1197</v>
      </c>
      <c r="T114" s="159">
        <f t="shared" si="33"/>
        <v>433.71632500000004</v>
      </c>
      <c r="V114" s="158"/>
      <c r="W114" s="158"/>
      <c r="X114" s="158"/>
      <c r="Y114" s="56"/>
      <c r="Z114" s="56"/>
      <c r="AA114" s="167" t="s">
        <v>915</v>
      </c>
      <c r="AB114" s="167" t="s">
        <v>1197</v>
      </c>
      <c r="AC114" s="161">
        <f t="shared" si="22"/>
        <v>433.71632500000004</v>
      </c>
      <c r="AD114" s="162">
        <f>PARÂMETROS!$H$3</f>
        <v>40</v>
      </c>
      <c r="AE114" s="163">
        <v>0.14236111111111099</v>
      </c>
      <c r="AF114" s="162">
        <f t="shared" si="35"/>
        <v>136.66666666666654</v>
      </c>
      <c r="AG114" s="168">
        <v>1</v>
      </c>
      <c r="AH114" s="165">
        <f t="shared" si="36"/>
        <v>136.66666666666654</v>
      </c>
      <c r="AI114" s="166">
        <f t="shared" si="37"/>
        <v>570.38299166666661</v>
      </c>
      <c r="AJ114" s="168">
        <v>1</v>
      </c>
      <c r="AK114" s="23">
        <f t="shared" si="38"/>
        <v>22</v>
      </c>
    </row>
    <row r="115" spans="1:37" ht="24" customHeight="1" thickBot="1" x14ac:dyDescent="0.35">
      <c r="A115" s="152" t="s">
        <v>915</v>
      </c>
      <c r="B115" s="153" t="s">
        <v>1198</v>
      </c>
      <c r="C115" s="153" t="s">
        <v>1181</v>
      </c>
      <c r="D115" s="153" t="s">
        <v>1144</v>
      </c>
      <c r="E115" s="154">
        <v>12.2</v>
      </c>
      <c r="F115" s="155">
        <f>E115*PARÂMETROS!$E$15</f>
        <v>416.38600000000002</v>
      </c>
      <c r="G115" s="156">
        <f t="shared" si="34"/>
        <v>0.91499999999999992</v>
      </c>
      <c r="H115" s="155">
        <f>G115*PARÂMETROS!$E$8</f>
        <v>28.264349999999997</v>
      </c>
      <c r="I115" s="156"/>
      <c r="J115" s="155"/>
      <c r="K115" s="154"/>
      <c r="L115" s="155"/>
      <c r="M115" s="156"/>
      <c r="N115" s="157"/>
      <c r="R115" s="158" t="s">
        <v>915</v>
      </c>
      <c r="S115" s="158" t="s">
        <v>1198</v>
      </c>
      <c r="T115" s="159">
        <f t="shared" si="33"/>
        <v>444.65035</v>
      </c>
      <c r="V115" s="158"/>
      <c r="W115" s="158"/>
      <c r="X115" s="158"/>
      <c r="Y115" s="56"/>
      <c r="Z115" s="56"/>
      <c r="AA115" s="167" t="s">
        <v>915</v>
      </c>
      <c r="AB115" s="167" t="s">
        <v>1198</v>
      </c>
      <c r="AC115" s="161">
        <f t="shared" si="22"/>
        <v>444.65035</v>
      </c>
      <c r="AD115" s="162">
        <f>PARÂMETROS!$H$3</f>
        <v>40</v>
      </c>
      <c r="AE115" s="163">
        <v>0.14236111111111099</v>
      </c>
      <c r="AF115" s="162">
        <f t="shared" si="35"/>
        <v>136.66666666666654</v>
      </c>
      <c r="AG115" s="168">
        <v>1</v>
      </c>
      <c r="AH115" s="165">
        <f t="shared" si="36"/>
        <v>136.66666666666654</v>
      </c>
      <c r="AI115" s="166">
        <f t="shared" si="37"/>
        <v>581.31701666666652</v>
      </c>
      <c r="AJ115" s="168">
        <v>1</v>
      </c>
      <c r="AK115" s="23">
        <f t="shared" si="38"/>
        <v>24</v>
      </c>
    </row>
    <row r="116" spans="1:37" ht="24" customHeight="1" thickBot="1" x14ac:dyDescent="0.35">
      <c r="A116" s="152" t="s">
        <v>915</v>
      </c>
      <c r="B116" s="153" t="s">
        <v>1199</v>
      </c>
      <c r="C116" s="153" t="s">
        <v>1181</v>
      </c>
      <c r="D116" s="153" t="s">
        <v>1144</v>
      </c>
      <c r="E116" s="154">
        <v>20.5</v>
      </c>
      <c r="F116" s="155">
        <f>E116*PARÂMETROS!$E$15</f>
        <v>699.66500000000008</v>
      </c>
      <c r="G116" s="156">
        <f t="shared" si="34"/>
        <v>1.5374999999999999</v>
      </c>
      <c r="H116" s="155">
        <f>G116*PARÂMETROS!$E$8</f>
        <v>47.493374999999993</v>
      </c>
      <c r="I116" s="156"/>
      <c r="J116" s="155"/>
      <c r="K116" s="154"/>
      <c r="L116" s="155"/>
      <c r="M116" s="156"/>
      <c r="N116" s="157"/>
      <c r="R116" s="158" t="s">
        <v>915</v>
      </c>
      <c r="S116" s="158" t="s">
        <v>1199</v>
      </c>
      <c r="T116" s="159">
        <f t="shared" si="33"/>
        <v>747.15837500000009</v>
      </c>
      <c r="V116" s="158"/>
      <c r="W116" s="158"/>
      <c r="X116" s="158"/>
      <c r="Y116" s="56"/>
      <c r="Z116" s="56"/>
      <c r="AA116" s="167" t="s">
        <v>915</v>
      </c>
      <c r="AB116" s="167" t="s">
        <v>1199</v>
      </c>
      <c r="AC116" s="161">
        <f t="shared" si="22"/>
        <v>747.15837500000009</v>
      </c>
      <c r="AD116" s="162">
        <f>PARÂMETROS!$H$3</f>
        <v>40</v>
      </c>
      <c r="AE116" s="163">
        <v>0.14236111111111099</v>
      </c>
      <c r="AF116" s="162">
        <f t="shared" si="35"/>
        <v>136.66666666666654</v>
      </c>
      <c r="AG116" s="168">
        <v>1</v>
      </c>
      <c r="AH116" s="165">
        <f t="shared" si="36"/>
        <v>136.66666666666654</v>
      </c>
      <c r="AI116" s="166">
        <f t="shared" si="37"/>
        <v>883.82504166666661</v>
      </c>
      <c r="AJ116" s="168">
        <v>1</v>
      </c>
      <c r="AK116" s="23">
        <f t="shared" si="38"/>
        <v>26</v>
      </c>
    </row>
    <row r="117" spans="1:37" ht="24" customHeight="1" thickBot="1" x14ac:dyDescent="0.35">
      <c r="A117" s="152" t="s">
        <v>915</v>
      </c>
      <c r="B117" s="153" t="s">
        <v>1200</v>
      </c>
      <c r="C117" s="153" t="s">
        <v>1181</v>
      </c>
      <c r="D117" s="153" t="s">
        <v>1144</v>
      </c>
      <c r="E117" s="154">
        <v>25</v>
      </c>
      <c r="F117" s="155">
        <f>E117*PARÂMETROS!$E$15</f>
        <v>853.25000000000011</v>
      </c>
      <c r="G117" s="156">
        <f t="shared" si="34"/>
        <v>1.875</v>
      </c>
      <c r="H117" s="155">
        <f>G117*PARÂMETROS!$E$8</f>
        <v>57.918750000000003</v>
      </c>
      <c r="I117" s="156"/>
      <c r="J117" s="155"/>
      <c r="K117" s="154"/>
      <c r="L117" s="155"/>
      <c r="M117" s="156"/>
      <c r="N117" s="157"/>
      <c r="R117" s="158" t="s">
        <v>915</v>
      </c>
      <c r="S117" s="158" t="s">
        <v>1200</v>
      </c>
      <c r="T117" s="159">
        <f t="shared" si="33"/>
        <v>911.16875000000016</v>
      </c>
      <c r="V117" s="158"/>
      <c r="W117" s="158"/>
      <c r="X117" s="158"/>
      <c r="Y117" s="56"/>
      <c r="Z117" s="56"/>
      <c r="AA117" s="167" t="s">
        <v>915</v>
      </c>
      <c r="AB117" s="167" t="s">
        <v>1200</v>
      </c>
      <c r="AC117" s="161">
        <f t="shared" si="22"/>
        <v>911.16875000000016</v>
      </c>
      <c r="AD117" s="162">
        <f>PARÂMETROS!$H$3</f>
        <v>40</v>
      </c>
      <c r="AE117" s="163">
        <v>0.14236111111111099</v>
      </c>
      <c r="AF117" s="162">
        <f t="shared" si="35"/>
        <v>136.66666666666654</v>
      </c>
      <c r="AG117" s="168">
        <v>1</v>
      </c>
      <c r="AH117" s="165">
        <f t="shared" si="36"/>
        <v>136.66666666666654</v>
      </c>
      <c r="AI117" s="166">
        <f t="shared" si="37"/>
        <v>1047.8354166666668</v>
      </c>
      <c r="AJ117" s="168">
        <v>1</v>
      </c>
      <c r="AK117" s="23">
        <f t="shared" si="38"/>
        <v>28</v>
      </c>
    </row>
    <row r="118" spans="1:37" ht="24" customHeight="1" thickBot="1" x14ac:dyDescent="0.35">
      <c r="A118" s="152" t="s">
        <v>915</v>
      </c>
      <c r="B118" s="153" t="s">
        <v>250</v>
      </c>
      <c r="C118" s="153" t="s">
        <v>1181</v>
      </c>
      <c r="D118" s="153" t="s">
        <v>1144</v>
      </c>
      <c r="E118" s="154">
        <v>29</v>
      </c>
      <c r="F118" s="155">
        <f>E118*PARÂMETROS!$E$15</f>
        <v>989.7700000000001</v>
      </c>
      <c r="G118" s="156">
        <f t="shared" si="34"/>
        <v>2.1749999999999998</v>
      </c>
      <c r="H118" s="155">
        <f>G118*PARÂMETROS!$E$8</f>
        <v>67.185749999999999</v>
      </c>
      <c r="I118" s="156"/>
      <c r="J118" s="155"/>
      <c r="K118" s="154"/>
      <c r="L118" s="155"/>
      <c r="M118" s="156"/>
      <c r="N118" s="157"/>
      <c r="R118" s="158" t="s">
        <v>915</v>
      </c>
      <c r="S118" s="158" t="s">
        <v>250</v>
      </c>
      <c r="T118" s="159">
        <f t="shared" si="33"/>
        <v>1056.9557500000001</v>
      </c>
      <c r="V118" s="158"/>
      <c r="W118" s="158"/>
      <c r="X118" s="158"/>
      <c r="Y118" s="56"/>
      <c r="Z118" s="56"/>
      <c r="AA118" s="167" t="s">
        <v>915</v>
      </c>
      <c r="AB118" s="167" t="s">
        <v>250</v>
      </c>
      <c r="AC118" s="161">
        <f t="shared" si="22"/>
        <v>1056.9557500000001</v>
      </c>
      <c r="AD118" s="162">
        <f>PARÂMETROS!$H$3</f>
        <v>40</v>
      </c>
      <c r="AE118" s="163">
        <v>0.14236111111111099</v>
      </c>
      <c r="AF118" s="162">
        <f t="shared" si="35"/>
        <v>136.66666666666654</v>
      </c>
      <c r="AG118" s="168">
        <v>1</v>
      </c>
      <c r="AH118" s="165">
        <f t="shared" si="36"/>
        <v>136.66666666666654</v>
      </c>
      <c r="AI118" s="166">
        <f t="shared" si="37"/>
        <v>1193.6224166666666</v>
      </c>
      <c r="AJ118" s="168"/>
      <c r="AK118" s="23">
        <f t="shared" si="38"/>
        <v>30</v>
      </c>
    </row>
    <row r="119" spans="1:37" ht="24" customHeight="1" thickBot="1" x14ac:dyDescent="0.35">
      <c r="A119" s="152" t="s">
        <v>915</v>
      </c>
      <c r="B119" s="153" t="s">
        <v>254</v>
      </c>
      <c r="C119" s="153" t="s">
        <v>1181</v>
      </c>
      <c r="D119" s="153" t="s">
        <v>1144</v>
      </c>
      <c r="E119" s="154">
        <v>60</v>
      </c>
      <c r="F119" s="155">
        <f>E119*PARÂMETROS!$E$15</f>
        <v>2047.8000000000002</v>
      </c>
      <c r="G119" s="156">
        <f t="shared" si="34"/>
        <v>4.5</v>
      </c>
      <c r="H119" s="155">
        <f>G119*PARÂMETROS!$E$8</f>
        <v>139.005</v>
      </c>
      <c r="I119" s="156"/>
      <c r="J119" s="155"/>
      <c r="K119" s="154"/>
      <c r="L119" s="155"/>
      <c r="M119" s="156"/>
      <c r="N119" s="157"/>
      <c r="R119" s="158" t="s">
        <v>915</v>
      </c>
      <c r="S119" s="158" t="s">
        <v>254</v>
      </c>
      <c r="T119" s="159">
        <f t="shared" si="33"/>
        <v>2186.8050000000003</v>
      </c>
      <c r="V119" s="158"/>
      <c r="W119" s="158"/>
      <c r="X119" s="158"/>
      <c r="Y119" s="56"/>
      <c r="Z119" s="56"/>
      <c r="AA119" s="167" t="s">
        <v>915</v>
      </c>
      <c r="AB119" s="167" t="s">
        <v>254</v>
      </c>
      <c r="AC119" s="161">
        <f t="shared" si="22"/>
        <v>2186.8050000000003</v>
      </c>
      <c r="AD119" s="162">
        <f>PARÂMETROS!$H$3</f>
        <v>40</v>
      </c>
      <c r="AE119" s="163">
        <v>0.14236111111111099</v>
      </c>
      <c r="AF119" s="162">
        <f t="shared" si="35"/>
        <v>136.66666666666654</v>
      </c>
      <c r="AG119" s="168">
        <v>1</v>
      </c>
      <c r="AH119" s="165">
        <f t="shared" si="36"/>
        <v>136.66666666666654</v>
      </c>
      <c r="AI119" s="166">
        <f t="shared" si="37"/>
        <v>2323.4716666666668</v>
      </c>
      <c r="AJ119" s="168"/>
      <c r="AK119" s="23">
        <f t="shared" si="38"/>
        <v>32</v>
      </c>
    </row>
    <row r="120" spans="1:37" ht="24" customHeight="1" thickBot="1" x14ac:dyDescent="0.35">
      <c r="A120" s="152" t="s">
        <v>915</v>
      </c>
      <c r="B120" s="153" t="s">
        <v>258</v>
      </c>
      <c r="C120" s="153" t="s">
        <v>1181</v>
      </c>
      <c r="D120" s="153" t="s">
        <v>1144</v>
      </c>
      <c r="E120" s="154">
        <v>59</v>
      </c>
      <c r="F120" s="155">
        <f>E120*PARÂMETROS!$E$15</f>
        <v>2013.67</v>
      </c>
      <c r="G120" s="156">
        <f t="shared" si="34"/>
        <v>4.4249999999999998</v>
      </c>
      <c r="H120" s="155">
        <f>G120*PARÂMETROS!$E$8</f>
        <v>136.68825000000001</v>
      </c>
      <c r="I120" s="156"/>
      <c r="J120" s="155"/>
      <c r="K120" s="154"/>
      <c r="L120" s="155"/>
      <c r="M120" s="156"/>
      <c r="N120" s="157"/>
      <c r="R120" s="158" t="s">
        <v>915</v>
      </c>
      <c r="S120" s="158" t="s">
        <v>258</v>
      </c>
      <c r="T120" s="159">
        <f t="shared" si="33"/>
        <v>2150.3582500000002</v>
      </c>
      <c r="V120" s="158"/>
      <c r="W120" s="158"/>
      <c r="X120" s="158"/>
      <c r="Y120" s="56"/>
      <c r="Z120" s="56"/>
      <c r="AA120" s="167" t="s">
        <v>915</v>
      </c>
      <c r="AB120" s="167" t="s">
        <v>258</v>
      </c>
      <c r="AC120" s="161">
        <f t="shared" si="22"/>
        <v>2150.3582500000002</v>
      </c>
      <c r="AD120" s="162">
        <f>PARÂMETROS!$H$3</f>
        <v>40</v>
      </c>
      <c r="AE120" s="163">
        <v>0.14236111111111099</v>
      </c>
      <c r="AF120" s="162">
        <f t="shared" si="35"/>
        <v>136.66666666666654</v>
      </c>
      <c r="AG120" s="168">
        <v>1</v>
      </c>
      <c r="AH120" s="165">
        <f t="shared" si="36"/>
        <v>136.66666666666654</v>
      </c>
      <c r="AI120" s="166">
        <f t="shared" si="37"/>
        <v>2287.0249166666667</v>
      </c>
      <c r="AJ120" s="168"/>
      <c r="AK120" s="23">
        <f t="shared" si="38"/>
        <v>34</v>
      </c>
    </row>
    <row r="121" spans="1:37" ht="24" customHeight="1" thickBot="1" x14ac:dyDescent="0.35">
      <c r="A121" s="152" t="s">
        <v>915</v>
      </c>
      <c r="B121" s="153" t="s">
        <v>262</v>
      </c>
      <c r="C121" s="153" t="s">
        <v>1181</v>
      </c>
      <c r="D121" s="153" t="s">
        <v>1144</v>
      </c>
      <c r="E121" s="154">
        <v>54</v>
      </c>
      <c r="F121" s="155">
        <f>E121*PARÂMETROS!$E$15</f>
        <v>1843.0200000000002</v>
      </c>
      <c r="G121" s="156">
        <f t="shared" si="34"/>
        <v>4.05</v>
      </c>
      <c r="H121" s="155">
        <f>G121*PARÂMETROS!$E$8</f>
        <v>125.1045</v>
      </c>
      <c r="I121" s="156"/>
      <c r="J121" s="155"/>
      <c r="K121" s="154"/>
      <c r="L121" s="155"/>
      <c r="M121" s="156"/>
      <c r="N121" s="157"/>
      <c r="R121" s="158" t="s">
        <v>915</v>
      </c>
      <c r="S121" s="158" t="s">
        <v>262</v>
      </c>
      <c r="T121" s="159">
        <f t="shared" si="33"/>
        <v>1968.1245000000001</v>
      </c>
      <c r="V121" s="158"/>
      <c r="W121" s="158"/>
      <c r="X121" s="158"/>
      <c r="Y121" s="56"/>
      <c r="Z121" s="56"/>
      <c r="AA121" s="167" t="s">
        <v>915</v>
      </c>
      <c r="AB121" s="167" t="s">
        <v>262</v>
      </c>
      <c r="AC121" s="161">
        <f t="shared" ref="AC121:AC141" si="39">T121</f>
        <v>1968.1245000000001</v>
      </c>
      <c r="AD121" s="162">
        <f>PARÂMETROS!$H$3</f>
        <v>40</v>
      </c>
      <c r="AE121" s="163">
        <v>0.14236111111111099</v>
      </c>
      <c r="AF121" s="162">
        <f t="shared" si="35"/>
        <v>136.66666666666654</v>
      </c>
      <c r="AG121" s="168">
        <v>1</v>
      </c>
      <c r="AH121" s="165">
        <f t="shared" si="36"/>
        <v>136.66666666666654</v>
      </c>
      <c r="AI121" s="166">
        <f t="shared" si="37"/>
        <v>2104.7911666666669</v>
      </c>
      <c r="AJ121" s="168"/>
      <c r="AK121" s="23">
        <f t="shared" si="38"/>
        <v>36</v>
      </c>
    </row>
    <row r="122" spans="1:37" ht="24" customHeight="1" thickBot="1" x14ac:dyDescent="0.35">
      <c r="A122" s="152" t="s">
        <v>915</v>
      </c>
      <c r="B122" s="153" t="s">
        <v>266</v>
      </c>
      <c r="C122" s="153" t="s">
        <v>1181</v>
      </c>
      <c r="D122" s="153" t="s">
        <v>1144</v>
      </c>
      <c r="E122" s="154">
        <v>60</v>
      </c>
      <c r="F122" s="155">
        <f>E122*PARÂMETROS!$E$15</f>
        <v>2047.8000000000002</v>
      </c>
      <c r="G122" s="156">
        <f t="shared" si="34"/>
        <v>4.5</v>
      </c>
      <c r="H122" s="155">
        <f>G122*PARÂMETROS!$E$8</f>
        <v>139.005</v>
      </c>
      <c r="I122" s="156"/>
      <c r="J122" s="155"/>
      <c r="K122" s="154"/>
      <c r="L122" s="155"/>
      <c r="M122" s="156"/>
      <c r="N122" s="157"/>
      <c r="R122" s="158" t="s">
        <v>915</v>
      </c>
      <c r="S122" s="158" t="s">
        <v>266</v>
      </c>
      <c r="T122" s="159">
        <f t="shared" si="33"/>
        <v>2186.8050000000003</v>
      </c>
      <c r="V122" s="158"/>
      <c r="W122" s="158"/>
      <c r="X122" s="158"/>
      <c r="Y122" s="56"/>
      <c r="Z122" s="56"/>
      <c r="AA122" s="167" t="s">
        <v>915</v>
      </c>
      <c r="AB122" s="167" t="s">
        <v>266</v>
      </c>
      <c r="AC122" s="161">
        <f t="shared" si="39"/>
        <v>2186.8050000000003</v>
      </c>
      <c r="AD122" s="162">
        <f>PARÂMETROS!$H$3</f>
        <v>40</v>
      </c>
      <c r="AE122" s="163">
        <v>0.14236111111111099</v>
      </c>
      <c r="AF122" s="162">
        <f t="shared" si="35"/>
        <v>136.66666666666654</v>
      </c>
      <c r="AG122" s="168">
        <v>1</v>
      </c>
      <c r="AH122" s="165">
        <f t="shared" si="36"/>
        <v>136.66666666666654</v>
      </c>
      <c r="AI122" s="166">
        <f t="shared" si="37"/>
        <v>2323.4716666666668</v>
      </c>
      <c r="AJ122" s="168"/>
      <c r="AK122" s="23">
        <f t="shared" si="38"/>
        <v>38</v>
      </c>
    </row>
    <row r="123" spans="1:37" ht="24" customHeight="1" thickBot="1" x14ac:dyDescent="0.35">
      <c r="A123" s="152" t="s">
        <v>915</v>
      </c>
      <c r="B123" s="153" t="s">
        <v>1201</v>
      </c>
      <c r="C123" s="153" t="s">
        <v>1181</v>
      </c>
      <c r="D123" s="153" t="s">
        <v>1144</v>
      </c>
      <c r="E123" s="154">
        <v>59</v>
      </c>
      <c r="F123" s="155">
        <f>E123*PARÂMETROS!$E$15</f>
        <v>2013.67</v>
      </c>
      <c r="G123" s="156">
        <f t="shared" si="34"/>
        <v>4.4249999999999998</v>
      </c>
      <c r="H123" s="155">
        <f>G123*PARÂMETROS!$E$8</f>
        <v>136.68825000000001</v>
      </c>
      <c r="I123" s="156"/>
      <c r="J123" s="155"/>
      <c r="K123" s="154"/>
      <c r="L123" s="155"/>
      <c r="M123" s="156"/>
      <c r="N123" s="157"/>
      <c r="R123" s="158" t="s">
        <v>915</v>
      </c>
      <c r="S123" s="158" t="s">
        <v>1201</v>
      </c>
      <c r="T123" s="159">
        <f t="shared" si="33"/>
        <v>2150.3582500000002</v>
      </c>
      <c r="V123" s="158"/>
      <c r="W123" s="158"/>
      <c r="X123" s="158"/>
      <c r="Y123" s="56"/>
      <c r="Z123" s="56"/>
      <c r="AA123" s="167" t="s">
        <v>915</v>
      </c>
      <c r="AB123" s="167" t="s">
        <v>1201</v>
      </c>
      <c r="AC123" s="161">
        <f t="shared" si="39"/>
        <v>2150.3582500000002</v>
      </c>
      <c r="AD123" s="162">
        <f>PARÂMETROS!$H$3</f>
        <v>40</v>
      </c>
      <c r="AE123" s="163">
        <v>0.14236111111111099</v>
      </c>
      <c r="AF123" s="162">
        <f t="shared" si="35"/>
        <v>136.66666666666654</v>
      </c>
      <c r="AG123" s="168">
        <v>1</v>
      </c>
      <c r="AH123" s="165">
        <f t="shared" si="36"/>
        <v>136.66666666666654</v>
      </c>
      <c r="AI123" s="166">
        <f t="shared" si="37"/>
        <v>2287.0249166666667</v>
      </c>
      <c r="AJ123" s="168">
        <v>1</v>
      </c>
      <c r="AK123" s="23">
        <f t="shared" si="38"/>
        <v>40</v>
      </c>
    </row>
    <row r="124" spans="1:37" ht="24" customHeight="1" thickBot="1" x14ac:dyDescent="0.35">
      <c r="A124" s="152" t="s">
        <v>915</v>
      </c>
      <c r="B124" s="153" t="s">
        <v>1202</v>
      </c>
      <c r="C124" s="153" t="s">
        <v>1181</v>
      </c>
      <c r="D124" s="153" t="s">
        <v>1144</v>
      </c>
      <c r="E124" s="154">
        <v>54</v>
      </c>
      <c r="F124" s="155">
        <f>E124*PARÂMETROS!$E$15</f>
        <v>1843.0200000000002</v>
      </c>
      <c r="G124" s="156">
        <f t="shared" si="34"/>
        <v>4.05</v>
      </c>
      <c r="H124" s="155">
        <f>G124*PARÂMETROS!$E$8</f>
        <v>125.1045</v>
      </c>
      <c r="I124" s="156"/>
      <c r="J124" s="155"/>
      <c r="K124" s="154"/>
      <c r="L124" s="155"/>
      <c r="M124" s="156"/>
      <c r="N124" s="157"/>
      <c r="R124" s="158" t="s">
        <v>915</v>
      </c>
      <c r="S124" s="158" t="s">
        <v>1202</v>
      </c>
      <c r="T124" s="159">
        <f t="shared" si="33"/>
        <v>1968.1245000000001</v>
      </c>
      <c r="V124" s="158"/>
      <c r="W124" s="158"/>
      <c r="X124" s="158"/>
      <c r="Y124" s="56"/>
      <c r="Z124" s="56"/>
      <c r="AA124" s="167" t="s">
        <v>915</v>
      </c>
      <c r="AB124" s="167" t="s">
        <v>1202</v>
      </c>
      <c r="AC124" s="161">
        <f t="shared" si="39"/>
        <v>1968.1245000000001</v>
      </c>
      <c r="AD124" s="162">
        <f>PARÂMETROS!$H$3</f>
        <v>40</v>
      </c>
      <c r="AE124" s="163">
        <v>0.14236111111111099</v>
      </c>
      <c r="AF124" s="162">
        <f t="shared" si="35"/>
        <v>136.66666666666654</v>
      </c>
      <c r="AG124" s="168">
        <v>1</v>
      </c>
      <c r="AH124" s="165">
        <f t="shared" si="36"/>
        <v>136.66666666666654</v>
      </c>
      <c r="AI124" s="166">
        <f t="shared" si="37"/>
        <v>2104.7911666666669</v>
      </c>
      <c r="AJ124" s="168">
        <v>1</v>
      </c>
      <c r="AK124" s="23">
        <f t="shared" si="38"/>
        <v>42</v>
      </c>
    </row>
    <row r="125" spans="1:37" ht="24" customHeight="1" thickBot="1" x14ac:dyDescent="0.35">
      <c r="A125" s="152" t="s">
        <v>915</v>
      </c>
      <c r="B125" s="153" t="s">
        <v>1203</v>
      </c>
      <c r="C125" s="153" t="s">
        <v>1181</v>
      </c>
      <c r="D125" s="153" t="s">
        <v>1144</v>
      </c>
      <c r="E125" s="154">
        <v>62</v>
      </c>
      <c r="F125" s="155">
        <f>E125*PARÂMETROS!$E$15</f>
        <v>2116.06</v>
      </c>
      <c r="G125" s="156">
        <f t="shared" si="34"/>
        <v>4.6499999999999995</v>
      </c>
      <c r="H125" s="155">
        <f>G125*PARÂMETROS!$E$8</f>
        <v>143.63849999999999</v>
      </c>
      <c r="I125" s="156"/>
      <c r="J125" s="155"/>
      <c r="K125" s="154"/>
      <c r="L125" s="155"/>
      <c r="M125" s="156"/>
      <c r="N125" s="157"/>
      <c r="R125" s="158" t="s">
        <v>915</v>
      </c>
      <c r="S125" s="158" t="s">
        <v>1203</v>
      </c>
      <c r="T125" s="159">
        <f t="shared" si="33"/>
        <v>2259.6985</v>
      </c>
      <c r="V125" s="158"/>
      <c r="W125" s="158"/>
      <c r="X125" s="158"/>
      <c r="Y125" s="56"/>
      <c r="Z125" s="56"/>
      <c r="AA125" s="167" t="s">
        <v>915</v>
      </c>
      <c r="AB125" s="167" t="s">
        <v>1203</v>
      </c>
      <c r="AC125" s="161">
        <f t="shared" si="39"/>
        <v>2259.6985</v>
      </c>
      <c r="AD125" s="162">
        <f>PARÂMETROS!$H$3</f>
        <v>40</v>
      </c>
      <c r="AE125" s="163">
        <v>0.14236111111111099</v>
      </c>
      <c r="AF125" s="162">
        <f t="shared" si="35"/>
        <v>136.66666666666654</v>
      </c>
      <c r="AG125" s="168">
        <v>1</v>
      </c>
      <c r="AH125" s="165">
        <f t="shared" si="36"/>
        <v>136.66666666666654</v>
      </c>
      <c r="AI125" s="166">
        <f t="shared" si="37"/>
        <v>2396.3651666666665</v>
      </c>
      <c r="AJ125" s="168"/>
      <c r="AK125" s="23">
        <f t="shared" si="38"/>
        <v>46</v>
      </c>
    </row>
    <row r="126" spans="1:37" ht="24" customHeight="1" thickBot="1" x14ac:dyDescent="0.35">
      <c r="A126" s="152" t="s">
        <v>1204</v>
      </c>
      <c r="B126" s="153">
        <v>2.5</v>
      </c>
      <c r="C126" s="153" t="s">
        <v>1181</v>
      </c>
      <c r="D126" s="153" t="s">
        <v>1123</v>
      </c>
      <c r="E126" s="154">
        <v>3.5999999999999997E-2</v>
      </c>
      <c r="F126" s="155">
        <f>E126*PARÂMETROS!$E$6</f>
        <v>1.4374799999999999</v>
      </c>
      <c r="G126" s="156">
        <f t="shared" si="34"/>
        <v>2.6999999999999997E-3</v>
      </c>
      <c r="H126" s="155">
        <f>G126*PARÂMETROS!$E$8</f>
        <v>8.3402999999999991E-2</v>
      </c>
      <c r="I126" s="156"/>
      <c r="J126" s="155"/>
      <c r="K126" s="154"/>
      <c r="L126" s="155"/>
      <c r="M126" s="156"/>
      <c r="N126" s="157"/>
      <c r="R126" s="158" t="s">
        <v>1204</v>
      </c>
      <c r="S126" s="158">
        <v>2.5</v>
      </c>
      <c r="T126" s="159">
        <f t="shared" si="33"/>
        <v>1.5208829999999998</v>
      </c>
      <c r="V126" s="158"/>
      <c r="W126" s="158"/>
      <c r="X126" s="158"/>
      <c r="Y126" s="56"/>
      <c r="Z126" s="56"/>
      <c r="AA126" s="167" t="s">
        <v>1204</v>
      </c>
      <c r="AB126" s="167">
        <v>2.5</v>
      </c>
      <c r="AC126" s="161">
        <f t="shared" si="39"/>
        <v>1.5208829999999998</v>
      </c>
      <c r="AD126" s="162">
        <f>PARÂMETROS!$H$3</f>
        <v>40</v>
      </c>
      <c r="AE126" s="163">
        <v>0.14236111111111099</v>
      </c>
      <c r="AF126" s="162">
        <f t="shared" si="35"/>
        <v>136.66666666666654</v>
      </c>
      <c r="AG126" s="168">
        <v>1</v>
      </c>
      <c r="AH126" s="165">
        <f t="shared" si="36"/>
        <v>136.66666666666654</v>
      </c>
      <c r="AI126" s="166">
        <f t="shared" si="37"/>
        <v>138.18754966666654</v>
      </c>
      <c r="AJ126" s="168">
        <v>1</v>
      </c>
      <c r="AK126" s="23">
        <f t="shared" si="38"/>
        <v>2.5</v>
      </c>
    </row>
    <row r="127" spans="1:37" ht="24" customHeight="1" thickBot="1" x14ac:dyDescent="0.35">
      <c r="A127" s="152" t="s">
        <v>1204</v>
      </c>
      <c r="B127" s="153">
        <v>4</v>
      </c>
      <c r="C127" s="153" t="s">
        <v>1181</v>
      </c>
      <c r="D127" s="153" t="s">
        <v>1123</v>
      </c>
      <c r="E127" s="154">
        <v>0.122</v>
      </c>
      <c r="F127" s="155">
        <f>E127*PARÂMETROS!$E$6</f>
        <v>4.8714599999999999</v>
      </c>
      <c r="G127" s="156">
        <f t="shared" si="34"/>
        <v>9.1500000000000001E-3</v>
      </c>
      <c r="H127" s="155">
        <f>G127*PARÂMETROS!$E$8</f>
        <v>0.28264349999999999</v>
      </c>
      <c r="I127" s="156"/>
      <c r="J127" s="155"/>
      <c r="K127" s="154"/>
      <c r="L127" s="155"/>
      <c r="M127" s="156"/>
      <c r="N127" s="157"/>
      <c r="R127" s="158" t="s">
        <v>1204</v>
      </c>
      <c r="S127" s="158">
        <v>4</v>
      </c>
      <c r="T127" s="159">
        <f t="shared" si="33"/>
        <v>5.1541034999999997</v>
      </c>
      <c r="V127" s="158"/>
      <c r="W127" s="158"/>
      <c r="X127" s="158"/>
      <c r="Y127" s="56"/>
      <c r="Z127" s="56"/>
      <c r="AA127" s="167" t="s">
        <v>1204</v>
      </c>
      <c r="AB127" s="167">
        <v>4</v>
      </c>
      <c r="AC127" s="161">
        <f t="shared" si="39"/>
        <v>5.1541034999999997</v>
      </c>
      <c r="AD127" s="162">
        <f>PARÂMETROS!$H$3</f>
        <v>40</v>
      </c>
      <c r="AE127" s="163">
        <v>0.14236111111111099</v>
      </c>
      <c r="AF127" s="162">
        <f t="shared" si="35"/>
        <v>136.66666666666654</v>
      </c>
      <c r="AG127" s="168">
        <v>1</v>
      </c>
      <c r="AH127" s="165">
        <f t="shared" si="36"/>
        <v>136.66666666666654</v>
      </c>
      <c r="AI127" s="166">
        <f t="shared" si="37"/>
        <v>141.82077016666653</v>
      </c>
      <c r="AJ127" s="168">
        <v>1</v>
      </c>
      <c r="AK127" s="23">
        <f t="shared" si="38"/>
        <v>4</v>
      </c>
    </row>
    <row r="128" spans="1:37" ht="24" customHeight="1" thickBot="1" x14ac:dyDescent="0.35">
      <c r="A128" s="152" t="s">
        <v>1204</v>
      </c>
      <c r="B128" s="153">
        <v>6</v>
      </c>
      <c r="C128" s="153" t="s">
        <v>1181</v>
      </c>
      <c r="D128" s="153" t="s">
        <v>1123</v>
      </c>
      <c r="E128" s="154">
        <v>0.4</v>
      </c>
      <c r="F128" s="155">
        <f>E128*PARÂMETROS!$E$6</f>
        <v>15.972000000000001</v>
      </c>
      <c r="G128" s="156">
        <f t="shared" si="34"/>
        <v>0.03</v>
      </c>
      <c r="H128" s="155">
        <f>G128*PARÂMETROS!$E$8</f>
        <v>0.92669999999999997</v>
      </c>
      <c r="I128" s="156"/>
      <c r="J128" s="155"/>
      <c r="K128" s="154"/>
      <c r="L128" s="155"/>
      <c r="M128" s="156"/>
      <c r="N128" s="157"/>
      <c r="R128" s="158" t="s">
        <v>1204</v>
      </c>
      <c r="S128" s="158">
        <v>6</v>
      </c>
      <c r="T128" s="159">
        <f t="shared" si="33"/>
        <v>16.898700000000002</v>
      </c>
      <c r="V128" s="158"/>
      <c r="W128" s="158"/>
      <c r="X128" s="158"/>
      <c r="Y128" s="56"/>
      <c r="Z128" s="56"/>
      <c r="AA128" s="167" t="s">
        <v>1204</v>
      </c>
      <c r="AB128" s="167">
        <v>6</v>
      </c>
      <c r="AC128" s="161">
        <f t="shared" si="39"/>
        <v>16.898700000000002</v>
      </c>
      <c r="AD128" s="162">
        <f>PARÂMETROS!$H$3</f>
        <v>40</v>
      </c>
      <c r="AE128" s="163">
        <v>0.14236111111111099</v>
      </c>
      <c r="AF128" s="162">
        <f t="shared" si="35"/>
        <v>136.66666666666654</v>
      </c>
      <c r="AG128" s="168">
        <v>1</v>
      </c>
      <c r="AH128" s="165">
        <f t="shared" si="36"/>
        <v>136.66666666666654</v>
      </c>
      <c r="AI128" s="166">
        <f t="shared" si="37"/>
        <v>153.56536666666653</v>
      </c>
      <c r="AJ128" s="168">
        <v>1</v>
      </c>
      <c r="AK128" s="23">
        <f t="shared" si="38"/>
        <v>6</v>
      </c>
    </row>
    <row r="129" spans="1:37" ht="24" customHeight="1" thickBot="1" x14ac:dyDescent="0.35">
      <c r="A129" s="152" t="s">
        <v>1204</v>
      </c>
      <c r="B129" s="153">
        <v>7</v>
      </c>
      <c r="C129" s="153" t="s">
        <v>1181</v>
      </c>
      <c r="D129" s="153" t="s">
        <v>1123</v>
      </c>
      <c r="E129" s="154">
        <v>0.53200000000000003</v>
      </c>
      <c r="F129" s="155">
        <f>E129*PARÂMETROS!$E$6</f>
        <v>21.242760000000001</v>
      </c>
      <c r="G129" s="156">
        <f t="shared" si="34"/>
        <v>3.9899999999999998E-2</v>
      </c>
      <c r="H129" s="155">
        <f>G129*PARÂMETROS!$E$8</f>
        <v>1.2325109999999999</v>
      </c>
      <c r="I129" s="156"/>
      <c r="J129" s="155"/>
      <c r="K129" s="154"/>
      <c r="L129" s="155"/>
      <c r="M129" s="156"/>
      <c r="N129" s="157"/>
      <c r="R129" s="158" t="s">
        <v>1204</v>
      </c>
      <c r="S129" s="158">
        <v>7</v>
      </c>
      <c r="T129" s="159">
        <f t="shared" si="33"/>
        <v>22.475270999999999</v>
      </c>
      <c r="V129" s="158"/>
      <c r="W129" s="158"/>
      <c r="X129" s="158"/>
      <c r="Y129" s="56"/>
      <c r="Z129" s="56"/>
      <c r="AA129" s="167" t="s">
        <v>1204</v>
      </c>
      <c r="AB129" s="167">
        <v>7</v>
      </c>
      <c r="AC129" s="161">
        <f t="shared" si="39"/>
        <v>22.475270999999999</v>
      </c>
      <c r="AD129" s="162">
        <f>PARÂMETROS!$H$3</f>
        <v>40</v>
      </c>
      <c r="AE129" s="163">
        <v>0.14236111111111099</v>
      </c>
      <c r="AF129" s="162">
        <f t="shared" si="35"/>
        <v>136.66666666666654</v>
      </c>
      <c r="AG129" s="168">
        <v>1</v>
      </c>
      <c r="AH129" s="165">
        <f t="shared" si="36"/>
        <v>136.66666666666654</v>
      </c>
      <c r="AI129" s="166">
        <f t="shared" si="37"/>
        <v>159.14193766666654</v>
      </c>
      <c r="AJ129" s="168">
        <v>1</v>
      </c>
      <c r="AK129" s="23">
        <f t="shared" si="38"/>
        <v>7</v>
      </c>
    </row>
    <row r="130" spans="1:37" ht="24" customHeight="1" thickBot="1" x14ac:dyDescent="0.35">
      <c r="A130" s="152" t="s">
        <v>1204</v>
      </c>
      <c r="B130" s="153">
        <v>8</v>
      </c>
      <c r="C130" s="153" t="s">
        <v>1181</v>
      </c>
      <c r="D130" s="153" t="s">
        <v>1123</v>
      </c>
      <c r="E130" s="154">
        <v>0.81</v>
      </c>
      <c r="F130" s="155">
        <f>E130*PARÂMETROS!$E$6</f>
        <v>32.343299999999999</v>
      </c>
      <c r="G130" s="156">
        <f t="shared" si="34"/>
        <v>6.0749999999999998E-2</v>
      </c>
      <c r="H130" s="155">
        <f>G130*PARÂMETROS!$E$8</f>
        <v>1.8765674999999999</v>
      </c>
      <c r="I130" s="156"/>
      <c r="J130" s="155"/>
      <c r="K130" s="154"/>
      <c r="L130" s="155"/>
      <c r="M130" s="156"/>
      <c r="N130" s="157"/>
      <c r="R130" s="158" t="s">
        <v>1204</v>
      </c>
      <c r="S130" s="158">
        <v>8</v>
      </c>
      <c r="T130" s="159">
        <f t="shared" si="33"/>
        <v>34.219867499999999</v>
      </c>
      <c r="V130" s="158"/>
      <c r="W130" s="158"/>
      <c r="X130" s="158"/>
      <c r="Y130" s="56"/>
      <c r="Z130" s="56"/>
      <c r="AA130" s="167" t="s">
        <v>1204</v>
      </c>
      <c r="AB130" s="167">
        <v>8</v>
      </c>
      <c r="AC130" s="161">
        <f t="shared" si="39"/>
        <v>34.219867499999999</v>
      </c>
      <c r="AD130" s="162">
        <f>PARÂMETROS!$H$3</f>
        <v>40</v>
      </c>
      <c r="AE130" s="163">
        <v>0.14236111111111099</v>
      </c>
      <c r="AF130" s="162">
        <f t="shared" si="35"/>
        <v>136.66666666666654</v>
      </c>
      <c r="AG130" s="168">
        <v>1</v>
      </c>
      <c r="AH130" s="165">
        <f t="shared" si="36"/>
        <v>136.66666666666654</v>
      </c>
      <c r="AI130" s="166">
        <f t="shared" si="37"/>
        <v>170.88653416666654</v>
      </c>
      <c r="AJ130" s="168">
        <v>1</v>
      </c>
      <c r="AK130" s="23">
        <f t="shared" si="38"/>
        <v>8</v>
      </c>
    </row>
    <row r="131" spans="1:37" ht="24" customHeight="1" thickBot="1" x14ac:dyDescent="0.35">
      <c r="A131" s="152" t="s">
        <v>1204</v>
      </c>
      <c r="B131" s="153">
        <v>9</v>
      </c>
      <c r="C131" s="153" t="s">
        <v>1181</v>
      </c>
      <c r="D131" s="153" t="s">
        <v>1123</v>
      </c>
      <c r="E131" s="154">
        <v>1.3</v>
      </c>
      <c r="F131" s="155">
        <f>E131*PARÂMETROS!$E$6</f>
        <v>51.908999999999999</v>
      </c>
      <c r="G131" s="156">
        <f t="shared" si="34"/>
        <v>9.7500000000000003E-2</v>
      </c>
      <c r="H131" s="155">
        <f>G131*PARÂMETROS!$E$8</f>
        <v>3.0117750000000001</v>
      </c>
      <c r="I131" s="156"/>
      <c r="J131" s="155"/>
      <c r="K131" s="154"/>
      <c r="L131" s="155"/>
      <c r="M131" s="156"/>
      <c r="N131" s="157"/>
      <c r="R131" s="158" t="s">
        <v>1204</v>
      </c>
      <c r="S131" s="158">
        <v>9</v>
      </c>
      <c r="T131" s="159">
        <f t="shared" si="33"/>
        <v>54.920774999999999</v>
      </c>
      <c r="V131" s="158"/>
      <c r="W131" s="158"/>
      <c r="X131" s="158"/>
      <c r="Y131" s="56"/>
      <c r="Z131" s="56"/>
      <c r="AA131" s="167" t="s">
        <v>1204</v>
      </c>
      <c r="AB131" s="167">
        <v>9</v>
      </c>
      <c r="AC131" s="161">
        <f t="shared" si="39"/>
        <v>54.920774999999999</v>
      </c>
      <c r="AD131" s="162">
        <f>PARÂMETROS!$H$3</f>
        <v>40</v>
      </c>
      <c r="AE131" s="163">
        <v>0.14236111111111099</v>
      </c>
      <c r="AF131" s="162">
        <f t="shared" si="35"/>
        <v>136.66666666666654</v>
      </c>
      <c r="AG131" s="168">
        <v>1</v>
      </c>
      <c r="AH131" s="165">
        <f t="shared" si="36"/>
        <v>136.66666666666654</v>
      </c>
      <c r="AI131" s="166">
        <f t="shared" si="37"/>
        <v>191.58744166666654</v>
      </c>
      <c r="AJ131" s="168">
        <v>1</v>
      </c>
      <c r="AK131" s="23">
        <f t="shared" si="38"/>
        <v>9</v>
      </c>
    </row>
    <row r="132" spans="1:37" ht="24" customHeight="1" thickBot="1" x14ac:dyDescent="0.35">
      <c r="A132" s="152" t="s">
        <v>1204</v>
      </c>
      <c r="B132" s="153">
        <v>10</v>
      </c>
      <c r="C132" s="153" t="s">
        <v>1181</v>
      </c>
      <c r="D132" s="153" t="s">
        <v>1123</v>
      </c>
      <c r="E132" s="154">
        <v>2.0499999999999998</v>
      </c>
      <c r="F132" s="155">
        <f>E132*PARÂMETROS!$E$6</f>
        <v>81.856499999999997</v>
      </c>
      <c r="G132" s="156">
        <f t="shared" si="34"/>
        <v>0.15374999999999997</v>
      </c>
      <c r="H132" s="155">
        <f>G132*PARÂMETROS!$E$8</f>
        <v>4.7493374999999993</v>
      </c>
      <c r="I132" s="156"/>
      <c r="J132" s="155"/>
      <c r="K132" s="154"/>
      <c r="L132" s="155"/>
      <c r="M132" s="156"/>
      <c r="N132" s="157"/>
      <c r="R132" s="158" t="s">
        <v>1204</v>
      </c>
      <c r="S132" s="158">
        <v>10</v>
      </c>
      <c r="T132" s="159">
        <f t="shared" si="33"/>
        <v>86.605837499999993</v>
      </c>
      <c r="V132" s="158"/>
      <c r="W132" s="158"/>
      <c r="X132" s="158"/>
      <c r="Y132" s="56"/>
      <c r="Z132" s="56"/>
      <c r="AA132" s="167" t="s">
        <v>1204</v>
      </c>
      <c r="AB132" s="167">
        <v>10</v>
      </c>
      <c r="AC132" s="161">
        <f t="shared" si="39"/>
        <v>86.605837499999993</v>
      </c>
      <c r="AD132" s="162">
        <f>PARÂMETROS!$H$3</f>
        <v>40</v>
      </c>
      <c r="AE132" s="163">
        <v>0.14236111111111099</v>
      </c>
      <c r="AF132" s="162">
        <f t="shared" si="35"/>
        <v>136.66666666666654</v>
      </c>
      <c r="AG132" s="168">
        <v>1</v>
      </c>
      <c r="AH132" s="165">
        <f t="shared" si="36"/>
        <v>136.66666666666654</v>
      </c>
      <c r="AI132" s="166">
        <f t="shared" si="37"/>
        <v>223.27250416666652</v>
      </c>
      <c r="AJ132" s="168">
        <v>1</v>
      </c>
      <c r="AK132" s="23">
        <f t="shared" si="38"/>
        <v>10</v>
      </c>
    </row>
    <row r="133" spans="1:37" ht="24" customHeight="1" thickBot="1" x14ac:dyDescent="0.35">
      <c r="A133" s="152" t="s">
        <v>1204</v>
      </c>
      <c r="B133" s="153">
        <v>12</v>
      </c>
      <c r="C133" s="153" t="s">
        <v>1181</v>
      </c>
      <c r="D133" s="153" t="s">
        <v>1123</v>
      </c>
      <c r="E133" s="154">
        <v>2.8</v>
      </c>
      <c r="F133" s="155">
        <f>E133*PARÂMETROS!$E$6</f>
        <v>111.80399999999999</v>
      </c>
      <c r="G133" s="156">
        <f t="shared" si="34"/>
        <v>0.21</v>
      </c>
      <c r="H133" s="155">
        <f>G133*PARÂMETROS!$E$8</f>
        <v>6.4868999999999994</v>
      </c>
      <c r="I133" s="156"/>
      <c r="J133" s="155"/>
      <c r="K133" s="154"/>
      <c r="L133" s="155"/>
      <c r="M133" s="156"/>
      <c r="N133" s="157"/>
      <c r="R133" s="158" t="s">
        <v>1204</v>
      </c>
      <c r="S133" s="158">
        <v>12</v>
      </c>
      <c r="T133" s="159">
        <f t="shared" si="33"/>
        <v>118.29089999999999</v>
      </c>
      <c r="V133" s="158"/>
      <c r="W133" s="158"/>
      <c r="X133" s="158"/>
      <c r="Y133" s="56"/>
      <c r="Z133" s="56"/>
      <c r="AA133" s="167" t="s">
        <v>1204</v>
      </c>
      <c r="AB133" s="167">
        <v>12</v>
      </c>
      <c r="AC133" s="161">
        <f t="shared" si="39"/>
        <v>118.29089999999999</v>
      </c>
      <c r="AD133" s="162">
        <f>PARÂMETROS!$H$3</f>
        <v>40</v>
      </c>
      <c r="AE133" s="163">
        <v>0.14236111111111099</v>
      </c>
      <c r="AF133" s="162">
        <f t="shared" si="35"/>
        <v>136.66666666666654</v>
      </c>
      <c r="AG133" s="168">
        <v>1</v>
      </c>
      <c r="AH133" s="165">
        <f t="shared" si="36"/>
        <v>136.66666666666654</v>
      </c>
      <c r="AI133" s="166">
        <f t="shared" si="37"/>
        <v>254.95756666666654</v>
      </c>
      <c r="AJ133" s="168">
        <v>1</v>
      </c>
      <c r="AK133" s="23">
        <f t="shared" si="38"/>
        <v>12</v>
      </c>
    </row>
    <row r="134" spans="1:37" ht="24" customHeight="1" thickBot="1" x14ac:dyDescent="0.35">
      <c r="A134" s="152" t="s">
        <v>1204</v>
      </c>
      <c r="B134" s="153">
        <v>14</v>
      </c>
      <c r="C134" s="153" t="s">
        <v>1181</v>
      </c>
      <c r="D134" s="153" t="s">
        <v>1123</v>
      </c>
      <c r="E134" s="154">
        <v>3.1</v>
      </c>
      <c r="F134" s="155">
        <f>E134*PARÂMETROS!$E$6</f>
        <v>123.783</v>
      </c>
      <c r="G134" s="156">
        <f t="shared" si="34"/>
        <v>0.23249999999999998</v>
      </c>
      <c r="H134" s="155">
        <f>G134*PARÂMETROS!$E$8</f>
        <v>7.1819249999999997</v>
      </c>
      <c r="I134" s="156"/>
      <c r="J134" s="155"/>
      <c r="K134" s="154"/>
      <c r="L134" s="155"/>
      <c r="M134" s="156"/>
      <c r="N134" s="157"/>
      <c r="R134" s="158" t="s">
        <v>1204</v>
      </c>
      <c r="S134" s="158">
        <v>14</v>
      </c>
      <c r="T134" s="159">
        <f t="shared" si="33"/>
        <v>130.96492499999999</v>
      </c>
      <c r="V134" s="158"/>
      <c r="W134" s="158"/>
      <c r="X134" s="158"/>
      <c r="Y134" s="56"/>
      <c r="Z134" s="56"/>
      <c r="AA134" s="167" t="s">
        <v>1204</v>
      </c>
      <c r="AB134" s="167">
        <v>14</v>
      </c>
      <c r="AC134" s="161">
        <f t="shared" si="39"/>
        <v>130.96492499999999</v>
      </c>
      <c r="AD134" s="162">
        <f>PARÂMETROS!$H$3</f>
        <v>40</v>
      </c>
      <c r="AE134" s="163">
        <v>0.14236111111111099</v>
      </c>
      <c r="AF134" s="162">
        <f t="shared" si="35"/>
        <v>136.66666666666654</v>
      </c>
      <c r="AG134" s="168">
        <v>1</v>
      </c>
      <c r="AH134" s="165">
        <f t="shared" si="36"/>
        <v>136.66666666666654</v>
      </c>
      <c r="AI134" s="166">
        <f t="shared" si="37"/>
        <v>267.63159166666651</v>
      </c>
      <c r="AJ134" s="168">
        <v>1</v>
      </c>
      <c r="AK134" s="23">
        <f t="shared" si="38"/>
        <v>14</v>
      </c>
    </row>
    <row r="135" spans="1:37" ht="24" customHeight="1" thickBot="1" x14ac:dyDescent="0.35">
      <c r="A135" s="152" t="s">
        <v>1204</v>
      </c>
      <c r="B135" s="153">
        <v>16</v>
      </c>
      <c r="C135" s="153" t="s">
        <v>1181</v>
      </c>
      <c r="D135" s="153" t="s">
        <v>1123</v>
      </c>
      <c r="E135" s="154">
        <v>3.7</v>
      </c>
      <c r="F135" s="155">
        <f>E135*PARÂMETROS!$E$6</f>
        <v>147.74100000000001</v>
      </c>
      <c r="G135" s="156">
        <f t="shared" si="34"/>
        <v>0.27750000000000002</v>
      </c>
      <c r="H135" s="155">
        <f>G135*PARÂMETROS!$E$8</f>
        <v>8.5719750000000001</v>
      </c>
      <c r="I135" s="156"/>
      <c r="J135" s="155"/>
      <c r="K135" s="154"/>
      <c r="L135" s="155"/>
      <c r="M135" s="156"/>
      <c r="N135" s="157"/>
      <c r="R135" s="158" t="s">
        <v>1204</v>
      </c>
      <c r="S135" s="158">
        <v>16</v>
      </c>
      <c r="T135" s="159">
        <f t="shared" si="33"/>
        <v>156.31297500000002</v>
      </c>
      <c r="V135" s="158"/>
      <c r="W135" s="158"/>
      <c r="X135" s="158"/>
      <c r="Y135" s="56"/>
      <c r="Z135" s="56"/>
      <c r="AA135" s="167" t="s">
        <v>1204</v>
      </c>
      <c r="AB135" s="167">
        <v>16</v>
      </c>
      <c r="AC135" s="161">
        <f t="shared" si="39"/>
        <v>156.31297500000002</v>
      </c>
      <c r="AD135" s="162">
        <f>PARÂMETROS!$H$3</f>
        <v>40</v>
      </c>
      <c r="AE135" s="163">
        <v>0.14236111111111099</v>
      </c>
      <c r="AF135" s="162">
        <f t="shared" si="35"/>
        <v>136.66666666666654</v>
      </c>
      <c r="AG135" s="168">
        <v>1</v>
      </c>
      <c r="AH135" s="165">
        <f t="shared" si="36"/>
        <v>136.66666666666654</v>
      </c>
      <c r="AI135" s="166">
        <f t="shared" si="37"/>
        <v>292.97964166666657</v>
      </c>
      <c r="AJ135" s="168">
        <v>1</v>
      </c>
      <c r="AK135" s="23">
        <f t="shared" si="38"/>
        <v>16</v>
      </c>
    </row>
    <row r="136" spans="1:37" ht="24" customHeight="1" thickBot="1" x14ac:dyDescent="0.35">
      <c r="A136" s="152" t="s">
        <v>1204</v>
      </c>
      <c r="B136" s="153">
        <v>18</v>
      </c>
      <c r="C136" s="153" t="s">
        <v>1181</v>
      </c>
      <c r="D136" s="153" t="s">
        <v>1123</v>
      </c>
      <c r="E136" s="154">
        <v>6.5</v>
      </c>
      <c r="F136" s="155">
        <f>E136*PARÂMETROS!$E$6</f>
        <v>259.54500000000002</v>
      </c>
      <c r="G136" s="156">
        <f t="shared" si="34"/>
        <v>0.48749999999999999</v>
      </c>
      <c r="H136" s="155">
        <f>G136*PARÂMETROS!$E$8</f>
        <v>15.058875</v>
      </c>
      <c r="I136" s="156"/>
      <c r="J136" s="155"/>
      <c r="K136" s="154"/>
      <c r="L136" s="155"/>
      <c r="M136" s="156"/>
      <c r="N136" s="157"/>
      <c r="R136" s="158" t="s">
        <v>1204</v>
      </c>
      <c r="S136" s="158">
        <v>18</v>
      </c>
      <c r="T136" s="159">
        <f t="shared" si="33"/>
        <v>274.60387500000002</v>
      </c>
      <c r="V136" s="158"/>
      <c r="W136" s="158"/>
      <c r="X136" s="158"/>
      <c r="Y136" s="56"/>
      <c r="Z136" s="56"/>
      <c r="AA136" s="167" t="s">
        <v>1204</v>
      </c>
      <c r="AB136" s="167">
        <v>18</v>
      </c>
      <c r="AC136" s="161">
        <f t="shared" si="39"/>
        <v>274.60387500000002</v>
      </c>
      <c r="AD136" s="162">
        <f>PARÂMETROS!$H$3</f>
        <v>40</v>
      </c>
      <c r="AE136" s="163">
        <v>0.14236111111111099</v>
      </c>
      <c r="AF136" s="162">
        <f t="shared" si="35"/>
        <v>136.66666666666654</v>
      </c>
      <c r="AG136" s="168">
        <v>1</v>
      </c>
      <c r="AH136" s="165">
        <f t="shared" si="36"/>
        <v>136.66666666666654</v>
      </c>
      <c r="AI136" s="166">
        <f t="shared" si="37"/>
        <v>411.27054166666653</v>
      </c>
      <c r="AJ136" s="168">
        <v>1</v>
      </c>
      <c r="AK136" s="23">
        <f t="shared" si="38"/>
        <v>18</v>
      </c>
    </row>
    <row r="137" spans="1:37" ht="24" customHeight="1" thickBot="1" x14ac:dyDescent="0.35">
      <c r="A137" s="152" t="s">
        <v>1204</v>
      </c>
      <c r="B137" s="153">
        <v>20</v>
      </c>
      <c r="C137" s="153" t="s">
        <v>1181</v>
      </c>
      <c r="D137" s="153" t="s">
        <v>1123</v>
      </c>
      <c r="E137" s="154">
        <v>8</v>
      </c>
      <c r="F137" s="155">
        <f>E137*PARÂMETROS!$E$6</f>
        <v>319.44</v>
      </c>
      <c r="G137" s="156">
        <f t="shared" si="34"/>
        <v>0.6</v>
      </c>
      <c r="H137" s="155">
        <f>G137*PARÂMETROS!$E$8</f>
        <v>18.533999999999999</v>
      </c>
      <c r="I137" s="156"/>
      <c r="J137" s="155"/>
      <c r="K137" s="154"/>
      <c r="L137" s="155"/>
      <c r="M137" s="156"/>
      <c r="N137" s="157"/>
      <c r="R137" s="158" t="s">
        <v>1204</v>
      </c>
      <c r="S137" s="158">
        <v>20</v>
      </c>
      <c r="T137" s="159">
        <f t="shared" si="33"/>
        <v>337.97399999999999</v>
      </c>
      <c r="V137" s="158"/>
      <c r="W137" s="158"/>
      <c r="X137" s="158"/>
      <c r="Y137" s="56"/>
      <c r="Z137" s="56"/>
      <c r="AA137" s="167" t="s">
        <v>1204</v>
      </c>
      <c r="AB137" s="167">
        <v>20</v>
      </c>
      <c r="AC137" s="161">
        <f t="shared" si="39"/>
        <v>337.97399999999999</v>
      </c>
      <c r="AD137" s="162">
        <f>PARÂMETROS!$H$3</f>
        <v>40</v>
      </c>
      <c r="AE137" s="163">
        <v>0.14236111111111099</v>
      </c>
      <c r="AF137" s="162">
        <f t="shared" si="35"/>
        <v>136.66666666666654</v>
      </c>
      <c r="AG137" s="168">
        <v>1</v>
      </c>
      <c r="AH137" s="165">
        <f t="shared" si="36"/>
        <v>136.66666666666654</v>
      </c>
      <c r="AI137" s="166">
        <f t="shared" si="37"/>
        <v>474.64066666666656</v>
      </c>
      <c r="AJ137" s="168">
        <v>1</v>
      </c>
      <c r="AK137" s="23">
        <f t="shared" si="38"/>
        <v>20</v>
      </c>
    </row>
    <row r="138" spans="1:37" ht="24" customHeight="1" thickBot="1" x14ac:dyDescent="0.35">
      <c r="A138" s="152" t="s">
        <v>1204</v>
      </c>
      <c r="B138" s="153">
        <v>22</v>
      </c>
      <c r="C138" s="153" t="s">
        <v>1181</v>
      </c>
      <c r="D138" s="153" t="s">
        <v>1123</v>
      </c>
      <c r="E138" s="154">
        <v>10</v>
      </c>
      <c r="F138" s="155">
        <f>E138*PARÂMETROS!$E$6</f>
        <v>399.3</v>
      </c>
      <c r="G138" s="156">
        <f t="shared" si="34"/>
        <v>0.75</v>
      </c>
      <c r="H138" s="155">
        <f>G138*PARÂMETROS!$E$8</f>
        <v>23.1675</v>
      </c>
      <c r="I138" s="156"/>
      <c r="J138" s="155"/>
      <c r="K138" s="154"/>
      <c r="L138" s="155"/>
      <c r="M138" s="156"/>
      <c r="N138" s="157"/>
      <c r="R138" s="158" t="s">
        <v>1204</v>
      </c>
      <c r="S138" s="158">
        <v>22</v>
      </c>
      <c r="T138" s="159">
        <f t="shared" si="33"/>
        <v>422.46750000000003</v>
      </c>
      <c r="V138" s="158"/>
      <c r="W138" s="158"/>
      <c r="X138" s="158"/>
      <c r="Y138" s="56"/>
      <c r="Z138" s="56"/>
      <c r="AA138" s="167" t="s">
        <v>1204</v>
      </c>
      <c r="AB138" s="167">
        <v>22</v>
      </c>
      <c r="AC138" s="161">
        <f t="shared" si="39"/>
        <v>422.46750000000003</v>
      </c>
      <c r="AD138" s="162">
        <f>PARÂMETROS!$H$3</f>
        <v>40</v>
      </c>
      <c r="AE138" s="163">
        <v>0.28472222222222199</v>
      </c>
      <c r="AF138" s="162">
        <f t="shared" ref="AF138:AF142" si="40">(AE138*AD138)*24</f>
        <v>273.33333333333309</v>
      </c>
      <c r="AG138" s="168">
        <v>1</v>
      </c>
      <c r="AH138" s="165">
        <f t="shared" ref="AH138:AH160" si="41">AF138/AG138</f>
        <v>273.33333333333309</v>
      </c>
      <c r="AI138" s="166">
        <f t="shared" ref="AI138:AI160" si="42">AH138+AC138</f>
        <v>695.80083333333312</v>
      </c>
      <c r="AJ138" s="168">
        <v>1</v>
      </c>
      <c r="AK138" s="23">
        <f t="shared" ref="AK138:AK150" si="43">IFERROR(VALUE(SUBSTITUTE(SUBSTITUTE(SUBSTITUTE(SUBSTITUTE(SUBSTITUTE(AB138,"DN",""),CHAR(34),""),"”",""),"“",""),"''","")),"")</f>
        <v>22</v>
      </c>
    </row>
    <row r="139" spans="1:37" ht="24" customHeight="1" thickBot="1" x14ac:dyDescent="0.35">
      <c r="A139" s="152" t="s">
        <v>1204</v>
      </c>
      <c r="B139" s="153">
        <v>30</v>
      </c>
      <c r="C139" s="153" t="s">
        <v>1181</v>
      </c>
      <c r="D139" s="153" t="s">
        <v>1123</v>
      </c>
      <c r="E139" s="154">
        <v>29</v>
      </c>
      <c r="F139" s="155">
        <f>E139*PARÂMETROS!$E$6</f>
        <v>1157.97</v>
      </c>
      <c r="G139" s="156">
        <f t="shared" si="34"/>
        <v>2.1749999999999998</v>
      </c>
      <c r="H139" s="155">
        <f>G139*PARÂMETROS!$E$8</f>
        <v>67.185749999999999</v>
      </c>
      <c r="I139" s="156"/>
      <c r="J139" s="155"/>
      <c r="K139" s="154"/>
      <c r="L139" s="155"/>
      <c r="M139" s="156"/>
      <c r="N139" s="157"/>
      <c r="R139" s="158" t="s">
        <v>1204</v>
      </c>
      <c r="S139" s="158">
        <v>30</v>
      </c>
      <c r="T139" s="159">
        <f t="shared" si="33"/>
        <v>1225.1557500000001</v>
      </c>
      <c r="V139" s="158"/>
      <c r="W139" s="158"/>
      <c r="X139" s="158"/>
      <c r="Y139" s="56"/>
      <c r="Z139" s="56"/>
      <c r="AA139" s="167" t="s">
        <v>1204</v>
      </c>
      <c r="AB139" s="167">
        <v>30</v>
      </c>
      <c r="AC139" s="161">
        <f t="shared" si="39"/>
        <v>1225.1557500000001</v>
      </c>
      <c r="AD139" s="162">
        <f>PARÂMETROS!$H$3</f>
        <v>40</v>
      </c>
      <c r="AE139" s="163">
        <v>0.28472222222222199</v>
      </c>
      <c r="AF139" s="162">
        <f t="shared" si="40"/>
        <v>273.33333333333309</v>
      </c>
      <c r="AG139" s="168">
        <v>1</v>
      </c>
      <c r="AH139" s="165">
        <f t="shared" si="41"/>
        <v>273.33333333333309</v>
      </c>
      <c r="AI139" s="166">
        <f t="shared" si="42"/>
        <v>1498.4890833333332</v>
      </c>
      <c r="AJ139" s="168">
        <v>1</v>
      </c>
      <c r="AK139" s="23">
        <f t="shared" si="43"/>
        <v>30</v>
      </c>
    </row>
    <row r="140" spans="1:37" ht="24" customHeight="1" thickBot="1" x14ac:dyDescent="0.35">
      <c r="A140" s="152" t="s">
        <v>1204</v>
      </c>
      <c r="B140" s="153">
        <v>42</v>
      </c>
      <c r="C140" s="153" t="s">
        <v>1181</v>
      </c>
      <c r="D140" s="153" t="s">
        <v>1123</v>
      </c>
      <c r="E140" s="154">
        <v>41</v>
      </c>
      <c r="F140" s="155">
        <f>E140*PARÂMETROS!$E$6</f>
        <v>1637.1299999999999</v>
      </c>
      <c r="G140" s="156">
        <f t="shared" si="34"/>
        <v>3.0749999999999997</v>
      </c>
      <c r="H140" s="155">
        <f>G140*PARÂMETROS!$E$8</f>
        <v>94.986749999999986</v>
      </c>
      <c r="I140" s="156"/>
      <c r="J140" s="155"/>
      <c r="K140" s="154"/>
      <c r="L140" s="155"/>
      <c r="M140" s="156"/>
      <c r="N140" s="157"/>
      <c r="R140" s="158" t="s">
        <v>1204</v>
      </c>
      <c r="S140" s="158">
        <v>42</v>
      </c>
      <c r="T140" s="159">
        <f t="shared" si="33"/>
        <v>1732.1167499999999</v>
      </c>
      <c r="V140" s="158"/>
      <c r="W140" s="158"/>
      <c r="X140" s="158"/>
      <c r="Y140" s="56"/>
      <c r="Z140" s="56"/>
      <c r="AA140" s="167" t="s">
        <v>1204</v>
      </c>
      <c r="AB140" s="167">
        <v>42</v>
      </c>
      <c r="AC140" s="161">
        <f t="shared" si="39"/>
        <v>1732.1167499999999</v>
      </c>
      <c r="AD140" s="162">
        <f>PARÂMETROS!$H$3</f>
        <v>40</v>
      </c>
      <c r="AE140" s="163">
        <v>0.28472222222222199</v>
      </c>
      <c r="AF140" s="162">
        <f t="shared" si="40"/>
        <v>273.33333333333309</v>
      </c>
      <c r="AG140" s="168">
        <v>1</v>
      </c>
      <c r="AH140" s="165">
        <f t="shared" si="41"/>
        <v>273.33333333333309</v>
      </c>
      <c r="AI140" s="166">
        <f t="shared" si="42"/>
        <v>2005.4500833333329</v>
      </c>
      <c r="AJ140" s="168">
        <v>1</v>
      </c>
      <c r="AK140" s="23">
        <f t="shared" si="43"/>
        <v>42</v>
      </c>
    </row>
    <row r="141" spans="1:37" ht="24" customHeight="1" thickBot="1" x14ac:dyDescent="0.35">
      <c r="A141" s="152" t="s">
        <v>1204</v>
      </c>
      <c r="B141" s="153">
        <v>46</v>
      </c>
      <c r="C141" s="153" t="s">
        <v>1181</v>
      </c>
      <c r="D141" s="153" t="s">
        <v>1123</v>
      </c>
      <c r="E141" s="154">
        <v>53</v>
      </c>
      <c r="F141" s="155">
        <f>E141*PARÂMETROS!$E$6</f>
        <v>2116.29</v>
      </c>
      <c r="G141" s="156">
        <f t="shared" si="34"/>
        <v>3.9749999999999996</v>
      </c>
      <c r="H141" s="155">
        <f>G141*PARÂMETROS!$E$8</f>
        <v>122.78774999999999</v>
      </c>
      <c r="I141" s="156"/>
      <c r="J141" s="155"/>
      <c r="K141" s="154"/>
      <c r="L141" s="155"/>
      <c r="M141" s="156"/>
      <c r="N141" s="157"/>
      <c r="R141" s="158" t="s">
        <v>1204</v>
      </c>
      <c r="S141" s="158">
        <v>46</v>
      </c>
      <c r="T141" s="159">
        <f t="shared" ref="T141" si="44">F141+H141</f>
        <v>2239.0777499999999</v>
      </c>
      <c r="V141" s="158"/>
      <c r="W141" s="158"/>
      <c r="X141" s="158"/>
      <c r="Y141" s="56"/>
      <c r="Z141" s="56"/>
      <c r="AA141" s="167" t="s">
        <v>1204</v>
      </c>
      <c r="AB141" s="167">
        <v>46</v>
      </c>
      <c r="AC141" s="161">
        <f t="shared" si="39"/>
        <v>2239.0777499999999</v>
      </c>
      <c r="AD141" s="162">
        <f>PARÂMETROS!$H$3</f>
        <v>40</v>
      </c>
      <c r="AE141" s="163">
        <v>0.28472222222222199</v>
      </c>
      <c r="AF141" s="162">
        <f t="shared" si="40"/>
        <v>273.33333333333309</v>
      </c>
      <c r="AG141" s="168">
        <v>1</v>
      </c>
      <c r="AH141" s="165">
        <f t="shared" si="41"/>
        <v>273.33333333333309</v>
      </c>
      <c r="AI141" s="166">
        <f t="shared" si="42"/>
        <v>2512.411083333333</v>
      </c>
      <c r="AJ141" s="168">
        <v>1</v>
      </c>
      <c r="AK141" s="23">
        <f t="shared" si="43"/>
        <v>46</v>
      </c>
    </row>
    <row r="142" spans="1:37" ht="24" customHeight="1" thickBot="1" x14ac:dyDescent="0.35">
      <c r="A142" s="152"/>
      <c r="B142" s="153"/>
      <c r="C142" s="153"/>
      <c r="D142" s="153"/>
      <c r="E142" s="154"/>
      <c r="F142" s="155"/>
      <c r="G142" s="156"/>
      <c r="H142" s="155"/>
      <c r="I142" s="156"/>
      <c r="J142" s="155"/>
      <c r="K142" s="154"/>
      <c r="L142" s="155"/>
      <c r="M142" s="156"/>
      <c r="N142" s="157"/>
      <c r="R142" s="158"/>
      <c r="S142" s="158"/>
      <c r="T142" s="158"/>
      <c r="V142" s="158"/>
      <c r="W142" s="158"/>
      <c r="X142" s="158"/>
      <c r="Y142" s="56"/>
      <c r="Z142" s="56"/>
      <c r="AA142" s="167" t="s">
        <v>1590</v>
      </c>
      <c r="AB142" s="167">
        <f>LBD!B9</f>
        <v>6</v>
      </c>
      <c r="AC142" s="161">
        <f>LBD!Y9+LBD!AC9</f>
        <v>52.385300000000001</v>
      </c>
      <c r="AD142" s="162">
        <f>PARÂMETROS!$H$3</f>
        <v>40</v>
      </c>
      <c r="AE142" s="163">
        <v>6.5972222222222196E-2</v>
      </c>
      <c r="AF142" s="162">
        <f t="shared" si="40"/>
        <v>63.333333333333314</v>
      </c>
      <c r="AG142" s="168">
        <v>1</v>
      </c>
      <c r="AH142" s="165">
        <f t="shared" si="41"/>
        <v>63.333333333333314</v>
      </c>
      <c r="AI142" s="166">
        <f t="shared" si="42"/>
        <v>115.71863333333332</v>
      </c>
      <c r="AJ142" s="168">
        <v>1</v>
      </c>
      <c r="AK142" s="23">
        <f t="shared" si="43"/>
        <v>6</v>
      </c>
    </row>
    <row r="143" spans="1:37" ht="24" customHeight="1" thickBot="1" x14ac:dyDescent="0.35">
      <c r="A143" s="152"/>
      <c r="B143" s="153"/>
      <c r="C143" s="153"/>
      <c r="D143" s="153"/>
      <c r="E143" s="154"/>
      <c r="F143" s="155"/>
      <c r="G143" s="156"/>
      <c r="H143" s="155"/>
      <c r="I143" s="156"/>
      <c r="J143" s="155"/>
      <c r="K143" s="154"/>
      <c r="L143" s="155"/>
      <c r="M143" s="156"/>
      <c r="N143" s="157"/>
      <c r="R143" s="158"/>
      <c r="S143" s="158"/>
      <c r="T143" s="158"/>
      <c r="V143" s="158"/>
      <c r="W143" s="158"/>
      <c r="X143" s="158"/>
      <c r="Y143" s="56"/>
      <c r="Z143" s="56"/>
      <c r="AA143" s="167" t="s">
        <v>1590</v>
      </c>
      <c r="AB143" s="167">
        <f>LBD!B10</f>
        <v>8</v>
      </c>
      <c r="AC143" s="161">
        <f>LBD!Y10+LBD!AC10</f>
        <v>76.051860000000005</v>
      </c>
      <c r="AD143" s="162">
        <f>PARÂMETROS!$H$3</f>
        <v>40</v>
      </c>
      <c r="AE143" s="163">
        <v>6.5972222222222196E-2</v>
      </c>
      <c r="AF143" s="162">
        <f t="shared" ref="AF143:AF160" si="45">(AE143*AD143)*24</f>
        <v>63.333333333333314</v>
      </c>
      <c r="AG143" s="168">
        <v>1</v>
      </c>
      <c r="AH143" s="165">
        <f t="shared" si="41"/>
        <v>63.333333333333314</v>
      </c>
      <c r="AI143" s="166">
        <f t="shared" si="42"/>
        <v>139.38519333333332</v>
      </c>
      <c r="AJ143" s="168">
        <v>1</v>
      </c>
      <c r="AK143" s="23">
        <f t="shared" si="43"/>
        <v>8</v>
      </c>
    </row>
    <row r="144" spans="1:37" ht="24" customHeight="1" thickBot="1" x14ac:dyDescent="0.35">
      <c r="A144" s="152"/>
      <c r="B144" s="153"/>
      <c r="C144" s="153"/>
      <c r="D144" s="153"/>
      <c r="E144" s="154"/>
      <c r="F144" s="155"/>
      <c r="G144" s="156"/>
      <c r="H144" s="155"/>
      <c r="I144" s="156"/>
      <c r="J144" s="155"/>
      <c r="K144" s="154"/>
      <c r="L144" s="155"/>
      <c r="M144" s="156"/>
      <c r="N144" s="157"/>
      <c r="R144" s="158"/>
      <c r="S144" s="158"/>
      <c r="T144" s="158"/>
      <c r="V144" s="158"/>
      <c r="W144" s="158"/>
      <c r="X144" s="158"/>
      <c r="Y144" s="56"/>
      <c r="Z144" s="56"/>
      <c r="AA144" s="167" t="s">
        <v>1590</v>
      </c>
      <c r="AB144" s="167">
        <f>LBD!B11</f>
        <v>10</v>
      </c>
      <c r="AC144" s="161">
        <f>LBD!Y11+LBD!AC11</f>
        <v>92.843459999999993</v>
      </c>
      <c r="AD144" s="162">
        <f>PARÂMETROS!$H$3</f>
        <v>40</v>
      </c>
      <c r="AE144" s="163">
        <v>6.5972222222222196E-2</v>
      </c>
      <c r="AF144" s="162">
        <f t="shared" si="45"/>
        <v>63.333333333333314</v>
      </c>
      <c r="AG144" s="168">
        <v>1</v>
      </c>
      <c r="AH144" s="165">
        <f t="shared" si="41"/>
        <v>63.333333333333314</v>
      </c>
      <c r="AI144" s="166">
        <f t="shared" si="42"/>
        <v>156.17679333333331</v>
      </c>
      <c r="AJ144" s="168">
        <v>1</v>
      </c>
      <c r="AK144" s="23">
        <f t="shared" si="43"/>
        <v>10</v>
      </c>
    </row>
    <row r="145" spans="1:37" ht="24" customHeight="1" thickBot="1" x14ac:dyDescent="0.35">
      <c r="A145" s="152"/>
      <c r="B145" s="153"/>
      <c r="C145" s="153"/>
      <c r="D145" s="153"/>
      <c r="E145" s="154"/>
      <c r="F145" s="155"/>
      <c r="G145" s="156"/>
      <c r="H145" s="155"/>
      <c r="I145" s="156"/>
      <c r="J145" s="155"/>
      <c r="K145" s="154"/>
      <c r="L145" s="155"/>
      <c r="M145" s="156"/>
      <c r="N145" s="157"/>
      <c r="R145" s="158"/>
      <c r="S145" s="158"/>
      <c r="T145" s="158"/>
      <c r="V145" s="158"/>
      <c r="W145" s="158"/>
      <c r="X145" s="158"/>
      <c r="Y145" s="56"/>
      <c r="Z145" s="56"/>
      <c r="AA145" s="167" t="s">
        <v>1590</v>
      </c>
      <c r="AB145" s="167">
        <f>LBD!B12</f>
        <v>12</v>
      </c>
      <c r="AC145" s="161">
        <f>LBD!Y12+LBD!AC12</f>
        <v>129.70092</v>
      </c>
      <c r="AD145" s="162">
        <f>PARÂMETROS!$H$3</f>
        <v>40</v>
      </c>
      <c r="AE145" s="163">
        <v>6.5972222222222196E-2</v>
      </c>
      <c r="AF145" s="162">
        <f t="shared" si="45"/>
        <v>63.333333333333314</v>
      </c>
      <c r="AG145" s="168">
        <v>1</v>
      </c>
      <c r="AH145" s="165">
        <f t="shared" si="41"/>
        <v>63.333333333333314</v>
      </c>
      <c r="AI145" s="166">
        <f t="shared" si="42"/>
        <v>193.03425333333331</v>
      </c>
      <c r="AJ145" s="168">
        <v>1</v>
      </c>
      <c r="AK145" s="23">
        <f t="shared" si="43"/>
        <v>12</v>
      </c>
    </row>
    <row r="146" spans="1:37" ht="24" customHeight="1" thickBot="1" x14ac:dyDescent="0.35">
      <c r="A146" s="152"/>
      <c r="B146" s="153"/>
      <c r="C146" s="153"/>
      <c r="D146" s="153"/>
      <c r="E146" s="154"/>
      <c r="F146" s="155"/>
      <c r="G146" s="156"/>
      <c r="H146" s="155"/>
      <c r="I146" s="156"/>
      <c r="J146" s="155"/>
      <c r="K146" s="154"/>
      <c r="L146" s="155"/>
      <c r="M146" s="156"/>
      <c r="N146" s="157"/>
      <c r="R146" s="158"/>
      <c r="S146" s="158"/>
      <c r="T146" s="158"/>
      <c r="V146" s="158"/>
      <c r="W146" s="158"/>
      <c r="X146" s="158"/>
      <c r="Y146" s="56"/>
      <c r="Z146" s="56"/>
      <c r="AA146" s="167" t="s">
        <v>1590</v>
      </c>
      <c r="AB146" s="167">
        <f>LBD!B13</f>
        <v>14</v>
      </c>
      <c r="AC146" s="161">
        <f>LBD!Y13+LBD!AC13</f>
        <v>163.98885999999999</v>
      </c>
      <c r="AD146" s="162">
        <f>PARÂMETROS!$H$3</f>
        <v>40</v>
      </c>
      <c r="AE146" s="163">
        <v>6.5972222222222196E-2</v>
      </c>
      <c r="AF146" s="162">
        <f t="shared" si="45"/>
        <v>63.333333333333314</v>
      </c>
      <c r="AG146" s="168">
        <v>1</v>
      </c>
      <c r="AH146" s="165">
        <f t="shared" si="41"/>
        <v>63.333333333333314</v>
      </c>
      <c r="AI146" s="166">
        <f t="shared" si="42"/>
        <v>227.3221933333333</v>
      </c>
      <c r="AJ146" s="168">
        <v>1</v>
      </c>
      <c r="AK146" s="23">
        <f t="shared" si="43"/>
        <v>14</v>
      </c>
    </row>
    <row r="147" spans="1:37" ht="24" customHeight="1" thickBot="1" x14ac:dyDescent="0.35">
      <c r="A147" s="152"/>
      <c r="B147" s="153"/>
      <c r="C147" s="153"/>
      <c r="D147" s="153"/>
      <c r="E147" s="154"/>
      <c r="F147" s="155"/>
      <c r="G147" s="156"/>
      <c r="H147" s="155"/>
      <c r="I147" s="156"/>
      <c r="J147" s="155"/>
      <c r="K147" s="154"/>
      <c r="L147" s="155"/>
      <c r="M147" s="156"/>
      <c r="N147" s="157"/>
      <c r="R147" s="158"/>
      <c r="S147" s="158"/>
      <c r="T147" s="158"/>
      <c r="V147" s="158"/>
      <c r="W147" s="158"/>
      <c r="X147" s="158"/>
      <c r="Y147" s="56"/>
      <c r="Z147" s="56"/>
      <c r="AA147" s="167" t="s">
        <v>1590</v>
      </c>
      <c r="AB147" s="167">
        <f>LBD!B14</f>
        <v>16</v>
      </c>
      <c r="AC147" s="161">
        <f>LBD!Y14+LBD!AC14</f>
        <v>202.09608</v>
      </c>
      <c r="AD147" s="162">
        <f>PARÂMETROS!$H$3</f>
        <v>40</v>
      </c>
      <c r="AE147" s="163">
        <v>6.5972222222222196E-2</v>
      </c>
      <c r="AF147" s="162">
        <f t="shared" si="45"/>
        <v>63.333333333333314</v>
      </c>
      <c r="AG147" s="168">
        <v>1</v>
      </c>
      <c r="AH147" s="165">
        <f t="shared" si="41"/>
        <v>63.333333333333314</v>
      </c>
      <c r="AI147" s="166">
        <f t="shared" si="42"/>
        <v>265.42941333333329</v>
      </c>
      <c r="AJ147" s="168">
        <v>1</v>
      </c>
      <c r="AK147" s="23">
        <f t="shared" si="43"/>
        <v>16</v>
      </c>
    </row>
    <row r="148" spans="1:37" ht="24" customHeight="1" thickBot="1" x14ac:dyDescent="0.35">
      <c r="A148" s="152"/>
      <c r="B148" s="153"/>
      <c r="C148" s="153"/>
      <c r="D148" s="153"/>
      <c r="E148" s="154"/>
      <c r="F148" s="155"/>
      <c r="G148" s="156"/>
      <c r="H148" s="155"/>
      <c r="I148" s="156"/>
      <c r="J148" s="155"/>
      <c r="K148" s="154"/>
      <c r="L148" s="155"/>
      <c r="M148" s="156"/>
      <c r="N148" s="157"/>
      <c r="R148" s="158"/>
      <c r="S148" s="158"/>
      <c r="T148" s="158"/>
      <c r="V148" s="158"/>
      <c r="W148" s="158"/>
      <c r="X148" s="158"/>
      <c r="Y148" s="56"/>
      <c r="Z148" s="56"/>
      <c r="AA148" s="167" t="s">
        <v>1590</v>
      </c>
      <c r="AB148" s="167">
        <f>LBD!B15</f>
        <v>18</v>
      </c>
      <c r="AC148" s="161">
        <f>LBD!Y15+LBD!AC15</f>
        <v>266.93953999999997</v>
      </c>
      <c r="AD148" s="162">
        <f>PARÂMETROS!$H$3</f>
        <v>40</v>
      </c>
      <c r="AE148" s="163">
        <v>6.5972222222222196E-2</v>
      </c>
      <c r="AF148" s="162">
        <f t="shared" si="45"/>
        <v>63.333333333333314</v>
      </c>
      <c r="AG148" s="168">
        <v>1</v>
      </c>
      <c r="AH148" s="165">
        <f t="shared" si="41"/>
        <v>63.333333333333314</v>
      </c>
      <c r="AI148" s="166">
        <f t="shared" si="42"/>
        <v>330.27287333333328</v>
      </c>
      <c r="AJ148" s="168">
        <v>1</v>
      </c>
      <c r="AK148" s="23">
        <f t="shared" si="43"/>
        <v>18</v>
      </c>
    </row>
    <row r="149" spans="1:37" ht="24" customHeight="1" thickBot="1" x14ac:dyDescent="0.35">
      <c r="A149" s="152"/>
      <c r="B149" s="153"/>
      <c r="C149" s="153"/>
      <c r="D149" s="153"/>
      <c r="E149" s="154"/>
      <c r="F149" s="155"/>
      <c r="G149" s="156"/>
      <c r="H149" s="155"/>
      <c r="I149" s="156"/>
      <c r="J149" s="155"/>
      <c r="K149" s="154"/>
      <c r="L149" s="155"/>
      <c r="M149" s="156"/>
      <c r="N149" s="157"/>
      <c r="R149" s="158"/>
      <c r="S149" s="158"/>
      <c r="T149" s="158"/>
      <c r="V149" s="158"/>
      <c r="W149" s="158"/>
      <c r="X149" s="158"/>
      <c r="Y149" s="56"/>
      <c r="Z149" s="56"/>
      <c r="AA149" s="167" t="s">
        <v>1590</v>
      </c>
      <c r="AB149" s="167">
        <f>LBD!B16</f>
        <v>20</v>
      </c>
      <c r="AC149" s="161">
        <f>LBD!Y16+LBD!AC16</f>
        <v>350.98090000000002</v>
      </c>
      <c r="AD149" s="162">
        <f>PARÂMETROS!$H$3</f>
        <v>40</v>
      </c>
      <c r="AE149" s="163">
        <v>6.5972222222222196E-2</v>
      </c>
      <c r="AF149" s="162">
        <f t="shared" si="45"/>
        <v>63.333333333333314</v>
      </c>
      <c r="AG149" s="168">
        <v>1</v>
      </c>
      <c r="AH149" s="165">
        <f t="shared" si="41"/>
        <v>63.333333333333314</v>
      </c>
      <c r="AI149" s="166">
        <f t="shared" si="42"/>
        <v>414.31423333333333</v>
      </c>
      <c r="AJ149" s="168">
        <v>1</v>
      </c>
      <c r="AK149" s="23">
        <f t="shared" si="43"/>
        <v>20</v>
      </c>
    </row>
    <row r="150" spans="1:37" ht="24" customHeight="1" thickBot="1" x14ac:dyDescent="0.35">
      <c r="A150" s="152"/>
      <c r="B150" s="153"/>
      <c r="C150" s="153"/>
      <c r="D150" s="153"/>
      <c r="E150" s="154"/>
      <c r="F150" s="155"/>
      <c r="G150" s="156"/>
      <c r="H150" s="155"/>
      <c r="I150" s="156"/>
      <c r="J150" s="155"/>
      <c r="K150" s="154"/>
      <c r="L150" s="155"/>
      <c r="M150" s="156"/>
      <c r="N150" s="157"/>
      <c r="R150" s="158"/>
      <c r="S150" s="158"/>
      <c r="T150" s="158"/>
      <c r="V150" s="158"/>
      <c r="W150" s="158"/>
      <c r="X150" s="158"/>
      <c r="Y150" s="56"/>
      <c r="Z150" s="56"/>
      <c r="AA150" s="167" t="s">
        <v>1590</v>
      </c>
      <c r="AB150" s="167">
        <f>LBD!B17</f>
        <v>22</v>
      </c>
      <c r="AC150" s="161">
        <f>LBD!Y17+LBD!AC17</f>
        <v>511.63599999999997</v>
      </c>
      <c r="AD150" s="162">
        <f>PARÂMETROS!$H$3</f>
        <v>40</v>
      </c>
      <c r="AE150" s="163">
        <v>6.5972222222222196E-2</v>
      </c>
      <c r="AF150" s="162">
        <f t="shared" si="45"/>
        <v>63.333333333333314</v>
      </c>
      <c r="AG150" s="168">
        <v>1</v>
      </c>
      <c r="AH150" s="165">
        <f t="shared" si="41"/>
        <v>63.333333333333314</v>
      </c>
      <c r="AI150" s="166">
        <f t="shared" si="42"/>
        <v>574.96933333333322</v>
      </c>
      <c r="AJ150" s="168">
        <v>1</v>
      </c>
      <c r="AK150" s="23">
        <f t="shared" si="43"/>
        <v>22</v>
      </c>
    </row>
    <row r="151" spans="1:37" ht="24" customHeight="1" thickBot="1" x14ac:dyDescent="0.35">
      <c r="A151" s="152"/>
      <c r="B151" s="153"/>
      <c r="C151" s="153"/>
      <c r="D151" s="153"/>
      <c r="E151" s="154"/>
      <c r="F151" s="155"/>
      <c r="G151" s="156"/>
      <c r="H151" s="155"/>
      <c r="I151" s="156"/>
      <c r="J151" s="155"/>
      <c r="K151" s="154"/>
      <c r="L151" s="155"/>
      <c r="M151" s="156"/>
      <c r="N151" s="157"/>
      <c r="R151" s="158"/>
      <c r="S151" s="158"/>
      <c r="T151" s="158"/>
      <c r="V151" s="158"/>
      <c r="W151" s="158"/>
      <c r="X151" s="158"/>
      <c r="Y151" s="56"/>
      <c r="Z151" s="56"/>
      <c r="AA151" s="167" t="s">
        <v>1590</v>
      </c>
      <c r="AB151" s="167">
        <f>LBD!B18</f>
        <v>24</v>
      </c>
      <c r="AC151" s="161">
        <f>LBD!Y18+LBD!AC18</f>
        <v>534.96561999999994</v>
      </c>
      <c r="AD151" s="162">
        <f>PARÂMETROS!$H$3</f>
        <v>40</v>
      </c>
      <c r="AE151" s="163">
        <v>6.5972222222222196E-2</v>
      </c>
      <c r="AF151" s="162">
        <f t="shared" si="45"/>
        <v>63.333333333333314</v>
      </c>
      <c r="AG151" s="168">
        <v>1</v>
      </c>
      <c r="AH151" s="165">
        <f t="shared" si="41"/>
        <v>63.333333333333314</v>
      </c>
      <c r="AI151" s="166">
        <f t="shared" si="42"/>
        <v>598.2989533333332</v>
      </c>
      <c r="AJ151" s="168">
        <v>1</v>
      </c>
    </row>
    <row r="152" spans="1:37" ht="24" customHeight="1" thickBot="1" x14ac:dyDescent="0.35">
      <c r="A152" s="152"/>
      <c r="B152" s="153"/>
      <c r="C152" s="153"/>
      <c r="D152" s="153"/>
      <c r="E152" s="154"/>
      <c r="F152" s="155"/>
      <c r="G152" s="156"/>
      <c r="H152" s="155"/>
      <c r="I152" s="156"/>
      <c r="J152" s="155"/>
      <c r="K152" s="154"/>
      <c r="L152" s="155"/>
      <c r="M152" s="156"/>
      <c r="N152" s="157"/>
      <c r="R152" s="158"/>
      <c r="S152" s="158"/>
      <c r="T152" s="158"/>
      <c r="V152" s="158"/>
      <c r="W152" s="158"/>
      <c r="X152" s="158"/>
      <c r="Y152" s="56"/>
      <c r="Z152" s="56"/>
      <c r="AA152" s="167" t="s">
        <v>1590</v>
      </c>
      <c r="AB152" s="167">
        <f>LBD!B19</f>
        <v>26</v>
      </c>
      <c r="AC152" s="161">
        <f>LBD!Y19+LBD!AC19</f>
        <v>558.96561999999994</v>
      </c>
      <c r="AD152" s="162">
        <f>PARÂMETROS!$H$3</f>
        <v>40</v>
      </c>
      <c r="AE152" s="163">
        <v>6.5972222222222196E-2</v>
      </c>
      <c r="AF152" s="162">
        <f t="shared" si="45"/>
        <v>63.333333333333314</v>
      </c>
      <c r="AG152" s="168">
        <v>1</v>
      </c>
      <c r="AH152" s="165">
        <f t="shared" si="41"/>
        <v>63.333333333333314</v>
      </c>
      <c r="AI152" s="166">
        <f t="shared" si="42"/>
        <v>622.2989533333332</v>
      </c>
      <c r="AJ152" s="168">
        <v>1</v>
      </c>
    </row>
    <row r="153" spans="1:37" ht="24" customHeight="1" thickBot="1" x14ac:dyDescent="0.35">
      <c r="A153" s="152"/>
      <c r="B153" s="153"/>
      <c r="C153" s="153"/>
      <c r="D153" s="153"/>
      <c r="E153" s="154"/>
      <c r="F153" s="155"/>
      <c r="G153" s="156"/>
      <c r="H153" s="155"/>
      <c r="I153" s="156"/>
      <c r="J153" s="155"/>
      <c r="K153" s="154"/>
      <c r="L153" s="155"/>
      <c r="M153" s="156"/>
      <c r="N153" s="157"/>
      <c r="R153" s="158"/>
      <c r="S153" s="158"/>
      <c r="T153" s="158"/>
      <c r="V153" s="158"/>
      <c r="W153" s="158"/>
      <c r="X153" s="158"/>
      <c r="Y153" s="56"/>
      <c r="Z153" s="56"/>
      <c r="AA153" s="167" t="s">
        <v>1590</v>
      </c>
      <c r="AB153" s="167">
        <f>LBD!B20</f>
        <v>28</v>
      </c>
      <c r="AC153" s="161">
        <f>LBD!Y20+LBD!AC20</f>
        <v>609.94079999999997</v>
      </c>
      <c r="AD153" s="162">
        <f>PARÂMETROS!$H$3</f>
        <v>40</v>
      </c>
      <c r="AE153" s="163">
        <v>6.5972222222222196E-2</v>
      </c>
      <c r="AF153" s="162">
        <f t="shared" si="45"/>
        <v>63.333333333333314</v>
      </c>
      <c r="AG153" s="168">
        <v>1</v>
      </c>
      <c r="AH153" s="165">
        <f t="shared" si="41"/>
        <v>63.333333333333314</v>
      </c>
      <c r="AI153" s="166">
        <f t="shared" si="42"/>
        <v>673.27413333333334</v>
      </c>
      <c r="AJ153" s="168">
        <v>1</v>
      </c>
    </row>
    <row r="154" spans="1:37" ht="24" customHeight="1" thickBot="1" x14ac:dyDescent="0.35">
      <c r="A154" s="152"/>
      <c r="B154" s="153"/>
      <c r="C154" s="153"/>
      <c r="D154" s="153"/>
      <c r="E154" s="154"/>
      <c r="F154" s="155"/>
      <c r="G154" s="156"/>
      <c r="H154" s="155"/>
      <c r="I154" s="156"/>
      <c r="J154" s="155"/>
      <c r="K154" s="154"/>
      <c r="L154" s="155"/>
      <c r="M154" s="156"/>
      <c r="N154" s="157"/>
      <c r="R154" s="158"/>
      <c r="S154" s="158"/>
      <c r="T154" s="158"/>
      <c r="V154" s="158"/>
      <c r="W154" s="158"/>
      <c r="X154" s="158"/>
      <c r="Y154" s="56"/>
      <c r="Z154" s="56"/>
      <c r="AA154" s="167" t="s">
        <v>1590</v>
      </c>
      <c r="AB154" s="167">
        <f>LBD!B21</f>
        <v>30</v>
      </c>
      <c r="AC154" s="161">
        <f>LBD!Y21+LBD!AC21</f>
        <v>609.94079999999997</v>
      </c>
      <c r="AD154" s="162">
        <f>PARÂMETROS!$H$3</f>
        <v>40</v>
      </c>
      <c r="AE154" s="163">
        <v>6.5972222222222196E-2</v>
      </c>
      <c r="AF154" s="162">
        <f t="shared" si="45"/>
        <v>63.333333333333314</v>
      </c>
      <c r="AG154" s="168">
        <v>1</v>
      </c>
      <c r="AH154" s="165">
        <f t="shared" si="41"/>
        <v>63.333333333333314</v>
      </c>
      <c r="AI154" s="166">
        <f t="shared" si="42"/>
        <v>673.27413333333334</v>
      </c>
      <c r="AJ154" s="168">
        <v>1</v>
      </c>
    </row>
    <row r="155" spans="1:37" ht="24" customHeight="1" thickBot="1" x14ac:dyDescent="0.35">
      <c r="A155" s="152"/>
      <c r="B155" s="153"/>
      <c r="C155" s="153"/>
      <c r="D155" s="153"/>
      <c r="E155" s="154"/>
      <c r="F155" s="155"/>
      <c r="G155" s="156"/>
      <c r="H155" s="155"/>
      <c r="I155" s="156"/>
      <c r="J155" s="155"/>
      <c r="K155" s="154"/>
      <c r="L155" s="155"/>
      <c r="M155" s="156"/>
      <c r="N155" s="157"/>
      <c r="R155" s="158"/>
      <c r="S155" s="158"/>
      <c r="T155" s="158"/>
      <c r="V155" s="158"/>
      <c r="W155" s="158"/>
      <c r="X155" s="158"/>
      <c r="Y155" s="56"/>
      <c r="Z155" s="56"/>
      <c r="AA155" s="167" t="s">
        <v>1590</v>
      </c>
      <c r="AB155" s="167">
        <f>LBD!B22</f>
        <v>32</v>
      </c>
      <c r="AC155" s="161">
        <f>LBD!Y22+LBD!AC22</f>
        <v>914.9357</v>
      </c>
      <c r="AD155" s="162">
        <f>PARÂMETROS!$H$3</f>
        <v>40</v>
      </c>
      <c r="AE155" s="163">
        <v>6.5972222222222196E-2</v>
      </c>
      <c r="AF155" s="162">
        <f t="shared" si="45"/>
        <v>63.333333333333314</v>
      </c>
      <c r="AG155" s="168">
        <v>1</v>
      </c>
      <c r="AH155" s="165">
        <f t="shared" si="41"/>
        <v>63.333333333333314</v>
      </c>
      <c r="AI155" s="166">
        <f t="shared" si="42"/>
        <v>978.26903333333325</v>
      </c>
      <c r="AJ155" s="168">
        <v>1</v>
      </c>
    </row>
    <row r="156" spans="1:37" ht="24" customHeight="1" thickBot="1" x14ac:dyDescent="0.35">
      <c r="A156" s="152"/>
      <c r="B156" s="153"/>
      <c r="C156" s="153"/>
      <c r="D156" s="153"/>
      <c r="E156" s="154"/>
      <c r="F156" s="155"/>
      <c r="G156" s="156"/>
      <c r="H156" s="155"/>
      <c r="I156" s="156"/>
      <c r="J156" s="155"/>
      <c r="K156" s="154"/>
      <c r="L156" s="155"/>
      <c r="M156" s="156"/>
      <c r="N156" s="157"/>
      <c r="R156" s="158"/>
      <c r="S156" s="158"/>
      <c r="T156" s="158"/>
      <c r="V156" s="158"/>
      <c r="W156" s="158"/>
      <c r="X156" s="158"/>
      <c r="Y156" s="56"/>
      <c r="Z156" s="56"/>
      <c r="AA156" s="167" t="s">
        <v>1590</v>
      </c>
      <c r="AB156" s="167">
        <f>LBD!B23</f>
        <v>34</v>
      </c>
      <c r="AC156" s="161">
        <f>LBD!Y23+LBD!AC23</f>
        <v>914.9357</v>
      </c>
      <c r="AD156" s="162">
        <f>PARÂMETROS!$H$3</f>
        <v>40</v>
      </c>
      <c r="AE156" s="163">
        <v>6.5972222222222196E-2</v>
      </c>
      <c r="AF156" s="162">
        <f t="shared" si="45"/>
        <v>63.333333333333314</v>
      </c>
      <c r="AG156" s="168">
        <v>1</v>
      </c>
      <c r="AH156" s="165">
        <f t="shared" si="41"/>
        <v>63.333333333333314</v>
      </c>
      <c r="AI156" s="166">
        <f t="shared" si="42"/>
        <v>978.26903333333325</v>
      </c>
      <c r="AJ156" s="168">
        <v>1</v>
      </c>
    </row>
    <row r="157" spans="1:37" ht="24" customHeight="1" thickBot="1" x14ac:dyDescent="0.35">
      <c r="A157" s="152"/>
      <c r="B157" s="153"/>
      <c r="C157" s="153"/>
      <c r="D157" s="153"/>
      <c r="E157" s="154"/>
      <c r="F157" s="155"/>
      <c r="G157" s="156"/>
      <c r="H157" s="155"/>
      <c r="I157" s="156"/>
      <c r="J157" s="155"/>
      <c r="K157" s="154"/>
      <c r="L157" s="155"/>
      <c r="M157" s="156"/>
      <c r="N157" s="157"/>
      <c r="R157" s="158"/>
      <c r="S157" s="158"/>
      <c r="T157" s="158"/>
      <c r="V157" s="158"/>
      <c r="W157" s="158"/>
      <c r="X157" s="158"/>
      <c r="Y157" s="56"/>
      <c r="Z157" s="56"/>
      <c r="AA157" s="167" t="s">
        <v>1590</v>
      </c>
      <c r="AB157" s="167">
        <f>LBD!B24</f>
        <v>36</v>
      </c>
      <c r="AC157" s="161">
        <f>LBD!Y24+LBD!AC24</f>
        <v>1732.0164799999998</v>
      </c>
      <c r="AD157" s="162">
        <f>PARÂMETROS!$H$3</f>
        <v>40</v>
      </c>
      <c r="AE157" s="163">
        <v>6.5972222222222196E-2</v>
      </c>
      <c r="AF157" s="162">
        <f t="shared" si="45"/>
        <v>63.333333333333314</v>
      </c>
      <c r="AG157" s="168">
        <v>1</v>
      </c>
      <c r="AH157" s="165">
        <f t="shared" si="41"/>
        <v>63.333333333333314</v>
      </c>
      <c r="AI157" s="166">
        <f t="shared" si="42"/>
        <v>1795.349813333333</v>
      </c>
      <c r="AJ157" s="168">
        <v>1</v>
      </c>
    </row>
    <row r="158" spans="1:37" ht="24" customHeight="1" thickBot="1" x14ac:dyDescent="0.35">
      <c r="A158" s="152"/>
      <c r="B158" s="153"/>
      <c r="C158" s="153"/>
      <c r="D158" s="153"/>
      <c r="E158" s="154"/>
      <c r="F158" s="155"/>
      <c r="G158" s="156"/>
      <c r="H158" s="155"/>
      <c r="I158" s="156"/>
      <c r="J158" s="155"/>
      <c r="K158" s="154"/>
      <c r="L158" s="155"/>
      <c r="M158" s="156"/>
      <c r="N158" s="157"/>
      <c r="R158" s="158"/>
      <c r="S158" s="158"/>
      <c r="T158" s="158"/>
      <c r="V158" s="158"/>
      <c r="W158" s="158"/>
      <c r="X158" s="158"/>
      <c r="Y158" s="56"/>
      <c r="Z158" s="56"/>
      <c r="AA158" s="167" t="s">
        <v>1590</v>
      </c>
      <c r="AB158" s="167">
        <f>LBD!B25</f>
        <v>38</v>
      </c>
      <c r="AC158" s="161">
        <f>LBD!Y25+LBD!AC25</f>
        <v>1732.0164799999998</v>
      </c>
      <c r="AD158" s="162">
        <f>PARÂMETROS!$H$3</f>
        <v>40</v>
      </c>
      <c r="AE158" s="163">
        <v>6.5972222222222196E-2</v>
      </c>
      <c r="AF158" s="162">
        <f t="shared" si="45"/>
        <v>63.333333333333314</v>
      </c>
      <c r="AG158" s="168">
        <v>1</v>
      </c>
      <c r="AH158" s="165">
        <f t="shared" si="41"/>
        <v>63.333333333333314</v>
      </c>
      <c r="AI158" s="166">
        <f t="shared" si="42"/>
        <v>1795.349813333333</v>
      </c>
      <c r="AJ158" s="168">
        <v>1</v>
      </c>
    </row>
    <row r="159" spans="1:37" ht="24" customHeight="1" thickBot="1" x14ac:dyDescent="0.35">
      <c r="A159" s="152"/>
      <c r="B159" s="153"/>
      <c r="C159" s="153"/>
      <c r="D159" s="153"/>
      <c r="E159" s="154"/>
      <c r="F159" s="155"/>
      <c r="G159" s="156"/>
      <c r="H159" s="155"/>
      <c r="I159" s="156"/>
      <c r="J159" s="155"/>
      <c r="K159" s="154"/>
      <c r="L159" s="155"/>
      <c r="M159" s="156"/>
      <c r="N159" s="157"/>
      <c r="R159" s="158"/>
      <c r="S159" s="158"/>
      <c r="T159" s="158"/>
      <c r="V159" s="158"/>
      <c r="W159" s="158"/>
      <c r="X159" s="158"/>
      <c r="Y159" s="56"/>
      <c r="Z159" s="56"/>
      <c r="AA159" s="167" t="s">
        <v>1590</v>
      </c>
      <c r="AB159" s="167">
        <f>LBD!B26</f>
        <v>40</v>
      </c>
      <c r="AC159" s="161">
        <f>LBD!Y26+LBD!AC26</f>
        <v>2003.1494600000001</v>
      </c>
      <c r="AD159" s="162">
        <f>PARÂMETROS!$H$3</f>
        <v>40</v>
      </c>
      <c r="AE159" s="163">
        <v>6.5972222222222196E-2</v>
      </c>
      <c r="AF159" s="162">
        <f t="shared" si="45"/>
        <v>63.333333333333314</v>
      </c>
      <c r="AG159" s="168">
        <v>1</v>
      </c>
      <c r="AH159" s="165">
        <f t="shared" si="41"/>
        <v>63.333333333333314</v>
      </c>
      <c r="AI159" s="166">
        <f t="shared" si="42"/>
        <v>2066.4827933333336</v>
      </c>
      <c r="AJ159" s="168">
        <v>1</v>
      </c>
    </row>
    <row r="160" spans="1:37" ht="24" customHeight="1" thickBot="1" x14ac:dyDescent="0.35">
      <c r="A160" s="152"/>
      <c r="B160" s="153"/>
      <c r="C160" s="153"/>
      <c r="D160" s="153"/>
      <c r="E160" s="154"/>
      <c r="F160" s="155"/>
      <c r="G160" s="156"/>
      <c r="H160" s="155"/>
      <c r="I160" s="156"/>
      <c r="J160" s="155"/>
      <c r="K160" s="154"/>
      <c r="L160" s="155"/>
      <c r="M160" s="156"/>
      <c r="N160" s="157"/>
      <c r="R160" s="158"/>
      <c r="S160" s="158"/>
      <c r="T160" s="158"/>
      <c r="V160" s="158"/>
      <c r="W160" s="158"/>
      <c r="X160" s="158"/>
      <c r="Y160" s="56"/>
      <c r="Z160" s="56"/>
      <c r="AA160" s="167" t="s">
        <v>1590</v>
      </c>
      <c r="AB160" s="167">
        <f>LBD!B27</f>
        <v>42</v>
      </c>
      <c r="AC160" s="161">
        <f>LBD!Y27+LBD!AC27</f>
        <v>2112.8770999999997</v>
      </c>
      <c r="AD160" s="162">
        <f>PARÂMETROS!$H$3</f>
        <v>40</v>
      </c>
      <c r="AE160" s="163">
        <v>6.5972222222222196E-2</v>
      </c>
      <c r="AF160" s="162">
        <f t="shared" si="45"/>
        <v>63.333333333333314</v>
      </c>
      <c r="AG160" s="168">
        <v>1</v>
      </c>
      <c r="AH160" s="165">
        <f t="shared" si="41"/>
        <v>63.333333333333314</v>
      </c>
      <c r="AI160" s="166">
        <f t="shared" si="42"/>
        <v>2176.2104333333332</v>
      </c>
      <c r="AJ160" s="168">
        <v>1</v>
      </c>
    </row>
    <row r="161" spans="1:27" ht="24" customHeight="1" thickBot="1" x14ac:dyDescent="0.4">
      <c r="A161" s="152"/>
      <c r="B161" s="153"/>
      <c r="C161" s="153"/>
      <c r="D161" s="153"/>
      <c r="E161" s="154"/>
      <c r="F161" s="155"/>
      <c r="G161" s="156"/>
      <c r="H161" s="155"/>
      <c r="I161" s="156"/>
      <c r="J161" s="155"/>
      <c r="K161" s="154"/>
      <c r="L161" s="155"/>
      <c r="M161" s="156"/>
      <c r="N161" s="157"/>
      <c r="R161" s="158"/>
      <c r="S161" s="158"/>
      <c r="T161" s="158"/>
      <c r="V161" s="158"/>
      <c r="W161" s="158"/>
      <c r="X161" s="158"/>
      <c r="Y161" s="56"/>
      <c r="Z161" s="56"/>
      <c r="AA161" s="170"/>
    </row>
    <row r="162" spans="1:27" ht="24" customHeight="1" thickBot="1" x14ac:dyDescent="0.4">
      <c r="A162" s="152"/>
      <c r="B162" s="153"/>
      <c r="C162" s="153"/>
      <c r="D162" s="153"/>
      <c r="E162" s="154"/>
      <c r="F162" s="155"/>
      <c r="G162" s="156"/>
      <c r="H162" s="155"/>
      <c r="I162" s="156"/>
      <c r="J162" s="155"/>
      <c r="K162" s="154"/>
      <c r="L162" s="155"/>
      <c r="M162" s="156"/>
      <c r="N162" s="157"/>
      <c r="R162" s="158"/>
      <c r="S162" s="158"/>
      <c r="T162" s="158"/>
      <c r="V162" s="158"/>
      <c r="W162" s="158"/>
      <c r="X162" s="158"/>
      <c r="Y162" s="56"/>
      <c r="Z162" s="56"/>
      <c r="AA162" s="170"/>
    </row>
    <row r="163" spans="1:27" ht="24" customHeight="1" thickBot="1" x14ac:dyDescent="0.4">
      <c r="A163" s="152"/>
      <c r="B163" s="153"/>
      <c r="C163" s="153"/>
      <c r="D163" s="153"/>
      <c r="E163" s="154"/>
      <c r="F163" s="155"/>
      <c r="G163" s="156"/>
      <c r="H163" s="155"/>
      <c r="I163" s="156"/>
      <c r="J163" s="155"/>
      <c r="K163" s="154"/>
      <c r="L163" s="155"/>
      <c r="M163" s="156"/>
      <c r="N163" s="157"/>
      <c r="R163" s="158"/>
      <c r="S163" s="158"/>
      <c r="T163" s="158"/>
      <c r="V163" s="158"/>
      <c r="W163" s="158"/>
      <c r="X163" s="158"/>
      <c r="Y163" s="56"/>
      <c r="Z163" s="56"/>
      <c r="AA163" s="170"/>
    </row>
    <row r="164" spans="1:27" ht="24" customHeight="1" thickBot="1" x14ac:dyDescent="0.4">
      <c r="A164" s="152"/>
      <c r="B164" s="153"/>
      <c r="C164" s="153"/>
      <c r="D164" s="153"/>
      <c r="E164" s="154"/>
      <c r="F164" s="155"/>
      <c r="G164" s="156"/>
      <c r="H164" s="155"/>
      <c r="I164" s="156"/>
      <c r="J164" s="155"/>
      <c r="K164" s="154"/>
      <c r="L164" s="155"/>
      <c r="M164" s="156"/>
      <c r="N164" s="157"/>
      <c r="R164" s="158"/>
      <c r="S164" s="158"/>
      <c r="T164" s="158"/>
      <c r="V164" s="158"/>
      <c r="W164" s="158"/>
      <c r="X164" s="158"/>
      <c r="Y164" s="56"/>
      <c r="Z164" s="56"/>
      <c r="AA164" s="170"/>
    </row>
    <row r="165" spans="1:27" ht="24" customHeight="1" thickBot="1" x14ac:dyDescent="0.4">
      <c r="A165" s="152"/>
      <c r="B165" s="153"/>
      <c r="C165" s="153"/>
      <c r="D165" s="153"/>
      <c r="E165" s="154"/>
      <c r="F165" s="155"/>
      <c r="G165" s="156"/>
      <c r="H165" s="155"/>
      <c r="I165" s="156"/>
      <c r="J165" s="155"/>
      <c r="K165" s="154"/>
      <c r="L165" s="155"/>
      <c r="M165" s="156"/>
      <c r="N165" s="157"/>
      <c r="R165" s="158"/>
      <c r="S165" s="158"/>
      <c r="T165" s="158"/>
      <c r="V165" s="158"/>
      <c r="W165" s="158"/>
      <c r="X165" s="158"/>
      <c r="Y165" s="56"/>
      <c r="Z165" s="56"/>
      <c r="AA165" s="170"/>
    </row>
    <row r="166" spans="1:27" ht="24" customHeight="1" thickBot="1" x14ac:dyDescent="0.4">
      <c r="A166" s="152"/>
      <c r="B166" s="153"/>
      <c r="C166" s="153"/>
      <c r="D166" s="153"/>
      <c r="E166" s="154"/>
      <c r="F166" s="155"/>
      <c r="G166" s="156"/>
      <c r="H166" s="155"/>
      <c r="I166" s="156"/>
      <c r="J166" s="155"/>
      <c r="K166" s="154"/>
      <c r="L166" s="155"/>
      <c r="M166" s="156"/>
      <c r="N166" s="157"/>
      <c r="R166" s="158"/>
      <c r="S166" s="158"/>
      <c r="T166" s="158"/>
      <c r="V166" s="158"/>
      <c r="W166" s="158"/>
      <c r="X166" s="158"/>
      <c r="Y166" s="56"/>
      <c r="Z166" s="56"/>
      <c r="AA166" s="170"/>
    </row>
    <row r="167" spans="1:27" ht="24" customHeight="1" thickBot="1" x14ac:dyDescent="0.4">
      <c r="A167" s="152"/>
      <c r="B167" s="153"/>
      <c r="C167" s="153"/>
      <c r="D167" s="153"/>
      <c r="E167" s="154"/>
      <c r="F167" s="155"/>
      <c r="G167" s="156"/>
      <c r="H167" s="155"/>
      <c r="I167" s="156"/>
      <c r="J167" s="155"/>
      <c r="K167" s="154"/>
      <c r="L167" s="155"/>
      <c r="M167" s="156"/>
      <c r="N167" s="157"/>
      <c r="R167" s="158"/>
      <c r="S167" s="158"/>
      <c r="T167" s="158"/>
      <c r="V167" s="158"/>
      <c r="W167" s="158"/>
      <c r="X167" s="158"/>
      <c r="Y167" s="56"/>
      <c r="Z167" s="56"/>
      <c r="AA167" s="170"/>
    </row>
    <row r="168" spans="1:27" ht="24" customHeight="1" thickBot="1" x14ac:dyDescent="0.4">
      <c r="A168" s="152"/>
      <c r="B168" s="153"/>
      <c r="C168" s="153"/>
      <c r="D168" s="153"/>
      <c r="E168" s="154"/>
      <c r="F168" s="155"/>
      <c r="G168" s="156"/>
      <c r="H168" s="155"/>
      <c r="I168" s="156"/>
      <c r="J168" s="155"/>
      <c r="K168" s="154"/>
      <c r="L168" s="155"/>
      <c r="M168" s="156"/>
      <c r="N168" s="157"/>
      <c r="R168" s="158"/>
      <c r="S168" s="158"/>
      <c r="T168" s="158"/>
      <c r="V168" s="158"/>
      <c r="W168" s="158"/>
      <c r="X168" s="158"/>
      <c r="Y168" s="56"/>
      <c r="Z168" s="56"/>
      <c r="AA168" s="170"/>
    </row>
    <row r="169" spans="1:27" ht="24" customHeight="1" thickBot="1" x14ac:dyDescent="0.4">
      <c r="A169" s="152"/>
      <c r="B169" s="153"/>
      <c r="C169" s="153"/>
      <c r="D169" s="153"/>
      <c r="E169" s="154"/>
      <c r="F169" s="155"/>
      <c r="G169" s="156"/>
      <c r="H169" s="155"/>
      <c r="I169" s="156"/>
      <c r="J169" s="155"/>
      <c r="K169" s="154"/>
      <c r="L169" s="155"/>
      <c r="M169" s="156"/>
      <c r="N169" s="157"/>
      <c r="R169" s="158"/>
      <c r="S169" s="158"/>
      <c r="T169" s="158"/>
      <c r="V169" s="158"/>
      <c r="W169" s="158"/>
      <c r="X169" s="158"/>
      <c r="Y169" s="56"/>
      <c r="Z169" s="56"/>
      <c r="AA169" s="170"/>
    </row>
    <row r="170" spans="1:27" ht="24" customHeight="1" thickBot="1" x14ac:dyDescent="0.4">
      <c r="A170" s="152"/>
      <c r="B170" s="153"/>
      <c r="C170" s="153"/>
      <c r="D170" s="153"/>
      <c r="E170" s="154"/>
      <c r="F170" s="155"/>
      <c r="G170" s="156"/>
      <c r="H170" s="155"/>
      <c r="I170" s="156"/>
      <c r="J170" s="155"/>
      <c r="K170" s="154"/>
      <c r="L170" s="155"/>
      <c r="M170" s="156"/>
      <c r="N170" s="157"/>
      <c r="R170" s="158"/>
      <c r="S170" s="158"/>
      <c r="T170" s="158"/>
      <c r="V170" s="158"/>
      <c r="W170" s="158"/>
      <c r="X170" s="158"/>
      <c r="Y170" s="56"/>
      <c r="Z170" s="56"/>
      <c r="AA170" s="170"/>
    </row>
    <row r="171" spans="1:27" ht="24" customHeight="1" thickBot="1" x14ac:dyDescent="0.4">
      <c r="A171" s="152"/>
      <c r="B171" s="153"/>
      <c r="C171" s="153"/>
      <c r="D171" s="153"/>
      <c r="E171" s="154"/>
      <c r="F171" s="155"/>
      <c r="G171" s="156"/>
      <c r="H171" s="155"/>
      <c r="I171" s="156"/>
      <c r="J171" s="155"/>
      <c r="K171" s="154"/>
      <c r="L171" s="155"/>
      <c r="M171" s="156"/>
      <c r="N171" s="157"/>
      <c r="R171" s="158"/>
      <c r="S171" s="158"/>
      <c r="T171" s="158"/>
      <c r="V171" s="158"/>
      <c r="W171" s="158"/>
      <c r="X171" s="158"/>
      <c r="Y171" s="56"/>
      <c r="Z171" s="56"/>
      <c r="AA171" s="170"/>
    </row>
    <row r="172" spans="1:27" ht="24" customHeight="1" thickBot="1" x14ac:dyDescent="0.4">
      <c r="A172" s="152"/>
      <c r="B172" s="153"/>
      <c r="C172" s="153"/>
      <c r="D172" s="153"/>
      <c r="E172" s="154"/>
      <c r="F172" s="155"/>
      <c r="G172" s="156"/>
      <c r="H172" s="155"/>
      <c r="I172" s="156"/>
      <c r="J172" s="155"/>
      <c r="K172" s="154"/>
      <c r="L172" s="155"/>
      <c r="M172" s="156"/>
      <c r="N172" s="157"/>
      <c r="R172" s="158"/>
      <c r="S172" s="158"/>
      <c r="T172" s="158"/>
      <c r="V172" s="158"/>
      <c r="W172" s="158"/>
      <c r="X172" s="158"/>
      <c r="Y172" s="56"/>
      <c r="Z172" s="56"/>
      <c r="AA172" s="170"/>
    </row>
    <row r="173" spans="1:27" ht="24" customHeight="1" thickBot="1" x14ac:dyDescent="0.4">
      <c r="A173" s="152"/>
      <c r="B173" s="153"/>
      <c r="C173" s="153"/>
      <c r="D173" s="153"/>
      <c r="E173" s="154"/>
      <c r="F173" s="155"/>
      <c r="G173" s="156"/>
      <c r="H173" s="155"/>
      <c r="I173" s="156"/>
      <c r="J173" s="155"/>
      <c r="K173" s="154"/>
      <c r="L173" s="155"/>
      <c r="M173" s="156"/>
      <c r="N173" s="157"/>
      <c r="R173" s="158"/>
      <c r="S173" s="158"/>
      <c r="T173" s="158"/>
      <c r="V173" s="158"/>
      <c r="W173" s="158"/>
      <c r="X173" s="158"/>
      <c r="Y173" s="56"/>
      <c r="Z173" s="56"/>
      <c r="AA173" s="170"/>
    </row>
    <row r="174" spans="1:27" ht="24" customHeight="1" thickBot="1" x14ac:dyDescent="0.4">
      <c r="A174" s="152"/>
      <c r="B174" s="153"/>
      <c r="C174" s="153"/>
      <c r="D174" s="153"/>
      <c r="E174" s="154"/>
      <c r="F174" s="155"/>
      <c r="G174" s="156"/>
      <c r="H174" s="155"/>
      <c r="I174" s="156"/>
      <c r="J174" s="155"/>
      <c r="K174" s="154"/>
      <c r="L174" s="155"/>
      <c r="M174" s="156"/>
      <c r="N174" s="157"/>
      <c r="R174" s="158"/>
      <c r="S174" s="158"/>
      <c r="T174" s="158"/>
      <c r="V174" s="158"/>
      <c r="W174" s="158"/>
      <c r="X174" s="158"/>
      <c r="Y174" s="56"/>
      <c r="Z174" s="56"/>
      <c r="AA174" s="170"/>
    </row>
    <row r="175" spans="1:27" ht="24" customHeight="1" thickBot="1" x14ac:dyDescent="0.4">
      <c r="A175" s="152"/>
      <c r="B175" s="153"/>
      <c r="C175" s="153"/>
      <c r="D175" s="153"/>
      <c r="E175" s="154"/>
      <c r="F175" s="155"/>
      <c r="G175" s="156"/>
      <c r="H175" s="155"/>
      <c r="I175" s="156"/>
      <c r="J175" s="155"/>
      <c r="K175" s="154"/>
      <c r="L175" s="155"/>
      <c r="M175" s="156"/>
      <c r="N175" s="157"/>
      <c r="R175" s="158"/>
      <c r="S175" s="158"/>
      <c r="T175" s="158"/>
      <c r="V175" s="158"/>
      <c r="W175" s="158"/>
      <c r="X175" s="158"/>
      <c r="Y175" s="56"/>
      <c r="Z175" s="56"/>
      <c r="AA175" s="170"/>
    </row>
    <row r="176" spans="1:27" ht="24" customHeight="1" thickBot="1" x14ac:dyDescent="0.4">
      <c r="A176" s="152"/>
      <c r="B176" s="153"/>
      <c r="C176" s="153"/>
      <c r="D176" s="153"/>
      <c r="E176" s="156"/>
      <c r="F176" s="155"/>
      <c r="G176" s="156"/>
      <c r="H176" s="155"/>
      <c r="I176" s="156"/>
      <c r="J176" s="155"/>
      <c r="K176" s="154"/>
      <c r="L176" s="155"/>
      <c r="M176" s="156"/>
      <c r="N176" s="157"/>
      <c r="R176" s="158"/>
      <c r="S176" s="158"/>
      <c r="T176" s="158"/>
      <c r="V176" s="158"/>
      <c r="W176" s="158"/>
      <c r="X176" s="158"/>
      <c r="Y176" s="56"/>
      <c r="Z176" s="56"/>
      <c r="AA176" s="170"/>
    </row>
    <row r="177" spans="1:27" ht="24" customHeight="1" thickBot="1" x14ac:dyDescent="0.4">
      <c r="A177" s="152"/>
      <c r="B177" s="153"/>
      <c r="C177" s="153"/>
      <c r="D177" s="153"/>
      <c r="E177" s="156"/>
      <c r="F177" s="155"/>
      <c r="G177" s="156"/>
      <c r="H177" s="155"/>
      <c r="I177" s="156"/>
      <c r="J177" s="155"/>
      <c r="K177" s="154"/>
      <c r="L177" s="155"/>
      <c r="M177" s="156"/>
      <c r="N177" s="157"/>
      <c r="R177" s="158"/>
      <c r="S177" s="158"/>
      <c r="T177" s="158"/>
      <c r="V177" s="158"/>
      <c r="W177" s="158"/>
      <c r="X177" s="158"/>
      <c r="Y177" s="56"/>
      <c r="Z177" s="56"/>
      <c r="AA177" s="170"/>
    </row>
    <row r="178" spans="1:27" ht="24" customHeight="1" thickBot="1" x14ac:dyDescent="0.4">
      <c r="A178" s="152"/>
      <c r="B178" s="153"/>
      <c r="C178" s="153"/>
      <c r="D178" s="153"/>
      <c r="E178" s="156"/>
      <c r="F178" s="155"/>
      <c r="G178" s="156"/>
      <c r="H178" s="155"/>
      <c r="I178" s="156"/>
      <c r="J178" s="155"/>
      <c r="K178" s="154"/>
      <c r="L178" s="155"/>
      <c r="M178" s="156"/>
      <c r="N178" s="157"/>
      <c r="R178" s="158"/>
      <c r="S178" s="158"/>
      <c r="T178" s="158"/>
      <c r="V178" s="158"/>
      <c r="W178" s="158"/>
      <c r="X178" s="158"/>
      <c r="Y178" s="56"/>
      <c r="Z178" s="56"/>
      <c r="AA178" s="170"/>
    </row>
    <row r="179" spans="1:27" ht="24" customHeight="1" thickBot="1" x14ac:dyDescent="0.4">
      <c r="A179" s="152"/>
      <c r="B179" s="153"/>
      <c r="C179" s="153"/>
      <c r="D179" s="153"/>
      <c r="E179" s="156"/>
      <c r="F179" s="155"/>
      <c r="G179" s="156"/>
      <c r="H179" s="155"/>
      <c r="I179" s="156"/>
      <c r="J179" s="155"/>
      <c r="K179" s="154"/>
      <c r="L179" s="155"/>
      <c r="M179" s="156"/>
      <c r="N179" s="157"/>
      <c r="R179" s="158"/>
      <c r="S179" s="158"/>
      <c r="T179" s="158"/>
      <c r="V179" s="158"/>
      <c r="W179" s="158"/>
      <c r="X179" s="158"/>
      <c r="Y179" s="56"/>
      <c r="Z179" s="56"/>
      <c r="AA179" s="170"/>
    </row>
    <row r="180" spans="1:27" ht="24" customHeight="1" thickBot="1" x14ac:dyDescent="0.4">
      <c r="A180" s="152"/>
      <c r="B180" s="153"/>
      <c r="C180" s="153"/>
      <c r="D180" s="153"/>
      <c r="E180" s="156"/>
      <c r="F180" s="155"/>
      <c r="G180" s="156"/>
      <c r="H180" s="155"/>
      <c r="I180" s="156"/>
      <c r="J180" s="155"/>
      <c r="K180" s="154"/>
      <c r="L180" s="155"/>
      <c r="M180" s="156"/>
      <c r="N180" s="157"/>
      <c r="R180" s="158"/>
      <c r="S180" s="158"/>
      <c r="T180" s="158"/>
      <c r="V180" s="158"/>
      <c r="W180" s="158"/>
      <c r="X180" s="158"/>
      <c r="Y180" s="56"/>
      <c r="Z180" s="56"/>
      <c r="AA180" s="170"/>
    </row>
    <row r="181" spans="1:27" ht="24" customHeight="1" thickBot="1" x14ac:dyDescent="0.4">
      <c r="A181" s="152"/>
      <c r="B181" s="153"/>
      <c r="C181" s="153"/>
      <c r="D181" s="153"/>
      <c r="E181" s="156"/>
      <c r="F181" s="155"/>
      <c r="G181" s="156"/>
      <c r="H181" s="155"/>
      <c r="I181" s="156"/>
      <c r="J181" s="155"/>
      <c r="K181" s="154"/>
      <c r="L181" s="155"/>
      <c r="M181" s="156"/>
      <c r="N181" s="157"/>
      <c r="R181" s="158"/>
      <c r="S181" s="158"/>
      <c r="T181" s="158"/>
      <c r="V181" s="158"/>
      <c r="W181" s="158"/>
      <c r="X181" s="158"/>
      <c r="Y181" s="56"/>
      <c r="Z181" s="56"/>
      <c r="AA181" s="170"/>
    </row>
    <row r="182" spans="1:27" ht="24" customHeight="1" thickBot="1" x14ac:dyDescent="0.4">
      <c r="A182" s="152"/>
      <c r="B182" s="153"/>
      <c r="C182" s="153"/>
      <c r="D182" s="153"/>
      <c r="E182" s="156"/>
      <c r="F182" s="155"/>
      <c r="G182" s="156"/>
      <c r="H182" s="155"/>
      <c r="I182" s="156"/>
      <c r="J182" s="155"/>
      <c r="K182" s="154"/>
      <c r="L182" s="155"/>
      <c r="M182" s="156"/>
      <c r="N182" s="157"/>
      <c r="R182" s="158"/>
      <c r="S182" s="158"/>
      <c r="T182" s="158"/>
      <c r="V182" s="158"/>
      <c r="W182" s="158"/>
      <c r="X182" s="158"/>
      <c r="Y182" s="56"/>
      <c r="Z182" s="56"/>
      <c r="AA182" s="170"/>
    </row>
    <row r="183" spans="1:27" ht="24" customHeight="1" thickBot="1" x14ac:dyDescent="0.4">
      <c r="A183" s="152"/>
      <c r="B183" s="153"/>
      <c r="C183" s="153"/>
      <c r="D183" s="153"/>
      <c r="E183" s="156"/>
      <c r="F183" s="155"/>
      <c r="G183" s="156"/>
      <c r="H183" s="155"/>
      <c r="I183" s="156"/>
      <c r="J183" s="155"/>
      <c r="K183" s="154"/>
      <c r="L183" s="155"/>
      <c r="M183" s="156"/>
      <c r="N183" s="157"/>
      <c r="R183" s="158"/>
      <c r="S183" s="158"/>
      <c r="T183" s="158"/>
      <c r="V183" s="158"/>
      <c r="W183" s="158"/>
      <c r="X183" s="158"/>
      <c r="Y183" s="56"/>
      <c r="Z183" s="56"/>
      <c r="AA183" s="170"/>
    </row>
    <row r="184" spans="1:27" ht="24" customHeight="1" thickBot="1" x14ac:dyDescent="0.4">
      <c r="A184" s="152"/>
      <c r="B184" s="153"/>
      <c r="C184" s="153"/>
      <c r="D184" s="153"/>
      <c r="E184" s="156"/>
      <c r="F184" s="155"/>
      <c r="G184" s="156"/>
      <c r="H184" s="155"/>
      <c r="I184" s="156"/>
      <c r="J184" s="155"/>
      <c r="K184" s="154"/>
      <c r="L184" s="155"/>
      <c r="M184" s="156"/>
      <c r="N184" s="157"/>
      <c r="R184" s="158"/>
      <c r="S184" s="158"/>
      <c r="T184" s="158"/>
      <c r="V184" s="158"/>
      <c r="W184" s="158"/>
      <c r="X184" s="158"/>
      <c r="Y184" s="56"/>
      <c r="Z184" s="56"/>
      <c r="AA184" s="170"/>
    </row>
    <row r="185" spans="1:27" ht="24" customHeight="1" thickBot="1" x14ac:dyDescent="0.4">
      <c r="A185" s="152"/>
      <c r="B185" s="153"/>
      <c r="C185" s="153"/>
      <c r="D185" s="153"/>
      <c r="E185" s="156"/>
      <c r="F185" s="155"/>
      <c r="G185" s="156"/>
      <c r="H185" s="155"/>
      <c r="I185" s="156"/>
      <c r="J185" s="155"/>
      <c r="K185" s="154"/>
      <c r="L185" s="155"/>
      <c r="M185" s="156"/>
      <c r="N185" s="157"/>
      <c r="R185" s="158"/>
      <c r="S185" s="158"/>
      <c r="T185" s="158"/>
      <c r="V185" s="158"/>
      <c r="W185" s="158"/>
      <c r="X185" s="158"/>
      <c r="Y185" s="56"/>
      <c r="Z185" s="56"/>
      <c r="AA185" s="170"/>
    </row>
    <row r="186" spans="1:27" ht="24" customHeight="1" thickBot="1" x14ac:dyDescent="0.4">
      <c r="A186" s="152"/>
      <c r="B186" s="153"/>
      <c r="C186" s="153"/>
      <c r="D186" s="153"/>
      <c r="E186" s="156"/>
      <c r="F186" s="155"/>
      <c r="G186" s="156"/>
      <c r="H186" s="155"/>
      <c r="I186" s="156"/>
      <c r="J186" s="155"/>
      <c r="K186" s="154"/>
      <c r="L186" s="155"/>
      <c r="M186" s="156"/>
      <c r="N186" s="157"/>
      <c r="R186" s="158"/>
      <c r="S186" s="158"/>
      <c r="T186" s="158"/>
      <c r="V186" s="158"/>
      <c r="W186" s="158"/>
      <c r="X186" s="158"/>
      <c r="Y186" s="56"/>
      <c r="Z186" s="56"/>
      <c r="AA186" s="170"/>
    </row>
    <row r="187" spans="1:27" ht="24" customHeight="1" thickBot="1" x14ac:dyDescent="0.4">
      <c r="A187" s="152"/>
      <c r="B187" s="153"/>
      <c r="C187" s="153"/>
      <c r="D187" s="153"/>
      <c r="E187" s="156"/>
      <c r="F187" s="155"/>
      <c r="G187" s="156"/>
      <c r="H187" s="155"/>
      <c r="I187" s="156"/>
      <c r="J187" s="155"/>
      <c r="K187" s="154"/>
      <c r="L187" s="155"/>
      <c r="M187" s="156"/>
      <c r="N187" s="157"/>
      <c r="R187" s="158"/>
      <c r="S187" s="158"/>
      <c r="T187" s="158"/>
      <c r="V187" s="158"/>
      <c r="W187" s="158"/>
      <c r="X187" s="158"/>
      <c r="Y187" s="56"/>
      <c r="Z187" s="56"/>
      <c r="AA187" s="170"/>
    </row>
    <row r="188" spans="1:27" ht="24" customHeight="1" thickBot="1" x14ac:dyDescent="0.4">
      <c r="A188" s="152"/>
      <c r="B188" s="153"/>
      <c r="C188" s="153"/>
      <c r="D188" s="153"/>
      <c r="E188" s="156"/>
      <c r="F188" s="155"/>
      <c r="G188" s="156"/>
      <c r="H188" s="155"/>
      <c r="I188" s="156"/>
      <c r="J188" s="155"/>
      <c r="K188" s="154"/>
      <c r="L188" s="155"/>
      <c r="M188" s="156"/>
      <c r="N188" s="157"/>
      <c r="R188" s="158"/>
      <c r="S188" s="158"/>
      <c r="T188" s="158"/>
      <c r="V188" s="158"/>
      <c r="W188" s="158"/>
      <c r="X188" s="158"/>
      <c r="Y188" s="56"/>
      <c r="Z188" s="56"/>
      <c r="AA188" s="170"/>
    </row>
    <row r="189" spans="1:27" ht="24" customHeight="1" thickBot="1" x14ac:dyDescent="0.4">
      <c r="A189" s="152"/>
      <c r="B189" s="153"/>
      <c r="C189" s="153"/>
      <c r="D189" s="153"/>
      <c r="E189" s="156"/>
      <c r="F189" s="155"/>
      <c r="G189" s="156"/>
      <c r="H189" s="155"/>
      <c r="I189" s="156"/>
      <c r="J189" s="155"/>
      <c r="K189" s="154"/>
      <c r="L189" s="155"/>
      <c r="M189" s="156"/>
      <c r="N189" s="157"/>
      <c r="R189" s="158"/>
      <c r="S189" s="158"/>
      <c r="T189" s="158"/>
      <c r="V189" s="158"/>
      <c r="W189" s="158"/>
      <c r="X189" s="158"/>
      <c r="Y189" s="56"/>
      <c r="Z189" s="56"/>
      <c r="AA189" s="170"/>
    </row>
    <row r="190" spans="1:27" ht="24" customHeight="1" thickBot="1" x14ac:dyDescent="0.4">
      <c r="A190" s="152"/>
      <c r="B190" s="153"/>
      <c r="C190" s="153"/>
      <c r="D190" s="153"/>
      <c r="E190" s="156"/>
      <c r="F190" s="155"/>
      <c r="G190" s="156"/>
      <c r="H190" s="155"/>
      <c r="I190" s="156"/>
      <c r="J190" s="155"/>
      <c r="K190" s="154"/>
      <c r="L190" s="155"/>
      <c r="M190" s="156"/>
      <c r="N190" s="157"/>
      <c r="R190" s="158"/>
      <c r="S190" s="158"/>
      <c r="T190" s="158"/>
      <c r="V190" s="158"/>
      <c r="W190" s="158"/>
      <c r="X190" s="158"/>
      <c r="Y190" s="56"/>
      <c r="Z190" s="56"/>
      <c r="AA190" s="170"/>
    </row>
    <row r="191" spans="1:27" ht="24" customHeight="1" thickBot="1" x14ac:dyDescent="0.4">
      <c r="A191" s="152"/>
      <c r="B191" s="153"/>
      <c r="C191" s="153"/>
      <c r="D191" s="153"/>
      <c r="E191" s="156"/>
      <c r="F191" s="155"/>
      <c r="G191" s="156"/>
      <c r="H191" s="155"/>
      <c r="I191" s="156"/>
      <c r="J191" s="155"/>
      <c r="K191" s="154"/>
      <c r="L191" s="155"/>
      <c r="M191" s="156"/>
      <c r="N191" s="157"/>
      <c r="R191" s="158"/>
      <c r="S191" s="158"/>
      <c r="T191" s="158"/>
      <c r="V191" s="158"/>
      <c r="W191" s="158"/>
      <c r="X191" s="158"/>
      <c r="Y191" s="56"/>
      <c r="Z191" s="56"/>
      <c r="AA191" s="170"/>
    </row>
    <row r="192" spans="1:27" ht="24" customHeight="1" thickBot="1" x14ac:dyDescent="0.4">
      <c r="A192" s="152"/>
      <c r="B192" s="153"/>
      <c r="C192" s="153"/>
      <c r="D192" s="153"/>
      <c r="E192" s="156"/>
      <c r="F192" s="155"/>
      <c r="G192" s="156"/>
      <c r="H192" s="155"/>
      <c r="I192" s="156"/>
      <c r="J192" s="155"/>
      <c r="K192" s="154"/>
      <c r="L192" s="155"/>
      <c r="M192" s="156"/>
      <c r="N192" s="157"/>
      <c r="R192" s="158"/>
      <c r="S192" s="158"/>
      <c r="T192" s="158"/>
      <c r="V192" s="158"/>
      <c r="W192" s="158"/>
      <c r="X192" s="158"/>
      <c r="Y192" s="56"/>
      <c r="Z192" s="56"/>
      <c r="AA192" s="170"/>
    </row>
    <row r="193" spans="1:27" ht="24" customHeight="1" thickBot="1" x14ac:dyDescent="0.4">
      <c r="A193" s="152"/>
      <c r="B193" s="153"/>
      <c r="C193" s="153"/>
      <c r="D193" s="153"/>
      <c r="E193" s="156"/>
      <c r="F193" s="155"/>
      <c r="G193" s="156"/>
      <c r="H193" s="155"/>
      <c r="I193" s="156"/>
      <c r="J193" s="155"/>
      <c r="K193" s="154"/>
      <c r="L193" s="155"/>
      <c r="M193" s="156"/>
      <c r="N193" s="157"/>
      <c r="R193" s="158"/>
      <c r="S193" s="158"/>
      <c r="T193" s="158"/>
      <c r="V193" s="158"/>
      <c r="W193" s="158"/>
      <c r="X193" s="158"/>
      <c r="Y193" s="56"/>
      <c r="Z193" s="56"/>
      <c r="AA193" s="170"/>
    </row>
    <row r="194" spans="1:27" ht="24" customHeight="1" thickBot="1" x14ac:dyDescent="0.4">
      <c r="A194" s="152"/>
      <c r="B194" s="153"/>
      <c r="C194" s="153"/>
      <c r="D194" s="153"/>
      <c r="E194" s="156"/>
      <c r="F194" s="155"/>
      <c r="G194" s="156"/>
      <c r="H194" s="155"/>
      <c r="I194" s="156"/>
      <c r="J194" s="155"/>
      <c r="K194" s="154"/>
      <c r="L194" s="155"/>
      <c r="M194" s="156"/>
      <c r="N194" s="157"/>
      <c r="R194" s="158"/>
      <c r="S194" s="158"/>
      <c r="T194" s="158"/>
      <c r="V194" s="158"/>
      <c r="W194" s="158"/>
      <c r="X194" s="158"/>
      <c r="Y194" s="56"/>
      <c r="Z194" s="56"/>
      <c r="AA194" s="170"/>
    </row>
    <row r="195" spans="1:27" ht="24" customHeight="1" thickBot="1" x14ac:dyDescent="0.4">
      <c r="A195" s="152"/>
      <c r="B195" s="153"/>
      <c r="C195" s="153"/>
      <c r="D195" s="153"/>
      <c r="E195" s="156"/>
      <c r="F195" s="155"/>
      <c r="G195" s="156"/>
      <c r="H195" s="155"/>
      <c r="I195" s="156"/>
      <c r="J195" s="155"/>
      <c r="K195" s="154"/>
      <c r="L195" s="155"/>
      <c r="M195" s="156"/>
      <c r="N195" s="157"/>
      <c r="R195" s="158"/>
      <c r="S195" s="158"/>
      <c r="T195" s="158"/>
      <c r="V195" s="158"/>
      <c r="W195" s="158"/>
      <c r="X195" s="158"/>
      <c r="Y195" s="56"/>
      <c r="Z195" s="56"/>
      <c r="AA195" s="170"/>
    </row>
    <row r="196" spans="1:27" ht="24" customHeight="1" thickBot="1" x14ac:dyDescent="0.4">
      <c r="A196" s="152"/>
      <c r="B196" s="153"/>
      <c r="C196" s="153"/>
      <c r="D196" s="153"/>
      <c r="E196" s="156"/>
      <c r="F196" s="155"/>
      <c r="G196" s="156"/>
      <c r="H196" s="155"/>
      <c r="I196" s="156"/>
      <c r="J196" s="155"/>
      <c r="K196" s="154"/>
      <c r="L196" s="155"/>
      <c r="M196" s="156"/>
      <c r="N196" s="157"/>
      <c r="R196" s="158"/>
      <c r="S196" s="158"/>
      <c r="T196" s="158"/>
      <c r="V196" s="158"/>
      <c r="W196" s="158"/>
      <c r="X196" s="158"/>
      <c r="Y196" s="56"/>
      <c r="Z196" s="56"/>
      <c r="AA196" s="170"/>
    </row>
    <row r="197" spans="1:27" ht="24" customHeight="1" thickBot="1" x14ac:dyDescent="0.4">
      <c r="A197" s="152"/>
      <c r="B197" s="153"/>
      <c r="C197" s="153"/>
      <c r="D197" s="153"/>
      <c r="E197" s="156"/>
      <c r="F197" s="155"/>
      <c r="G197" s="156"/>
      <c r="H197" s="155"/>
      <c r="I197" s="156"/>
      <c r="J197" s="155"/>
      <c r="K197" s="154"/>
      <c r="L197" s="155"/>
      <c r="M197" s="156"/>
      <c r="N197" s="157"/>
      <c r="R197" s="158"/>
      <c r="S197" s="158"/>
      <c r="T197" s="158"/>
      <c r="V197" s="158"/>
      <c r="W197" s="158"/>
      <c r="X197" s="158"/>
      <c r="Y197" s="56"/>
      <c r="Z197" s="56"/>
      <c r="AA197" s="170"/>
    </row>
    <row r="198" spans="1:27" ht="24" customHeight="1" thickBot="1" x14ac:dyDescent="0.4">
      <c r="A198" s="152"/>
      <c r="B198" s="153"/>
      <c r="C198" s="153"/>
      <c r="D198" s="153"/>
      <c r="E198" s="156"/>
      <c r="F198" s="155"/>
      <c r="G198" s="156"/>
      <c r="H198" s="155"/>
      <c r="I198" s="156"/>
      <c r="J198" s="155"/>
      <c r="K198" s="154"/>
      <c r="L198" s="155"/>
      <c r="M198" s="156"/>
      <c r="N198" s="157"/>
      <c r="R198" s="158"/>
      <c r="S198" s="158"/>
      <c r="T198" s="158"/>
      <c r="V198" s="158"/>
      <c r="W198" s="158"/>
      <c r="X198" s="158"/>
      <c r="Y198" s="56"/>
      <c r="Z198" s="56"/>
      <c r="AA198" s="170"/>
    </row>
    <row r="199" spans="1:27" ht="24" customHeight="1" thickBot="1" x14ac:dyDescent="0.4">
      <c r="A199" s="152"/>
      <c r="B199" s="153"/>
      <c r="C199" s="153"/>
      <c r="D199" s="153"/>
      <c r="E199" s="156"/>
      <c r="F199" s="155"/>
      <c r="G199" s="156"/>
      <c r="H199" s="155"/>
      <c r="I199" s="156"/>
      <c r="J199" s="155"/>
      <c r="K199" s="154"/>
      <c r="L199" s="155"/>
      <c r="M199" s="156"/>
      <c r="N199" s="157"/>
      <c r="R199" s="158"/>
      <c r="S199" s="158"/>
      <c r="T199" s="158"/>
      <c r="V199" s="158"/>
      <c r="W199" s="158"/>
      <c r="X199" s="158"/>
      <c r="Y199" s="56"/>
      <c r="Z199" s="56"/>
      <c r="AA199" s="170"/>
    </row>
    <row r="200" spans="1:27" ht="24" customHeight="1" thickBot="1" x14ac:dyDescent="0.4">
      <c r="A200" s="152"/>
      <c r="B200" s="153"/>
      <c r="C200" s="153"/>
      <c r="D200" s="153"/>
      <c r="E200" s="156"/>
      <c r="F200" s="155"/>
      <c r="G200" s="156"/>
      <c r="H200" s="155"/>
      <c r="I200" s="156"/>
      <c r="J200" s="155"/>
      <c r="K200" s="154"/>
      <c r="L200" s="155"/>
      <c r="M200" s="156"/>
      <c r="N200" s="157"/>
      <c r="R200" s="158"/>
      <c r="S200" s="158"/>
      <c r="T200" s="158"/>
      <c r="V200" s="158"/>
      <c r="W200" s="158"/>
      <c r="X200" s="158"/>
      <c r="Y200" s="56"/>
      <c r="Z200" s="56"/>
      <c r="AA200" s="170"/>
    </row>
    <row r="201" spans="1:27" ht="24" customHeight="1" thickBot="1" x14ac:dyDescent="0.4">
      <c r="A201" s="152"/>
      <c r="B201" s="153"/>
      <c r="C201" s="153"/>
      <c r="D201" s="153"/>
      <c r="E201" s="156"/>
      <c r="F201" s="155"/>
      <c r="G201" s="156"/>
      <c r="H201" s="155"/>
      <c r="I201" s="156"/>
      <c r="J201" s="155"/>
      <c r="K201" s="154"/>
      <c r="L201" s="155"/>
      <c r="M201" s="156"/>
      <c r="N201" s="157"/>
      <c r="R201" s="158"/>
      <c r="S201" s="158"/>
      <c r="T201" s="158"/>
      <c r="V201" s="158"/>
      <c r="W201" s="158"/>
      <c r="X201" s="158"/>
      <c r="Y201" s="56"/>
      <c r="Z201" s="56"/>
      <c r="AA201" s="170"/>
    </row>
    <row r="202" spans="1:27" ht="24" customHeight="1" thickBot="1" x14ac:dyDescent="0.4">
      <c r="A202" s="152"/>
      <c r="B202" s="153"/>
      <c r="C202" s="153"/>
      <c r="D202" s="153"/>
      <c r="E202" s="156"/>
      <c r="F202" s="155"/>
      <c r="G202" s="156"/>
      <c r="H202" s="155"/>
      <c r="I202" s="156"/>
      <c r="J202" s="155"/>
      <c r="K202" s="154"/>
      <c r="L202" s="155"/>
      <c r="M202" s="156"/>
      <c r="N202" s="157"/>
      <c r="R202" s="158"/>
      <c r="S202" s="158"/>
      <c r="T202" s="158"/>
      <c r="V202" s="158"/>
      <c r="W202" s="158"/>
      <c r="X202" s="158"/>
      <c r="Y202" s="56"/>
      <c r="Z202" s="56"/>
      <c r="AA202" s="170"/>
    </row>
    <row r="203" spans="1:27" ht="24" customHeight="1" thickBot="1" x14ac:dyDescent="0.4">
      <c r="A203" s="152"/>
      <c r="B203" s="153"/>
      <c r="C203" s="153"/>
      <c r="D203" s="153"/>
      <c r="E203" s="156"/>
      <c r="F203" s="155"/>
      <c r="G203" s="156"/>
      <c r="H203" s="155"/>
      <c r="I203" s="156"/>
      <c r="J203" s="155"/>
      <c r="K203" s="154"/>
      <c r="L203" s="155"/>
      <c r="M203" s="156"/>
      <c r="N203" s="157"/>
      <c r="R203" s="158"/>
      <c r="S203" s="158"/>
      <c r="T203" s="158"/>
      <c r="V203" s="158"/>
      <c r="W203" s="158"/>
      <c r="X203" s="158"/>
      <c r="Y203" s="56"/>
      <c r="Z203" s="56"/>
      <c r="AA203" s="170"/>
    </row>
    <row r="204" spans="1:27" ht="24" customHeight="1" thickBot="1" x14ac:dyDescent="0.4">
      <c r="A204" s="152"/>
      <c r="B204" s="153"/>
      <c r="C204" s="153"/>
      <c r="D204" s="153"/>
      <c r="E204" s="156"/>
      <c r="F204" s="155"/>
      <c r="G204" s="156"/>
      <c r="H204" s="155"/>
      <c r="I204" s="156"/>
      <c r="J204" s="155"/>
      <c r="K204" s="154"/>
      <c r="L204" s="155"/>
      <c r="M204" s="156"/>
      <c r="N204" s="157"/>
      <c r="R204" s="158"/>
      <c r="S204" s="158"/>
      <c r="T204" s="158"/>
      <c r="V204" s="158"/>
      <c r="W204" s="158"/>
      <c r="X204" s="158"/>
      <c r="Y204" s="56"/>
      <c r="Z204" s="56"/>
      <c r="AA204" s="170"/>
    </row>
    <row r="205" spans="1:27" ht="24" customHeight="1" thickBot="1" x14ac:dyDescent="0.4">
      <c r="A205" s="152"/>
      <c r="B205" s="153"/>
      <c r="C205" s="153"/>
      <c r="D205" s="153"/>
      <c r="E205" s="156"/>
      <c r="F205" s="155"/>
      <c r="G205" s="156"/>
      <c r="H205" s="155"/>
      <c r="I205" s="156"/>
      <c r="J205" s="155"/>
      <c r="K205" s="154"/>
      <c r="L205" s="155"/>
      <c r="M205" s="156"/>
      <c r="N205" s="157"/>
      <c r="R205" s="158"/>
      <c r="S205" s="158"/>
      <c r="T205" s="158"/>
      <c r="V205" s="158"/>
      <c r="W205" s="158"/>
      <c r="X205" s="158"/>
      <c r="Y205" s="56"/>
      <c r="Z205" s="56"/>
      <c r="AA205" s="170"/>
    </row>
    <row r="206" spans="1:27" ht="24" customHeight="1" thickBot="1" x14ac:dyDescent="0.4">
      <c r="A206" s="152"/>
      <c r="B206" s="153"/>
      <c r="C206" s="153"/>
      <c r="D206" s="153"/>
      <c r="E206" s="156"/>
      <c r="F206" s="155"/>
      <c r="G206" s="156"/>
      <c r="H206" s="155"/>
      <c r="I206" s="156"/>
      <c r="J206" s="155"/>
      <c r="K206" s="154"/>
      <c r="L206" s="155"/>
      <c r="M206" s="156"/>
      <c r="N206" s="157"/>
      <c r="R206" s="158"/>
      <c r="S206" s="158"/>
      <c r="T206" s="158"/>
      <c r="V206" s="158"/>
      <c r="W206" s="158"/>
      <c r="X206" s="158"/>
      <c r="Y206" s="56"/>
      <c r="Z206" s="56"/>
      <c r="AA206" s="170"/>
    </row>
    <row r="207" spans="1:27" ht="24" customHeight="1" thickBot="1" x14ac:dyDescent="0.4">
      <c r="A207" s="152"/>
      <c r="B207" s="153"/>
      <c r="C207" s="153"/>
      <c r="D207" s="153"/>
      <c r="E207" s="156"/>
      <c r="F207" s="155"/>
      <c r="G207" s="156"/>
      <c r="H207" s="155"/>
      <c r="I207" s="156"/>
      <c r="J207" s="155"/>
      <c r="K207" s="154"/>
      <c r="L207" s="155"/>
      <c r="M207" s="156"/>
      <c r="N207" s="157"/>
      <c r="R207" s="158"/>
      <c r="S207" s="158"/>
      <c r="T207" s="158"/>
      <c r="V207" s="158"/>
      <c r="W207" s="158"/>
      <c r="X207" s="158"/>
      <c r="Y207" s="56"/>
      <c r="Z207" s="56"/>
      <c r="AA207" s="170"/>
    </row>
    <row r="208" spans="1:27" ht="24" customHeight="1" thickBot="1" x14ac:dyDescent="0.4">
      <c r="A208" s="152"/>
      <c r="B208" s="153"/>
      <c r="C208" s="153"/>
      <c r="D208" s="153"/>
      <c r="E208" s="156"/>
      <c r="F208" s="155"/>
      <c r="G208" s="156"/>
      <c r="H208" s="155"/>
      <c r="I208" s="156"/>
      <c r="J208" s="155"/>
      <c r="K208" s="154"/>
      <c r="L208" s="155"/>
      <c r="M208" s="156"/>
      <c r="N208" s="157"/>
      <c r="R208" s="158"/>
      <c r="S208" s="158"/>
      <c r="T208" s="158"/>
      <c r="V208" s="158"/>
      <c r="W208" s="158"/>
      <c r="X208" s="158"/>
      <c r="Y208" s="56"/>
      <c r="Z208" s="56"/>
      <c r="AA208" s="170"/>
    </row>
    <row r="209" spans="1:27" ht="24" customHeight="1" thickBot="1" x14ac:dyDescent="0.4">
      <c r="A209" s="152"/>
      <c r="B209" s="153"/>
      <c r="C209" s="153"/>
      <c r="D209" s="153"/>
      <c r="E209" s="156"/>
      <c r="F209" s="155"/>
      <c r="G209" s="156"/>
      <c r="H209" s="155"/>
      <c r="I209" s="156"/>
      <c r="J209" s="155"/>
      <c r="K209" s="154"/>
      <c r="L209" s="155"/>
      <c r="M209" s="156"/>
      <c r="N209" s="157"/>
      <c r="R209" s="158"/>
      <c r="S209" s="158"/>
      <c r="T209" s="158"/>
      <c r="V209" s="158"/>
      <c r="W209" s="158"/>
      <c r="X209" s="158"/>
      <c r="Y209" s="56"/>
      <c r="Z209" s="56"/>
      <c r="AA209" s="170"/>
    </row>
    <row r="210" spans="1:27" ht="24" customHeight="1" thickBot="1" x14ac:dyDescent="0.4">
      <c r="A210" s="152"/>
      <c r="B210" s="153"/>
      <c r="C210" s="153"/>
      <c r="D210" s="153"/>
      <c r="E210" s="156"/>
      <c r="F210" s="155"/>
      <c r="G210" s="156"/>
      <c r="H210" s="155"/>
      <c r="I210" s="156"/>
      <c r="J210" s="155"/>
      <c r="K210" s="154"/>
      <c r="L210" s="155"/>
      <c r="M210" s="156"/>
      <c r="N210" s="157"/>
      <c r="R210" s="158"/>
      <c r="S210" s="158"/>
      <c r="T210" s="158"/>
      <c r="V210" s="158"/>
      <c r="W210" s="158"/>
      <c r="X210" s="158"/>
      <c r="Y210" s="56"/>
      <c r="Z210" s="56"/>
      <c r="AA210" s="170"/>
    </row>
    <row r="211" spans="1:27" ht="24" customHeight="1" thickBot="1" x14ac:dyDescent="0.4">
      <c r="A211" s="152"/>
      <c r="B211" s="153"/>
      <c r="C211" s="153"/>
      <c r="D211" s="153"/>
      <c r="E211" s="156"/>
      <c r="F211" s="155"/>
      <c r="G211" s="156"/>
      <c r="H211" s="155"/>
      <c r="I211" s="156"/>
      <c r="J211" s="155"/>
      <c r="K211" s="154"/>
      <c r="L211" s="155"/>
      <c r="M211" s="156"/>
      <c r="N211" s="157"/>
      <c r="R211" s="158"/>
      <c r="S211" s="158"/>
      <c r="T211" s="158"/>
      <c r="V211" s="158"/>
      <c r="W211" s="158"/>
      <c r="X211" s="158"/>
      <c r="Y211" s="56"/>
      <c r="Z211" s="56"/>
      <c r="AA211" s="170"/>
    </row>
    <row r="212" spans="1:27" ht="24" customHeight="1" thickBot="1" x14ac:dyDescent="0.4">
      <c r="A212" s="152"/>
      <c r="B212" s="153"/>
      <c r="C212" s="153"/>
      <c r="D212" s="153"/>
      <c r="E212" s="156"/>
      <c r="F212" s="155"/>
      <c r="G212" s="156"/>
      <c r="H212" s="155"/>
      <c r="I212" s="156"/>
      <c r="J212" s="155"/>
      <c r="K212" s="154"/>
      <c r="L212" s="155"/>
      <c r="M212" s="156"/>
      <c r="N212" s="157"/>
      <c r="R212" s="158"/>
      <c r="S212" s="158"/>
      <c r="T212" s="158"/>
      <c r="V212" s="158"/>
      <c r="W212" s="158"/>
      <c r="X212" s="158"/>
      <c r="Y212" s="56"/>
      <c r="Z212" s="56"/>
      <c r="AA212" s="170"/>
    </row>
    <row r="213" spans="1:27" ht="24" customHeight="1" thickBot="1" x14ac:dyDescent="0.4">
      <c r="A213" s="152"/>
      <c r="B213" s="153"/>
      <c r="C213" s="153"/>
      <c r="D213" s="153"/>
      <c r="E213" s="156"/>
      <c r="F213" s="155"/>
      <c r="G213" s="156"/>
      <c r="H213" s="155"/>
      <c r="I213" s="156"/>
      <c r="J213" s="155"/>
      <c r="K213" s="154"/>
      <c r="L213" s="155"/>
      <c r="M213" s="156"/>
      <c r="N213" s="157"/>
      <c r="R213" s="158"/>
      <c r="S213" s="158"/>
      <c r="T213" s="158"/>
      <c r="V213" s="158"/>
      <c r="W213" s="158"/>
      <c r="X213" s="158"/>
      <c r="Y213" s="56"/>
      <c r="Z213" s="56"/>
      <c r="AA213" s="170"/>
    </row>
    <row r="214" spans="1:27" ht="24" customHeight="1" thickBot="1" x14ac:dyDescent="0.4">
      <c r="A214" s="152"/>
      <c r="B214" s="153"/>
      <c r="C214" s="153"/>
      <c r="D214" s="153"/>
      <c r="E214" s="156"/>
      <c r="F214" s="155"/>
      <c r="G214" s="156"/>
      <c r="H214" s="155"/>
      <c r="I214" s="156"/>
      <c r="J214" s="155"/>
      <c r="K214" s="154"/>
      <c r="L214" s="155"/>
      <c r="M214" s="156"/>
      <c r="N214" s="157"/>
      <c r="R214" s="158"/>
      <c r="S214" s="158"/>
      <c r="T214" s="158"/>
      <c r="V214" s="158"/>
      <c r="W214" s="158"/>
      <c r="X214" s="158"/>
      <c r="Y214" s="56"/>
      <c r="Z214" s="56"/>
      <c r="AA214" s="170"/>
    </row>
    <row r="215" spans="1:27" ht="24" customHeight="1" thickBot="1" x14ac:dyDescent="0.4">
      <c r="A215" s="152"/>
      <c r="B215" s="153"/>
      <c r="C215" s="153"/>
      <c r="D215" s="153"/>
      <c r="E215" s="156"/>
      <c r="F215" s="155"/>
      <c r="G215" s="156"/>
      <c r="H215" s="155"/>
      <c r="I215" s="156"/>
      <c r="J215" s="155"/>
      <c r="K215" s="154"/>
      <c r="L215" s="155"/>
      <c r="M215" s="156"/>
      <c r="N215" s="157"/>
      <c r="R215" s="158"/>
      <c r="S215" s="158"/>
      <c r="T215" s="158"/>
      <c r="V215" s="158"/>
      <c r="W215" s="158"/>
      <c r="X215" s="158"/>
      <c r="Y215" s="56"/>
      <c r="Z215" s="56"/>
      <c r="AA215" s="170"/>
    </row>
    <row r="216" spans="1:27" ht="24" customHeight="1" thickBot="1" x14ac:dyDescent="0.4">
      <c r="A216" s="152"/>
      <c r="B216" s="153"/>
      <c r="C216" s="153"/>
      <c r="D216" s="153"/>
      <c r="E216" s="156"/>
      <c r="F216" s="155"/>
      <c r="G216" s="156"/>
      <c r="H216" s="155"/>
      <c r="I216" s="156"/>
      <c r="J216" s="155"/>
      <c r="K216" s="154"/>
      <c r="L216" s="155"/>
      <c r="M216" s="156"/>
      <c r="N216" s="157"/>
      <c r="R216" s="158"/>
      <c r="S216" s="158"/>
      <c r="T216" s="158"/>
      <c r="V216" s="158"/>
      <c r="W216" s="158"/>
      <c r="X216" s="158"/>
      <c r="Y216" s="56"/>
      <c r="Z216" s="56"/>
      <c r="AA216" s="170"/>
    </row>
    <row r="217" spans="1:27" ht="24" customHeight="1" thickBot="1" x14ac:dyDescent="0.4">
      <c r="A217" s="152"/>
      <c r="B217" s="153"/>
      <c r="C217" s="153"/>
      <c r="D217" s="153"/>
      <c r="E217" s="156"/>
      <c r="F217" s="155"/>
      <c r="G217" s="156"/>
      <c r="H217" s="155"/>
      <c r="I217" s="156"/>
      <c r="J217" s="155"/>
      <c r="K217" s="154"/>
      <c r="L217" s="155"/>
      <c r="M217" s="156"/>
      <c r="N217" s="157"/>
      <c r="R217" s="158"/>
      <c r="S217" s="158"/>
      <c r="T217" s="158"/>
      <c r="V217" s="158"/>
      <c r="W217" s="158"/>
      <c r="X217" s="158"/>
      <c r="Y217" s="56"/>
      <c r="Z217" s="56"/>
      <c r="AA217" s="170"/>
    </row>
    <row r="218" spans="1:27" ht="24" customHeight="1" thickBot="1" x14ac:dyDescent="0.4">
      <c r="A218" s="152"/>
      <c r="B218" s="153"/>
      <c r="C218" s="153"/>
      <c r="D218" s="153"/>
      <c r="E218" s="156"/>
      <c r="F218" s="155"/>
      <c r="G218" s="156"/>
      <c r="H218" s="155"/>
      <c r="I218" s="156"/>
      <c r="J218" s="155"/>
      <c r="K218" s="154"/>
      <c r="L218" s="155"/>
      <c r="M218" s="156"/>
      <c r="N218" s="157"/>
      <c r="R218" s="158"/>
      <c r="S218" s="158"/>
      <c r="T218" s="158"/>
      <c r="V218" s="158"/>
      <c r="W218" s="158"/>
      <c r="X218" s="158"/>
      <c r="Y218" s="56"/>
      <c r="Z218" s="56"/>
      <c r="AA218" s="170"/>
    </row>
    <row r="219" spans="1:27" ht="24" customHeight="1" thickBot="1" x14ac:dyDescent="0.4">
      <c r="A219" s="152"/>
      <c r="B219" s="153"/>
      <c r="C219" s="153"/>
      <c r="D219" s="153"/>
      <c r="E219" s="156"/>
      <c r="F219" s="155"/>
      <c r="G219" s="156"/>
      <c r="H219" s="155"/>
      <c r="I219" s="156"/>
      <c r="J219" s="155"/>
      <c r="K219" s="154"/>
      <c r="L219" s="155"/>
      <c r="M219" s="156"/>
      <c r="N219" s="157"/>
      <c r="R219" s="158"/>
      <c r="S219" s="158"/>
      <c r="T219" s="158"/>
      <c r="V219" s="158"/>
      <c r="W219" s="158"/>
      <c r="X219" s="158"/>
      <c r="Y219" s="56"/>
      <c r="Z219" s="56"/>
      <c r="AA219" s="170"/>
    </row>
    <row r="220" spans="1:27" ht="24" customHeight="1" thickBot="1" x14ac:dyDescent="0.4">
      <c r="A220" s="152"/>
      <c r="B220" s="153"/>
      <c r="C220" s="153"/>
      <c r="D220" s="153"/>
      <c r="E220" s="156"/>
      <c r="F220" s="155"/>
      <c r="G220" s="156"/>
      <c r="H220" s="155"/>
      <c r="I220" s="156"/>
      <c r="J220" s="155"/>
      <c r="K220" s="156"/>
      <c r="L220" s="155"/>
      <c r="M220" s="156"/>
      <c r="N220" s="157"/>
      <c r="R220" s="158"/>
      <c r="S220" s="158"/>
      <c r="T220" s="158"/>
      <c r="V220" s="158"/>
      <c r="W220" s="158"/>
      <c r="X220" s="158"/>
      <c r="Y220" s="56"/>
      <c r="Z220" s="56"/>
      <c r="AA220" s="170"/>
    </row>
    <row r="221" spans="1:27" ht="24" customHeight="1" thickBot="1" x14ac:dyDescent="0.4">
      <c r="A221" s="152"/>
      <c r="B221" s="153"/>
      <c r="C221" s="153"/>
      <c r="D221" s="153"/>
      <c r="E221" s="156"/>
      <c r="F221" s="155"/>
      <c r="G221" s="156"/>
      <c r="H221" s="155"/>
      <c r="I221" s="156"/>
      <c r="J221" s="155"/>
      <c r="K221" s="156"/>
      <c r="L221" s="155"/>
      <c r="M221" s="156"/>
      <c r="N221" s="157"/>
      <c r="R221" s="158"/>
      <c r="S221" s="158"/>
      <c r="T221" s="158"/>
      <c r="V221" s="158"/>
      <c r="W221" s="158"/>
      <c r="X221" s="158"/>
      <c r="Y221" s="56"/>
      <c r="Z221" s="56"/>
      <c r="AA221" s="170"/>
    </row>
    <row r="222" spans="1:27" ht="24" customHeight="1" thickBot="1" x14ac:dyDescent="0.4">
      <c r="A222" s="152"/>
      <c r="B222" s="153"/>
      <c r="C222" s="153"/>
      <c r="D222" s="153"/>
      <c r="E222" s="156"/>
      <c r="F222" s="155"/>
      <c r="G222" s="156"/>
      <c r="H222" s="155"/>
      <c r="I222" s="156"/>
      <c r="J222" s="155"/>
      <c r="K222" s="156"/>
      <c r="L222" s="155"/>
      <c r="M222" s="156"/>
      <c r="N222" s="157"/>
      <c r="R222" s="158"/>
      <c r="S222" s="158"/>
      <c r="T222" s="158"/>
      <c r="V222" s="158"/>
      <c r="W222" s="158"/>
      <c r="X222" s="158"/>
      <c r="Y222" s="56"/>
      <c r="Z222" s="56"/>
      <c r="AA222" s="170"/>
    </row>
    <row r="223" spans="1:27" ht="24" customHeight="1" thickBot="1" x14ac:dyDescent="0.4">
      <c r="A223" s="152"/>
      <c r="B223" s="153"/>
      <c r="C223" s="153"/>
      <c r="D223" s="153"/>
      <c r="E223" s="156"/>
      <c r="F223" s="155"/>
      <c r="G223" s="156"/>
      <c r="H223" s="155"/>
      <c r="I223" s="156"/>
      <c r="J223" s="155"/>
      <c r="K223" s="156"/>
      <c r="L223" s="155"/>
      <c r="M223" s="156"/>
      <c r="N223" s="157"/>
      <c r="R223" s="158"/>
      <c r="S223" s="158"/>
      <c r="T223" s="158"/>
      <c r="V223" s="158"/>
      <c r="W223" s="158"/>
      <c r="X223" s="158"/>
      <c r="Y223" s="56"/>
      <c r="Z223" s="56"/>
      <c r="AA223" s="170"/>
    </row>
    <row r="224" spans="1:27" ht="24" customHeight="1" thickBot="1" x14ac:dyDescent="0.4">
      <c r="A224" s="152"/>
      <c r="B224" s="153"/>
      <c r="C224" s="153"/>
      <c r="D224" s="153"/>
      <c r="E224" s="156"/>
      <c r="F224" s="155"/>
      <c r="G224" s="156"/>
      <c r="H224" s="155"/>
      <c r="I224" s="156"/>
      <c r="J224" s="155"/>
      <c r="K224" s="156"/>
      <c r="L224" s="155"/>
      <c r="M224" s="156"/>
      <c r="N224" s="157"/>
      <c r="R224" s="158"/>
      <c r="S224" s="158"/>
      <c r="T224" s="158"/>
      <c r="V224" s="158"/>
      <c r="W224" s="158"/>
      <c r="X224" s="158"/>
      <c r="Y224" s="56"/>
      <c r="Z224" s="56"/>
      <c r="AA224" s="170"/>
    </row>
    <row r="225" spans="1:27" ht="24" customHeight="1" thickBot="1" x14ac:dyDescent="0.4">
      <c r="A225" s="152"/>
      <c r="B225" s="153"/>
      <c r="C225" s="153"/>
      <c r="D225" s="153"/>
      <c r="E225" s="156"/>
      <c r="F225" s="155"/>
      <c r="G225" s="156"/>
      <c r="H225" s="155"/>
      <c r="I225" s="156"/>
      <c r="J225" s="155"/>
      <c r="K225" s="156"/>
      <c r="L225" s="155"/>
      <c r="M225" s="156"/>
      <c r="N225" s="157"/>
      <c r="R225" s="158"/>
      <c r="S225" s="158"/>
      <c r="T225" s="158"/>
      <c r="V225" s="158"/>
      <c r="W225" s="158"/>
      <c r="X225" s="158"/>
      <c r="Y225" s="56"/>
      <c r="Z225" s="56"/>
      <c r="AA225" s="170"/>
    </row>
    <row r="226" spans="1:27" ht="24" customHeight="1" thickBot="1" x14ac:dyDescent="0.4">
      <c r="A226" s="152"/>
      <c r="B226" s="153"/>
      <c r="C226" s="153"/>
      <c r="D226" s="153"/>
      <c r="E226" s="156"/>
      <c r="F226" s="155"/>
      <c r="G226" s="156"/>
      <c r="H226" s="155"/>
      <c r="I226" s="156"/>
      <c r="J226" s="155"/>
      <c r="K226" s="156"/>
      <c r="L226" s="155"/>
      <c r="M226" s="156"/>
      <c r="N226" s="157"/>
      <c r="R226" s="158"/>
      <c r="S226" s="158"/>
      <c r="T226" s="158"/>
      <c r="V226" s="158"/>
      <c r="W226" s="158"/>
      <c r="X226" s="158"/>
      <c r="Y226" s="56"/>
      <c r="Z226" s="56"/>
      <c r="AA226" s="170"/>
    </row>
    <row r="227" spans="1:27" ht="24" customHeight="1" thickBot="1" x14ac:dyDescent="0.4">
      <c r="A227" s="152"/>
      <c r="B227" s="153"/>
      <c r="C227" s="153"/>
      <c r="D227" s="153"/>
      <c r="E227" s="156"/>
      <c r="F227" s="155"/>
      <c r="G227" s="156"/>
      <c r="H227" s="155"/>
      <c r="I227" s="156"/>
      <c r="J227" s="155"/>
      <c r="K227" s="156"/>
      <c r="L227" s="155"/>
      <c r="M227" s="156"/>
      <c r="N227" s="157"/>
      <c r="R227" s="158"/>
      <c r="S227" s="158"/>
      <c r="T227" s="158"/>
      <c r="V227" s="158"/>
      <c r="W227" s="158"/>
      <c r="X227" s="158"/>
      <c r="Y227" s="56"/>
      <c r="Z227" s="56"/>
      <c r="AA227" s="170"/>
    </row>
    <row r="228" spans="1:27" ht="24" customHeight="1" thickBot="1" x14ac:dyDescent="0.4">
      <c r="A228" s="152"/>
      <c r="B228" s="153"/>
      <c r="C228" s="153"/>
      <c r="D228" s="153"/>
      <c r="E228" s="156"/>
      <c r="F228" s="155"/>
      <c r="G228" s="156"/>
      <c r="H228" s="155"/>
      <c r="I228" s="156"/>
      <c r="J228" s="155"/>
      <c r="K228" s="156"/>
      <c r="L228" s="155"/>
      <c r="M228" s="156"/>
      <c r="N228" s="157"/>
      <c r="R228" s="158"/>
      <c r="S228" s="158"/>
      <c r="T228" s="158"/>
      <c r="V228" s="158"/>
      <c r="W228" s="158"/>
      <c r="X228" s="158"/>
      <c r="Y228" s="56"/>
      <c r="Z228" s="56"/>
      <c r="AA228" s="170"/>
    </row>
    <row r="229" spans="1:27" ht="24" customHeight="1" thickBot="1" x14ac:dyDescent="0.4">
      <c r="A229" s="152"/>
      <c r="B229" s="153"/>
      <c r="C229" s="153"/>
      <c r="D229" s="153"/>
      <c r="E229" s="156"/>
      <c r="F229" s="155"/>
      <c r="G229" s="156"/>
      <c r="H229" s="155"/>
      <c r="I229" s="156"/>
      <c r="J229" s="155"/>
      <c r="K229" s="156"/>
      <c r="L229" s="155"/>
      <c r="M229" s="156"/>
      <c r="N229" s="157"/>
      <c r="R229" s="158"/>
      <c r="S229" s="158"/>
      <c r="T229" s="158"/>
      <c r="V229" s="158"/>
      <c r="W229" s="158"/>
      <c r="X229" s="158"/>
      <c r="Y229" s="56"/>
      <c r="Z229" s="56"/>
      <c r="AA229" s="170"/>
    </row>
    <row r="230" spans="1:27" ht="24" customHeight="1" thickBot="1" x14ac:dyDescent="0.4">
      <c r="A230" s="152"/>
      <c r="B230" s="153"/>
      <c r="C230" s="153"/>
      <c r="D230" s="153"/>
      <c r="E230" s="156"/>
      <c r="F230" s="155"/>
      <c r="G230" s="156"/>
      <c r="H230" s="155"/>
      <c r="I230" s="156"/>
      <c r="J230" s="155"/>
      <c r="K230" s="156"/>
      <c r="L230" s="155"/>
      <c r="M230" s="156"/>
      <c r="N230" s="157"/>
      <c r="R230" s="158"/>
      <c r="S230" s="158"/>
      <c r="T230" s="158"/>
      <c r="V230" s="158"/>
      <c r="W230" s="158"/>
      <c r="X230" s="158"/>
      <c r="Y230" s="56"/>
      <c r="Z230" s="56"/>
      <c r="AA230" s="170"/>
    </row>
    <row r="231" spans="1:27" ht="24" customHeight="1" thickBot="1" x14ac:dyDescent="0.4">
      <c r="A231" s="152"/>
      <c r="B231" s="153"/>
      <c r="C231" s="153"/>
      <c r="D231" s="153"/>
      <c r="E231" s="156"/>
      <c r="F231" s="155"/>
      <c r="G231" s="156"/>
      <c r="H231" s="155"/>
      <c r="I231" s="156"/>
      <c r="J231" s="155"/>
      <c r="K231" s="156"/>
      <c r="L231" s="155"/>
      <c r="M231" s="156"/>
      <c r="N231" s="157"/>
      <c r="R231" s="158"/>
      <c r="S231" s="158"/>
      <c r="T231" s="158"/>
      <c r="V231" s="158"/>
      <c r="W231" s="158"/>
      <c r="X231" s="158"/>
      <c r="Y231" s="56"/>
      <c r="Z231" s="56"/>
      <c r="AA231" s="170"/>
    </row>
    <row r="232" spans="1:27" ht="24" customHeight="1" thickBot="1" x14ac:dyDescent="0.4">
      <c r="A232" s="152"/>
      <c r="B232" s="153"/>
      <c r="C232" s="153"/>
      <c r="D232" s="153"/>
      <c r="E232" s="156"/>
      <c r="F232" s="155"/>
      <c r="G232" s="156"/>
      <c r="H232" s="155"/>
      <c r="I232" s="156"/>
      <c r="J232" s="155"/>
      <c r="K232" s="156"/>
      <c r="L232" s="155"/>
      <c r="M232" s="156"/>
      <c r="N232" s="157"/>
      <c r="R232" s="158"/>
      <c r="S232" s="158"/>
      <c r="T232" s="158"/>
      <c r="V232" s="158"/>
      <c r="W232" s="158"/>
      <c r="X232" s="158"/>
      <c r="Y232" s="56"/>
      <c r="Z232" s="56"/>
      <c r="AA232" s="170"/>
    </row>
    <row r="233" spans="1:27" ht="24" customHeight="1" thickBot="1" x14ac:dyDescent="0.4">
      <c r="A233" s="152"/>
      <c r="B233" s="153"/>
      <c r="C233" s="153"/>
      <c r="D233" s="153"/>
      <c r="E233" s="156"/>
      <c r="F233" s="155"/>
      <c r="G233" s="156"/>
      <c r="H233" s="155"/>
      <c r="I233" s="156"/>
      <c r="J233" s="155"/>
      <c r="K233" s="156"/>
      <c r="L233" s="155"/>
      <c r="M233" s="156"/>
      <c r="N233" s="157"/>
      <c r="R233" s="158"/>
      <c r="S233" s="158"/>
      <c r="T233" s="158"/>
      <c r="V233" s="158"/>
      <c r="W233" s="158"/>
      <c r="X233" s="158"/>
      <c r="Y233" s="56"/>
      <c r="Z233" s="56"/>
      <c r="AA233" s="170"/>
    </row>
    <row r="234" spans="1:27" ht="24" customHeight="1" thickBot="1" x14ac:dyDescent="0.4">
      <c r="A234" s="152"/>
      <c r="B234" s="153"/>
      <c r="C234" s="153"/>
      <c r="D234" s="153"/>
      <c r="E234" s="156"/>
      <c r="F234" s="155"/>
      <c r="G234" s="156"/>
      <c r="H234" s="155"/>
      <c r="I234" s="156"/>
      <c r="J234" s="155"/>
      <c r="K234" s="156"/>
      <c r="L234" s="155"/>
      <c r="M234" s="156"/>
      <c r="N234" s="157"/>
      <c r="R234" s="158"/>
      <c r="S234" s="158"/>
      <c r="T234" s="158"/>
      <c r="V234" s="158"/>
      <c r="W234" s="158"/>
      <c r="X234" s="158"/>
      <c r="Y234" s="56"/>
      <c r="Z234" s="56"/>
      <c r="AA234" s="170"/>
    </row>
    <row r="235" spans="1:27" ht="24" customHeight="1" thickBot="1" x14ac:dyDescent="0.4">
      <c r="A235" s="152"/>
      <c r="B235" s="153"/>
      <c r="C235" s="153"/>
      <c r="D235" s="153"/>
      <c r="E235" s="156"/>
      <c r="F235" s="155"/>
      <c r="G235" s="156"/>
      <c r="H235" s="155"/>
      <c r="I235" s="156"/>
      <c r="J235" s="155"/>
      <c r="K235" s="156"/>
      <c r="L235" s="155"/>
      <c r="M235" s="156"/>
      <c r="N235" s="157"/>
      <c r="R235" s="158"/>
      <c r="S235" s="158"/>
      <c r="T235" s="158"/>
      <c r="V235" s="158"/>
      <c r="W235" s="158"/>
      <c r="X235" s="158"/>
      <c r="Y235" s="56"/>
      <c r="Z235" s="56"/>
      <c r="AA235" s="170"/>
    </row>
    <row r="236" spans="1:27" ht="24" customHeight="1" thickBot="1" x14ac:dyDescent="0.4">
      <c r="A236" s="152"/>
      <c r="B236" s="153"/>
      <c r="C236" s="153"/>
      <c r="D236" s="153"/>
      <c r="E236" s="156"/>
      <c r="F236" s="155"/>
      <c r="G236" s="156"/>
      <c r="H236" s="155"/>
      <c r="I236" s="156"/>
      <c r="J236" s="155"/>
      <c r="K236" s="156"/>
      <c r="L236" s="155"/>
      <c r="M236" s="156"/>
      <c r="N236" s="157"/>
      <c r="R236" s="158"/>
      <c r="S236" s="158"/>
      <c r="T236" s="158"/>
      <c r="V236" s="158"/>
      <c r="W236" s="158"/>
      <c r="X236" s="158"/>
      <c r="Y236" s="56"/>
      <c r="Z236" s="56"/>
      <c r="AA236" s="170"/>
    </row>
    <row r="237" spans="1:27" ht="24" customHeight="1" thickBot="1" x14ac:dyDescent="0.4">
      <c r="A237" s="152"/>
      <c r="B237" s="153"/>
      <c r="C237" s="153"/>
      <c r="D237" s="153"/>
      <c r="E237" s="156"/>
      <c r="F237" s="155"/>
      <c r="G237" s="156"/>
      <c r="H237" s="155"/>
      <c r="I237" s="156"/>
      <c r="J237" s="155"/>
      <c r="K237" s="156"/>
      <c r="L237" s="155"/>
      <c r="M237" s="156"/>
      <c r="N237" s="157"/>
      <c r="R237" s="158"/>
      <c r="S237" s="158"/>
      <c r="T237" s="158"/>
      <c r="V237" s="158"/>
      <c r="W237" s="158"/>
      <c r="X237" s="158"/>
      <c r="Y237" s="56"/>
      <c r="Z237" s="56"/>
      <c r="AA237" s="170"/>
    </row>
    <row r="238" spans="1:27" ht="24" customHeight="1" thickBot="1" x14ac:dyDescent="0.4">
      <c r="A238" s="152"/>
      <c r="B238" s="153"/>
      <c r="C238" s="153"/>
      <c r="D238" s="153"/>
      <c r="E238" s="156"/>
      <c r="F238" s="155"/>
      <c r="G238" s="156"/>
      <c r="H238" s="155"/>
      <c r="I238" s="156"/>
      <c r="J238" s="155"/>
      <c r="K238" s="156"/>
      <c r="L238" s="155"/>
      <c r="M238" s="156"/>
      <c r="N238" s="157"/>
      <c r="R238" s="158"/>
      <c r="S238" s="158"/>
      <c r="T238" s="158"/>
      <c r="V238" s="158"/>
      <c r="W238" s="158"/>
      <c r="X238" s="158"/>
      <c r="Y238" s="56"/>
      <c r="Z238" s="56"/>
      <c r="AA238" s="170"/>
    </row>
    <row r="239" spans="1:27" ht="24" customHeight="1" thickBot="1" x14ac:dyDescent="0.4">
      <c r="A239" s="152"/>
      <c r="B239" s="153"/>
      <c r="C239" s="153"/>
      <c r="D239" s="153"/>
      <c r="E239" s="156"/>
      <c r="F239" s="155"/>
      <c r="G239" s="156"/>
      <c r="H239" s="155"/>
      <c r="I239" s="156"/>
      <c r="J239" s="155"/>
      <c r="K239" s="156"/>
      <c r="L239" s="155"/>
      <c r="M239" s="156"/>
      <c r="N239" s="157"/>
      <c r="R239" s="158"/>
      <c r="S239" s="158"/>
      <c r="T239" s="158"/>
      <c r="V239" s="158"/>
      <c r="W239" s="158"/>
      <c r="X239" s="158"/>
      <c r="Y239" s="56"/>
      <c r="Z239" s="56"/>
      <c r="AA239" s="170"/>
    </row>
    <row r="240" spans="1:27" ht="24" customHeight="1" thickBot="1" x14ac:dyDescent="0.4">
      <c r="A240" s="152"/>
      <c r="B240" s="153"/>
      <c r="C240" s="153"/>
      <c r="D240" s="153"/>
      <c r="E240" s="156"/>
      <c r="F240" s="155"/>
      <c r="G240" s="156"/>
      <c r="H240" s="155"/>
      <c r="I240" s="156"/>
      <c r="J240" s="155"/>
      <c r="K240" s="156"/>
      <c r="L240" s="155"/>
      <c r="M240" s="156"/>
      <c r="N240" s="157"/>
      <c r="R240" s="158"/>
      <c r="S240" s="158"/>
      <c r="T240" s="158"/>
      <c r="V240" s="158"/>
      <c r="W240" s="158"/>
      <c r="X240" s="158"/>
      <c r="Y240" s="56"/>
      <c r="Z240" s="56"/>
      <c r="AA240" s="170"/>
    </row>
    <row r="241" spans="1:31" ht="24" customHeight="1" thickBot="1" x14ac:dyDescent="0.4">
      <c r="A241" s="152"/>
      <c r="B241" s="153"/>
      <c r="C241" s="153"/>
      <c r="D241" s="153"/>
      <c r="E241" s="156"/>
      <c r="F241" s="155"/>
      <c r="G241" s="156"/>
      <c r="H241" s="155"/>
      <c r="I241" s="156"/>
      <c r="J241" s="155"/>
      <c r="K241" s="156"/>
      <c r="L241" s="155"/>
      <c r="M241" s="156"/>
      <c r="N241" s="157"/>
      <c r="R241" s="158"/>
      <c r="S241" s="158"/>
      <c r="T241" s="158"/>
      <c r="V241" s="158"/>
      <c r="W241" s="158"/>
      <c r="X241" s="158"/>
      <c r="Y241" s="56"/>
      <c r="Z241" s="56"/>
      <c r="AA241" s="170"/>
    </row>
    <row r="242" spans="1:31" ht="24" customHeight="1" thickBot="1" x14ac:dyDescent="0.4">
      <c r="A242" s="152"/>
      <c r="B242" s="153"/>
      <c r="C242" s="153"/>
      <c r="D242" s="153"/>
      <c r="E242" s="156"/>
      <c r="F242" s="155"/>
      <c r="G242" s="156"/>
      <c r="H242" s="155"/>
      <c r="I242" s="156"/>
      <c r="J242" s="155"/>
      <c r="K242" s="156"/>
      <c r="L242" s="155"/>
      <c r="M242" s="156"/>
      <c r="N242" s="157"/>
      <c r="R242" s="158"/>
      <c r="S242" s="158"/>
      <c r="T242" s="158"/>
      <c r="V242" s="158"/>
      <c r="W242" s="158"/>
      <c r="X242" s="158"/>
      <c r="Y242" s="56"/>
      <c r="Z242" s="56"/>
      <c r="AA242" s="170"/>
    </row>
    <row r="243" spans="1:31" ht="24" customHeight="1" thickBot="1" x14ac:dyDescent="0.4">
      <c r="A243" s="152"/>
      <c r="B243" s="153"/>
      <c r="C243" s="153"/>
      <c r="D243" s="153"/>
      <c r="E243" s="156"/>
      <c r="F243" s="155"/>
      <c r="G243" s="156"/>
      <c r="H243" s="155"/>
      <c r="I243" s="156"/>
      <c r="J243" s="155"/>
      <c r="K243" s="156"/>
      <c r="L243" s="155"/>
      <c r="M243" s="156"/>
      <c r="N243" s="157"/>
      <c r="R243" s="158"/>
      <c r="S243" s="158"/>
      <c r="T243" s="158"/>
      <c r="V243" s="158"/>
      <c r="W243" s="158"/>
      <c r="X243" s="158"/>
      <c r="Y243" s="56"/>
      <c r="Z243" s="56"/>
      <c r="AA243" s="170"/>
    </row>
    <row r="244" spans="1:31" ht="24" customHeight="1" thickBot="1" x14ac:dyDescent="0.4">
      <c r="A244" s="152"/>
      <c r="B244" s="153"/>
      <c r="C244" s="153"/>
      <c r="D244" s="153"/>
      <c r="E244" s="156"/>
      <c r="F244" s="155"/>
      <c r="G244" s="156"/>
      <c r="H244" s="155"/>
      <c r="I244" s="156"/>
      <c r="J244" s="155"/>
      <c r="K244" s="156"/>
      <c r="L244" s="155"/>
      <c r="M244" s="156"/>
      <c r="N244" s="157"/>
      <c r="R244" s="158"/>
      <c r="S244" s="158"/>
      <c r="T244" s="158"/>
      <c r="V244" s="158"/>
      <c r="W244" s="158"/>
      <c r="X244" s="158"/>
      <c r="Y244" s="56"/>
      <c r="Z244" s="56"/>
      <c r="AA244" s="170"/>
    </row>
    <row r="245" spans="1:31" ht="24" customHeight="1" thickBot="1" x14ac:dyDescent="0.4">
      <c r="A245" s="152"/>
      <c r="B245" s="153"/>
      <c r="C245" s="153"/>
      <c r="D245" s="153"/>
      <c r="E245" s="156"/>
      <c r="F245" s="155"/>
      <c r="G245" s="156"/>
      <c r="H245" s="155"/>
      <c r="I245" s="156"/>
      <c r="J245" s="155"/>
      <c r="K245" s="156"/>
      <c r="L245" s="155"/>
      <c r="M245" s="156"/>
      <c r="N245" s="157"/>
      <c r="R245" s="158"/>
      <c r="S245" s="158"/>
      <c r="T245" s="158"/>
      <c r="V245" s="158"/>
      <c r="W245" s="158"/>
      <c r="X245" s="158"/>
      <c r="Y245" s="56"/>
      <c r="Z245" s="56"/>
      <c r="AA245" s="170"/>
    </row>
    <row r="246" spans="1:31" ht="24" customHeight="1" thickBot="1" x14ac:dyDescent="0.4">
      <c r="A246" s="152"/>
      <c r="B246" s="153"/>
      <c r="C246" s="153"/>
      <c r="D246" s="153"/>
      <c r="E246" s="156"/>
      <c r="F246" s="155"/>
      <c r="G246" s="156"/>
      <c r="H246" s="155"/>
      <c r="I246" s="156"/>
      <c r="J246" s="155"/>
      <c r="K246" s="156"/>
      <c r="L246" s="155"/>
      <c r="M246" s="156"/>
      <c r="N246" s="157"/>
      <c r="R246" s="158"/>
      <c r="S246" s="158"/>
      <c r="T246" s="158"/>
      <c r="V246" s="158"/>
      <c r="W246" s="158"/>
      <c r="X246" s="158"/>
      <c r="Y246" s="56"/>
      <c r="Z246" s="56"/>
      <c r="AA246" s="170"/>
    </row>
    <row r="247" spans="1:31" ht="24" customHeight="1" thickBot="1" x14ac:dyDescent="0.4">
      <c r="A247" s="152"/>
      <c r="B247" s="153"/>
      <c r="C247" s="153"/>
      <c r="D247" s="153"/>
      <c r="E247" s="156"/>
      <c r="F247" s="155"/>
      <c r="G247" s="156"/>
      <c r="H247" s="155"/>
      <c r="I247" s="156"/>
      <c r="J247" s="155"/>
      <c r="K247" s="156"/>
      <c r="L247" s="155"/>
      <c r="M247" s="156"/>
      <c r="N247" s="157"/>
      <c r="R247" s="158"/>
      <c r="S247" s="158"/>
      <c r="T247" s="158"/>
      <c r="V247" s="158"/>
      <c r="W247" s="158"/>
      <c r="X247" s="158"/>
      <c r="Y247" s="56"/>
      <c r="Z247" s="56"/>
      <c r="AA247" s="170"/>
    </row>
    <row r="248" spans="1:31" ht="24" customHeight="1" thickBot="1" x14ac:dyDescent="0.4">
      <c r="A248" s="152"/>
      <c r="B248" s="153"/>
      <c r="C248" s="153"/>
      <c r="D248" s="153"/>
      <c r="E248" s="156"/>
      <c r="F248" s="155"/>
      <c r="G248" s="156"/>
      <c r="H248" s="155"/>
      <c r="I248" s="156"/>
      <c r="J248" s="155"/>
      <c r="K248" s="156"/>
      <c r="L248" s="155"/>
      <c r="M248" s="156"/>
      <c r="N248" s="157"/>
      <c r="R248" s="158"/>
      <c r="S248" s="158"/>
      <c r="T248" s="158"/>
      <c r="V248" s="158"/>
      <c r="W248" s="158"/>
      <c r="X248" s="158"/>
      <c r="Y248" s="56"/>
      <c r="Z248" s="56"/>
      <c r="AA248" s="170"/>
    </row>
    <row r="249" spans="1:31" ht="24" customHeight="1" thickBot="1" x14ac:dyDescent="0.4">
      <c r="A249" s="152"/>
      <c r="B249" s="153"/>
      <c r="C249" s="153"/>
      <c r="D249" s="153"/>
      <c r="E249" s="156"/>
      <c r="F249" s="155"/>
      <c r="G249" s="156"/>
      <c r="H249" s="155"/>
      <c r="I249" s="156"/>
      <c r="J249" s="155"/>
      <c r="K249" s="156"/>
      <c r="L249" s="155"/>
      <c r="M249" s="156"/>
      <c r="N249" s="157"/>
      <c r="R249" s="158"/>
      <c r="S249" s="158"/>
      <c r="T249" s="158"/>
      <c r="V249" s="158"/>
      <c r="W249" s="158"/>
      <c r="X249" s="158"/>
      <c r="Y249" s="56"/>
      <c r="Z249" s="56"/>
      <c r="AA249" s="170"/>
    </row>
    <row r="250" spans="1:31" ht="24" customHeight="1" thickBot="1" x14ac:dyDescent="0.4">
      <c r="A250" s="152"/>
      <c r="B250" s="153"/>
      <c r="C250" s="153"/>
      <c r="D250" s="153"/>
      <c r="E250" s="156"/>
      <c r="F250" s="155"/>
      <c r="G250" s="156"/>
      <c r="H250" s="155"/>
      <c r="I250" s="156"/>
      <c r="J250" s="155"/>
      <c r="K250" s="156"/>
      <c r="L250" s="155"/>
      <c r="M250" s="156"/>
      <c r="N250" s="157"/>
      <c r="R250" s="158"/>
      <c r="S250" s="158"/>
      <c r="T250" s="158"/>
      <c r="V250" s="158"/>
      <c r="W250" s="158"/>
      <c r="X250" s="158"/>
      <c r="Y250" s="56"/>
      <c r="Z250" s="56"/>
      <c r="AA250" s="170"/>
    </row>
    <row r="251" spans="1:31" ht="24" customHeight="1" thickBot="1" x14ac:dyDescent="0.4">
      <c r="A251" s="152"/>
      <c r="B251" s="153"/>
      <c r="C251" s="153"/>
      <c r="D251" s="153"/>
      <c r="E251" s="156"/>
      <c r="F251" s="155"/>
      <c r="G251" s="156"/>
      <c r="H251" s="155"/>
      <c r="I251" s="156"/>
      <c r="J251" s="155"/>
      <c r="K251" s="156"/>
      <c r="L251" s="155"/>
      <c r="M251" s="156"/>
      <c r="N251" s="157"/>
      <c r="R251" s="158"/>
      <c r="S251" s="158"/>
      <c r="T251" s="158"/>
      <c r="V251" s="158"/>
      <c r="W251" s="158"/>
      <c r="X251" s="158"/>
      <c r="Y251" s="56"/>
      <c r="Z251" s="56"/>
      <c r="AA251" s="170"/>
    </row>
    <row r="252" spans="1:31" ht="24" customHeight="1" thickBot="1" x14ac:dyDescent="0.4">
      <c r="A252" s="152"/>
      <c r="B252" s="153"/>
      <c r="C252" s="153"/>
      <c r="D252" s="153"/>
      <c r="E252" s="156"/>
      <c r="F252" s="155"/>
      <c r="G252" s="156"/>
      <c r="H252" s="155"/>
      <c r="I252" s="156"/>
      <c r="J252" s="155"/>
      <c r="K252" s="156"/>
      <c r="L252" s="155"/>
      <c r="M252" s="156"/>
      <c r="N252" s="157"/>
      <c r="R252" s="158"/>
      <c r="S252" s="158"/>
      <c r="T252" s="158"/>
      <c r="V252" s="158"/>
      <c r="W252" s="158"/>
      <c r="X252" s="158"/>
      <c r="Y252" s="56"/>
      <c r="Z252" s="56"/>
      <c r="AA252" s="170"/>
    </row>
    <row r="253" spans="1:31" ht="24" customHeight="1" thickBot="1" x14ac:dyDescent="0.4">
      <c r="A253" s="152"/>
      <c r="B253" s="153"/>
      <c r="C253" s="153"/>
      <c r="D253" s="153"/>
      <c r="E253" s="156"/>
      <c r="F253" s="155"/>
      <c r="G253" s="156"/>
      <c r="H253" s="155"/>
      <c r="I253" s="156"/>
      <c r="J253" s="155"/>
      <c r="K253" s="156"/>
      <c r="L253" s="155"/>
      <c r="M253" s="156"/>
      <c r="N253" s="157"/>
      <c r="R253" s="158"/>
      <c r="S253" s="158"/>
      <c r="T253" s="158"/>
      <c r="V253" s="158"/>
      <c r="W253" s="158"/>
      <c r="X253" s="158"/>
      <c r="Y253" s="56"/>
      <c r="Z253" s="56"/>
      <c r="AA253" s="170"/>
    </row>
    <row r="254" spans="1:31" ht="24" customHeight="1" thickBot="1" x14ac:dyDescent="0.4">
      <c r="A254" s="152"/>
      <c r="B254" s="153"/>
      <c r="C254" s="153"/>
      <c r="D254" s="153"/>
      <c r="E254" s="156"/>
      <c r="F254" s="155"/>
      <c r="G254" s="156"/>
      <c r="H254" s="155"/>
      <c r="I254" s="156"/>
      <c r="J254" s="155"/>
      <c r="K254" s="156"/>
      <c r="L254" s="155"/>
      <c r="M254" s="156"/>
      <c r="N254" s="157"/>
      <c r="R254" s="158"/>
      <c r="S254" s="158"/>
      <c r="T254" s="158"/>
      <c r="V254" s="158"/>
      <c r="W254" s="158"/>
      <c r="X254" s="158"/>
      <c r="Y254" s="56"/>
      <c r="Z254" s="56"/>
      <c r="AA254" s="170"/>
    </row>
    <row r="255" spans="1:31" ht="24" customHeight="1" thickBot="1" x14ac:dyDescent="0.4">
      <c r="A255" s="152"/>
      <c r="B255" s="153"/>
      <c r="C255" s="153"/>
      <c r="D255" s="153"/>
      <c r="E255" s="156"/>
      <c r="F255" s="155"/>
      <c r="G255" s="156"/>
      <c r="H255" s="155"/>
      <c r="I255" s="156"/>
      <c r="J255" s="155"/>
      <c r="K255" s="156"/>
      <c r="L255" s="155"/>
      <c r="M255" s="156"/>
      <c r="N255" s="157"/>
      <c r="R255" s="158"/>
      <c r="S255" s="158"/>
      <c r="T255" s="158"/>
      <c r="V255" s="158"/>
      <c r="W255" s="158"/>
      <c r="X255" s="158"/>
      <c r="Y255" s="56"/>
      <c r="Z255" s="56"/>
      <c r="AA255" s="170"/>
    </row>
    <row r="256" spans="1:31" ht="24" customHeight="1" thickBot="1" x14ac:dyDescent="0.4">
      <c r="A256" s="152"/>
      <c r="B256" s="153"/>
      <c r="C256" s="153"/>
      <c r="D256" s="153"/>
      <c r="E256" s="156"/>
      <c r="F256" s="155"/>
      <c r="G256" s="156"/>
      <c r="H256" s="155"/>
      <c r="I256" s="156"/>
      <c r="J256" s="155"/>
      <c r="K256" s="156"/>
      <c r="L256" s="155"/>
      <c r="M256" s="156"/>
      <c r="N256" s="157"/>
      <c r="R256" s="158"/>
      <c r="S256" s="158"/>
      <c r="T256" s="158"/>
      <c r="V256" s="158"/>
      <c r="W256" s="158"/>
      <c r="X256" s="158"/>
      <c r="Y256" s="56"/>
      <c r="Z256" s="56"/>
      <c r="AA256" s="170"/>
      <c r="AE256" s="138"/>
    </row>
    <row r="257" spans="1:31" ht="24" customHeight="1" thickBot="1" x14ac:dyDescent="0.4">
      <c r="A257" s="152"/>
      <c r="B257" s="153"/>
      <c r="C257" s="153"/>
      <c r="D257" s="153"/>
      <c r="E257" s="156"/>
      <c r="F257" s="155"/>
      <c r="G257" s="156"/>
      <c r="H257" s="155"/>
      <c r="I257" s="156"/>
      <c r="J257" s="155"/>
      <c r="K257" s="156"/>
      <c r="L257" s="155"/>
      <c r="M257" s="156"/>
      <c r="N257" s="157"/>
      <c r="R257" s="158"/>
      <c r="S257" s="158"/>
      <c r="T257" s="158"/>
      <c r="V257" s="158"/>
      <c r="W257" s="158"/>
      <c r="X257" s="158"/>
      <c r="Y257" s="56"/>
      <c r="Z257" s="56"/>
      <c r="AA257" s="170"/>
      <c r="AE257" s="138"/>
    </row>
    <row r="258" spans="1:31" ht="24" customHeight="1" thickBot="1" x14ac:dyDescent="0.4">
      <c r="A258" s="152"/>
      <c r="B258" s="153"/>
      <c r="C258" s="153"/>
      <c r="D258" s="153"/>
      <c r="E258" s="156"/>
      <c r="F258" s="155"/>
      <c r="G258" s="156"/>
      <c r="H258" s="155"/>
      <c r="I258" s="156"/>
      <c r="J258" s="155"/>
      <c r="K258" s="156"/>
      <c r="L258" s="155"/>
      <c r="M258" s="156"/>
      <c r="N258" s="157"/>
      <c r="R258" s="158"/>
      <c r="S258" s="158"/>
      <c r="T258" s="158"/>
      <c r="V258" s="158"/>
      <c r="W258" s="158"/>
      <c r="X258" s="158"/>
      <c r="Y258" s="56"/>
      <c r="Z258" s="56"/>
      <c r="AA258" s="170"/>
      <c r="AE258" s="138"/>
    </row>
    <row r="259" spans="1:31" ht="24" customHeight="1" thickBot="1" x14ac:dyDescent="0.4">
      <c r="A259" s="152"/>
      <c r="B259" s="153"/>
      <c r="C259" s="153"/>
      <c r="D259" s="153"/>
      <c r="E259" s="156"/>
      <c r="F259" s="155"/>
      <c r="G259" s="156"/>
      <c r="H259" s="155"/>
      <c r="I259" s="156"/>
      <c r="J259" s="155"/>
      <c r="K259" s="156"/>
      <c r="L259" s="155"/>
      <c r="M259" s="156"/>
      <c r="N259" s="157"/>
      <c r="R259" s="158"/>
      <c r="S259" s="158"/>
      <c r="T259" s="158"/>
      <c r="V259" s="158"/>
      <c r="W259" s="158"/>
      <c r="X259" s="158"/>
      <c r="Y259" s="56"/>
      <c r="Z259" s="56"/>
      <c r="AA259" s="170"/>
      <c r="AE259" s="138"/>
    </row>
    <row r="260" spans="1:31" ht="24" customHeight="1" thickBot="1" x14ac:dyDescent="0.4">
      <c r="A260" s="152"/>
      <c r="B260" s="153"/>
      <c r="C260" s="153"/>
      <c r="D260" s="153"/>
      <c r="E260" s="156"/>
      <c r="F260" s="155"/>
      <c r="G260" s="156"/>
      <c r="H260" s="155"/>
      <c r="I260" s="156"/>
      <c r="J260" s="155"/>
      <c r="K260" s="156"/>
      <c r="L260" s="155"/>
      <c r="M260" s="156"/>
      <c r="N260" s="157"/>
      <c r="R260" s="158"/>
      <c r="S260" s="158"/>
      <c r="T260" s="158"/>
      <c r="V260" s="158"/>
      <c r="W260" s="158"/>
      <c r="X260" s="158"/>
      <c r="Y260" s="56"/>
      <c r="Z260" s="56"/>
      <c r="AA260" s="170"/>
      <c r="AE260" s="138">
        <v>0.28472222222222199</v>
      </c>
    </row>
    <row r="261" spans="1:31" ht="24" customHeight="1" thickBot="1" x14ac:dyDescent="0.4">
      <c r="A261" s="152"/>
      <c r="B261" s="153"/>
      <c r="C261" s="153"/>
      <c r="D261" s="153"/>
      <c r="E261" s="156"/>
      <c r="F261" s="155"/>
      <c r="G261" s="156"/>
      <c r="H261" s="155"/>
      <c r="I261" s="156"/>
      <c r="J261" s="155"/>
      <c r="K261" s="156"/>
      <c r="L261" s="155"/>
      <c r="M261" s="156"/>
      <c r="N261" s="157"/>
      <c r="R261" s="158"/>
      <c r="S261" s="158"/>
      <c r="T261" s="158"/>
      <c r="V261" s="158"/>
      <c r="W261" s="158"/>
      <c r="X261" s="158"/>
      <c r="Y261" s="56"/>
      <c r="Z261" s="56"/>
      <c r="AA261" s="170"/>
      <c r="AE261" s="138">
        <v>0.28472222222222199</v>
      </c>
    </row>
    <row r="262" spans="1:31" ht="24" customHeight="1" thickBot="1" x14ac:dyDescent="0.4">
      <c r="A262" s="152"/>
      <c r="B262" s="153"/>
      <c r="C262" s="153"/>
      <c r="D262" s="153"/>
      <c r="E262" s="156"/>
      <c r="F262" s="155"/>
      <c r="G262" s="156"/>
      <c r="H262" s="155"/>
      <c r="I262" s="156"/>
      <c r="J262" s="155"/>
      <c r="K262" s="156"/>
      <c r="L262" s="155"/>
      <c r="M262" s="156"/>
      <c r="N262" s="157"/>
      <c r="R262" s="158"/>
      <c r="S262" s="158"/>
      <c r="T262" s="158"/>
      <c r="V262" s="158"/>
      <c r="W262" s="158"/>
      <c r="X262" s="158"/>
      <c r="Y262" s="56"/>
      <c r="Z262" s="56"/>
      <c r="AA262" s="170"/>
      <c r="AE262" s="138"/>
    </row>
    <row r="263" spans="1:31" ht="24" customHeight="1" thickBot="1" x14ac:dyDescent="0.4">
      <c r="A263" s="152"/>
      <c r="B263" s="153"/>
      <c r="C263" s="153"/>
      <c r="D263" s="153"/>
      <c r="E263" s="156"/>
      <c r="F263" s="155"/>
      <c r="G263" s="156"/>
      <c r="H263" s="155"/>
      <c r="I263" s="156"/>
      <c r="J263" s="155"/>
      <c r="K263" s="156"/>
      <c r="L263" s="155"/>
      <c r="M263" s="156"/>
      <c r="N263" s="157"/>
      <c r="R263" s="158"/>
      <c r="S263" s="158"/>
      <c r="T263" s="158"/>
      <c r="V263" s="158"/>
      <c r="W263" s="158"/>
      <c r="X263" s="158"/>
      <c r="Y263" s="56"/>
      <c r="Z263" s="56"/>
      <c r="AA263" s="170"/>
      <c r="AE263" s="138">
        <v>0.14236111111111099</v>
      </c>
    </row>
    <row r="264" spans="1:31" ht="24" customHeight="1" thickBot="1" x14ac:dyDescent="0.4">
      <c r="A264" s="152"/>
      <c r="B264" s="153"/>
      <c r="C264" s="153"/>
      <c r="D264" s="153"/>
      <c r="E264" s="156"/>
      <c r="F264" s="155"/>
      <c r="G264" s="156"/>
      <c r="H264" s="155"/>
      <c r="I264" s="156"/>
      <c r="J264" s="155"/>
      <c r="K264" s="156"/>
      <c r="L264" s="155"/>
      <c r="M264" s="156"/>
      <c r="N264" s="157"/>
      <c r="R264" s="158"/>
      <c r="S264" s="158"/>
      <c r="T264" s="158"/>
      <c r="V264" s="158"/>
      <c r="W264" s="158"/>
      <c r="X264" s="158"/>
      <c r="Y264" s="56"/>
      <c r="Z264" s="56"/>
      <c r="AA264" s="170"/>
      <c r="AE264" s="138">
        <v>0.14236111111111099</v>
      </c>
    </row>
    <row r="265" spans="1:31" ht="24" customHeight="1" thickBot="1" x14ac:dyDescent="0.4">
      <c r="A265" s="152"/>
      <c r="B265" s="153"/>
      <c r="C265" s="153"/>
      <c r="D265" s="153"/>
      <c r="E265" s="156"/>
      <c r="F265" s="155"/>
      <c r="G265" s="156"/>
      <c r="H265" s="155"/>
      <c r="I265" s="156"/>
      <c r="J265" s="155"/>
      <c r="K265" s="156"/>
      <c r="L265" s="155"/>
      <c r="M265" s="156"/>
      <c r="N265" s="157"/>
      <c r="R265" s="158"/>
      <c r="S265" s="158"/>
      <c r="T265" s="158"/>
      <c r="V265" s="158"/>
      <c r="W265" s="158"/>
      <c r="X265" s="158"/>
      <c r="Y265" s="56"/>
      <c r="Z265" s="56"/>
      <c r="AA265" s="170"/>
      <c r="AE265" s="138">
        <v>0.14236111111111099</v>
      </c>
    </row>
    <row r="266" spans="1:31" ht="24" customHeight="1" thickBot="1" x14ac:dyDescent="0.4">
      <c r="A266" s="152"/>
      <c r="B266" s="153"/>
      <c r="C266" s="153"/>
      <c r="D266" s="153"/>
      <c r="E266" s="156"/>
      <c r="F266" s="155"/>
      <c r="G266" s="156"/>
      <c r="H266" s="155"/>
      <c r="I266" s="156"/>
      <c r="J266" s="155"/>
      <c r="K266" s="156"/>
      <c r="L266" s="155"/>
      <c r="M266" s="156"/>
      <c r="N266" s="157"/>
      <c r="R266" s="158"/>
      <c r="S266" s="158"/>
      <c r="T266" s="158"/>
      <c r="V266" s="158"/>
      <c r="W266" s="158"/>
      <c r="X266" s="158"/>
      <c r="Y266" s="56"/>
      <c r="Z266" s="56"/>
      <c r="AA266" s="170"/>
      <c r="AE266" s="138">
        <v>0.14236111111111099</v>
      </c>
    </row>
    <row r="267" spans="1:31" ht="24" customHeight="1" thickBot="1" x14ac:dyDescent="0.4">
      <c r="A267" s="152"/>
      <c r="B267" s="153"/>
      <c r="C267" s="153"/>
      <c r="D267" s="153"/>
      <c r="E267" s="156"/>
      <c r="F267" s="155"/>
      <c r="G267" s="156"/>
      <c r="H267" s="155"/>
      <c r="I267" s="156"/>
      <c r="J267" s="155"/>
      <c r="K267" s="156"/>
      <c r="L267" s="155"/>
      <c r="M267" s="156"/>
      <c r="N267" s="157"/>
      <c r="R267" s="158"/>
      <c r="S267" s="158"/>
      <c r="T267" s="158"/>
      <c r="V267" s="158"/>
      <c r="W267" s="158"/>
      <c r="X267" s="158"/>
      <c r="Y267" s="56"/>
      <c r="Z267" s="56"/>
      <c r="AA267" s="170"/>
      <c r="AE267" s="138">
        <v>0.14236111111111099</v>
      </c>
    </row>
    <row r="268" spans="1:31" ht="24" customHeight="1" thickBot="1" x14ac:dyDescent="0.4">
      <c r="A268" s="152"/>
      <c r="B268" s="153"/>
      <c r="C268" s="153"/>
      <c r="D268" s="153"/>
      <c r="E268" s="156"/>
      <c r="F268" s="155"/>
      <c r="G268" s="156"/>
      <c r="H268" s="155"/>
      <c r="I268" s="156"/>
      <c r="J268" s="155"/>
      <c r="K268" s="156"/>
      <c r="L268" s="155"/>
      <c r="M268" s="156"/>
      <c r="N268" s="157"/>
      <c r="R268" s="158"/>
      <c r="S268" s="158"/>
      <c r="T268" s="158"/>
      <c r="V268" s="158"/>
      <c r="W268" s="158"/>
      <c r="X268" s="158"/>
      <c r="Y268" s="56"/>
      <c r="Z268" s="56"/>
      <c r="AA268" s="170"/>
      <c r="AE268" s="138">
        <v>0.14236111111111099</v>
      </c>
    </row>
    <row r="269" spans="1:31" ht="24" customHeight="1" thickBot="1" x14ac:dyDescent="0.4">
      <c r="A269" s="152"/>
      <c r="B269" s="153"/>
      <c r="C269" s="153"/>
      <c r="D269" s="153"/>
      <c r="E269" s="156"/>
      <c r="F269" s="155"/>
      <c r="G269" s="156"/>
      <c r="H269" s="155"/>
      <c r="I269" s="156"/>
      <c r="J269" s="155"/>
      <c r="K269" s="156"/>
      <c r="L269" s="155"/>
      <c r="M269" s="156"/>
      <c r="N269" s="157"/>
      <c r="R269" s="158"/>
      <c r="S269" s="158"/>
      <c r="T269" s="158"/>
      <c r="V269" s="158"/>
      <c r="W269" s="158"/>
      <c r="X269" s="158"/>
      <c r="Y269" s="56"/>
      <c r="Z269" s="56"/>
      <c r="AA269" s="170"/>
      <c r="AE269" s="138">
        <v>0.14236111111111099</v>
      </c>
    </row>
    <row r="270" spans="1:31" ht="24" customHeight="1" thickBot="1" x14ac:dyDescent="0.4">
      <c r="A270" s="152"/>
      <c r="B270" s="153"/>
      <c r="C270" s="153"/>
      <c r="D270" s="153"/>
      <c r="E270" s="156"/>
      <c r="F270" s="155"/>
      <c r="G270" s="156"/>
      <c r="H270" s="155"/>
      <c r="I270" s="156"/>
      <c r="J270" s="155"/>
      <c r="K270" s="156"/>
      <c r="L270" s="155"/>
      <c r="M270" s="156"/>
      <c r="N270" s="157"/>
      <c r="R270" s="158"/>
      <c r="S270" s="158"/>
      <c r="T270" s="158"/>
      <c r="V270" s="158"/>
      <c r="W270" s="158"/>
      <c r="X270" s="158"/>
      <c r="Y270" s="56"/>
      <c r="Z270" s="56"/>
      <c r="AA270" s="170"/>
      <c r="AE270" s="138">
        <v>0.14236111111111099</v>
      </c>
    </row>
    <row r="271" spans="1:31" ht="24" customHeight="1" thickBot="1" x14ac:dyDescent="0.4">
      <c r="A271" s="152"/>
      <c r="B271" s="153"/>
      <c r="C271" s="153"/>
      <c r="D271" s="153"/>
      <c r="E271" s="156"/>
      <c r="F271" s="155"/>
      <c r="G271" s="156"/>
      <c r="H271" s="155"/>
      <c r="I271" s="156"/>
      <c r="J271" s="155"/>
      <c r="K271" s="156"/>
      <c r="L271" s="155"/>
      <c r="M271" s="156"/>
      <c r="N271" s="157"/>
      <c r="R271" s="158"/>
      <c r="S271" s="158"/>
      <c r="T271" s="158"/>
      <c r="V271" s="158"/>
      <c r="W271" s="158"/>
      <c r="X271" s="158"/>
      <c r="Y271" s="56"/>
      <c r="Z271" s="56"/>
      <c r="AA271" s="170"/>
      <c r="AE271" s="138">
        <v>0.14236111111111099</v>
      </c>
    </row>
    <row r="272" spans="1:31" ht="24" customHeight="1" thickBot="1" x14ac:dyDescent="0.4">
      <c r="A272" s="152"/>
      <c r="B272" s="153"/>
      <c r="C272" s="153"/>
      <c r="D272" s="153"/>
      <c r="E272" s="156"/>
      <c r="F272" s="155"/>
      <c r="G272" s="156"/>
      <c r="H272" s="155"/>
      <c r="I272" s="156"/>
      <c r="J272" s="155"/>
      <c r="K272" s="156"/>
      <c r="L272" s="155"/>
      <c r="M272" s="156"/>
      <c r="N272" s="157"/>
      <c r="R272" s="158"/>
      <c r="S272" s="158"/>
      <c r="T272" s="158"/>
      <c r="V272" s="158"/>
      <c r="W272" s="158"/>
      <c r="X272" s="158"/>
      <c r="Y272" s="56"/>
      <c r="Z272" s="56"/>
      <c r="AA272" s="170"/>
      <c r="AE272" s="138">
        <v>0.14236111111111099</v>
      </c>
    </row>
    <row r="273" spans="1:31" ht="24" customHeight="1" thickBot="1" x14ac:dyDescent="0.4">
      <c r="A273" s="152"/>
      <c r="B273" s="153"/>
      <c r="C273" s="153"/>
      <c r="D273" s="153"/>
      <c r="E273" s="156"/>
      <c r="F273" s="155"/>
      <c r="G273" s="156"/>
      <c r="H273" s="155"/>
      <c r="I273" s="156"/>
      <c r="J273" s="155"/>
      <c r="K273" s="156"/>
      <c r="L273" s="155"/>
      <c r="M273" s="156"/>
      <c r="N273" s="157"/>
      <c r="R273" s="158"/>
      <c r="S273" s="158"/>
      <c r="T273" s="158"/>
      <c r="V273" s="158"/>
      <c r="W273" s="158"/>
      <c r="X273" s="158"/>
      <c r="Y273" s="56"/>
      <c r="Z273" s="56"/>
      <c r="AA273" s="170"/>
      <c r="AE273" s="138">
        <v>0.14236111111111099</v>
      </c>
    </row>
    <row r="274" spans="1:31" ht="24" customHeight="1" thickBot="1" x14ac:dyDescent="0.4">
      <c r="A274" s="152"/>
      <c r="B274" s="153"/>
      <c r="C274" s="153"/>
      <c r="D274" s="153"/>
      <c r="E274" s="156"/>
      <c r="F274" s="155"/>
      <c r="G274" s="156"/>
      <c r="H274" s="155"/>
      <c r="I274" s="156"/>
      <c r="J274" s="155"/>
      <c r="K274" s="156"/>
      <c r="L274" s="155"/>
      <c r="M274" s="156"/>
      <c r="N274" s="157"/>
      <c r="R274" s="158"/>
      <c r="S274" s="158"/>
      <c r="T274" s="158"/>
      <c r="V274" s="158"/>
      <c r="W274" s="158"/>
      <c r="X274" s="158"/>
      <c r="Y274" s="56"/>
      <c r="Z274" s="56"/>
      <c r="AA274" s="170"/>
      <c r="AE274" s="138">
        <v>0.14236111111111099</v>
      </c>
    </row>
    <row r="275" spans="1:31" ht="24" customHeight="1" thickBot="1" x14ac:dyDescent="0.4">
      <c r="A275" s="152"/>
      <c r="B275" s="153"/>
      <c r="C275" s="153"/>
      <c r="D275" s="153"/>
      <c r="E275" s="156"/>
      <c r="F275" s="155"/>
      <c r="G275" s="156"/>
      <c r="H275" s="155"/>
      <c r="I275" s="156"/>
      <c r="J275" s="155"/>
      <c r="K275" s="156"/>
      <c r="L275" s="155"/>
      <c r="M275" s="156"/>
      <c r="N275" s="157"/>
      <c r="R275" s="158"/>
      <c r="S275" s="158"/>
      <c r="T275" s="158"/>
      <c r="V275" s="158"/>
      <c r="W275" s="158"/>
      <c r="X275" s="158"/>
      <c r="Y275" s="56"/>
      <c r="Z275" s="56"/>
      <c r="AA275" s="170"/>
      <c r="AE275" s="138">
        <v>0.28472222222222199</v>
      </c>
    </row>
    <row r="276" spans="1:31" ht="24" customHeight="1" thickBot="1" x14ac:dyDescent="0.4">
      <c r="A276" s="152"/>
      <c r="B276" s="153"/>
      <c r="C276" s="153"/>
      <c r="D276" s="153"/>
      <c r="E276" s="156"/>
      <c r="F276" s="155"/>
      <c r="G276" s="156"/>
      <c r="H276" s="155"/>
      <c r="I276" s="156"/>
      <c r="J276" s="155"/>
      <c r="K276" s="156"/>
      <c r="L276" s="155"/>
      <c r="M276" s="156"/>
      <c r="N276" s="157"/>
      <c r="R276" s="158"/>
      <c r="S276" s="158"/>
      <c r="T276" s="158"/>
      <c r="V276" s="158"/>
      <c r="W276" s="158"/>
      <c r="X276" s="158"/>
      <c r="Y276" s="56"/>
      <c r="Z276" s="56"/>
      <c r="AA276" s="170"/>
      <c r="AE276" s="138">
        <v>0.28472222222222199</v>
      </c>
    </row>
    <row r="277" spans="1:31" ht="24" customHeight="1" thickBot="1" x14ac:dyDescent="0.4">
      <c r="A277" s="152"/>
      <c r="B277" s="153"/>
      <c r="C277" s="153"/>
      <c r="D277" s="153"/>
      <c r="E277" s="156"/>
      <c r="F277" s="155"/>
      <c r="G277" s="156"/>
      <c r="H277" s="155"/>
      <c r="I277" s="156"/>
      <c r="J277" s="155"/>
      <c r="K277" s="156"/>
      <c r="L277" s="155"/>
      <c r="M277" s="156"/>
      <c r="N277" s="157"/>
      <c r="R277" s="158"/>
      <c r="S277" s="158"/>
      <c r="T277" s="158"/>
      <c r="V277" s="158"/>
      <c r="W277" s="158"/>
      <c r="X277" s="158"/>
      <c r="Y277" s="56"/>
      <c r="Z277" s="56"/>
      <c r="AA277" s="170"/>
      <c r="AE277" s="138">
        <v>0.28472222222222199</v>
      </c>
    </row>
    <row r="278" spans="1:31" ht="24" customHeight="1" thickBot="1" x14ac:dyDescent="0.4">
      <c r="A278" s="152"/>
      <c r="B278" s="153"/>
      <c r="C278" s="153"/>
      <c r="D278" s="153"/>
      <c r="E278" s="156"/>
      <c r="F278" s="155"/>
      <c r="G278" s="156"/>
      <c r="H278" s="155"/>
      <c r="I278" s="156"/>
      <c r="J278" s="155"/>
      <c r="K278" s="156"/>
      <c r="L278" s="155"/>
      <c r="M278" s="156"/>
      <c r="N278" s="157"/>
      <c r="R278" s="158"/>
      <c r="S278" s="158"/>
      <c r="T278" s="158"/>
      <c r="V278" s="158"/>
      <c r="W278" s="158"/>
      <c r="X278" s="158"/>
      <c r="Y278" s="56"/>
      <c r="Z278" s="56"/>
      <c r="AA278" s="170"/>
      <c r="AE278" s="138">
        <v>0.28472222222222199</v>
      </c>
    </row>
    <row r="279" spans="1:31" ht="24" customHeight="1" thickBot="1" x14ac:dyDescent="0.4">
      <c r="A279" s="152"/>
      <c r="B279" s="153"/>
      <c r="C279" s="153"/>
      <c r="D279" s="153"/>
      <c r="E279" s="156"/>
      <c r="F279" s="155"/>
      <c r="G279" s="156"/>
      <c r="H279" s="155"/>
      <c r="I279" s="156"/>
      <c r="J279" s="155"/>
      <c r="K279" s="156"/>
      <c r="L279" s="155"/>
      <c r="M279" s="156"/>
      <c r="N279" s="157"/>
      <c r="R279" s="158"/>
      <c r="S279" s="158"/>
      <c r="T279" s="158"/>
      <c r="V279" s="158"/>
      <c r="W279" s="158"/>
      <c r="X279" s="158"/>
      <c r="Y279" s="56"/>
      <c r="Z279" s="56"/>
      <c r="AA279" s="170"/>
    </row>
    <row r="280" spans="1:31" ht="24" customHeight="1" thickBot="1" x14ac:dyDescent="0.4">
      <c r="A280" s="152"/>
      <c r="B280" s="153"/>
      <c r="C280" s="153"/>
      <c r="D280" s="153"/>
      <c r="E280" s="156"/>
      <c r="F280" s="155"/>
      <c r="G280" s="156"/>
      <c r="H280" s="155"/>
      <c r="I280" s="156"/>
      <c r="J280" s="155"/>
      <c r="K280" s="156"/>
      <c r="L280" s="155"/>
      <c r="M280" s="156"/>
      <c r="N280" s="157"/>
      <c r="R280" s="158"/>
      <c r="S280" s="158"/>
      <c r="T280" s="158"/>
      <c r="V280" s="158"/>
      <c r="W280" s="158"/>
      <c r="X280" s="158"/>
      <c r="Y280" s="56"/>
      <c r="Z280" s="56"/>
      <c r="AA280" s="170"/>
    </row>
    <row r="281" spans="1:31" ht="24" customHeight="1" thickBot="1" x14ac:dyDescent="0.4">
      <c r="A281" s="152"/>
      <c r="B281" s="153"/>
      <c r="C281" s="153"/>
      <c r="D281" s="153"/>
      <c r="E281" s="156"/>
      <c r="F281" s="155"/>
      <c r="G281" s="156"/>
      <c r="H281" s="155"/>
      <c r="I281" s="156"/>
      <c r="J281" s="155"/>
      <c r="K281" s="156"/>
      <c r="L281" s="155"/>
      <c r="M281" s="156"/>
      <c r="N281" s="157"/>
      <c r="R281" s="158"/>
      <c r="S281" s="158"/>
      <c r="T281" s="158"/>
      <c r="V281" s="158"/>
      <c r="W281" s="158"/>
      <c r="X281" s="158"/>
      <c r="Y281" s="56"/>
      <c r="Z281" s="56"/>
      <c r="AA281" s="170"/>
    </row>
    <row r="282" spans="1:31" ht="24" customHeight="1" thickBot="1" x14ac:dyDescent="0.4">
      <c r="A282" s="152"/>
      <c r="B282" s="153"/>
      <c r="C282" s="153"/>
      <c r="D282" s="153"/>
      <c r="E282" s="156"/>
      <c r="F282" s="155"/>
      <c r="G282" s="156"/>
      <c r="H282" s="155"/>
      <c r="I282" s="156"/>
      <c r="J282" s="155"/>
      <c r="K282" s="156"/>
      <c r="L282" s="155"/>
      <c r="M282" s="156"/>
      <c r="N282" s="157"/>
      <c r="R282" s="158"/>
      <c r="S282" s="158"/>
      <c r="T282" s="158"/>
      <c r="V282" s="158"/>
      <c r="W282" s="158"/>
      <c r="X282" s="158"/>
      <c r="Y282" s="56"/>
      <c r="Z282" s="56"/>
      <c r="AA282" s="170"/>
    </row>
    <row r="283" spans="1:31" ht="24" customHeight="1" thickBot="1" x14ac:dyDescent="0.4">
      <c r="A283" s="152"/>
      <c r="B283" s="153"/>
      <c r="C283" s="153"/>
      <c r="D283" s="153"/>
      <c r="E283" s="156"/>
      <c r="F283" s="155"/>
      <c r="G283" s="156"/>
      <c r="H283" s="155"/>
      <c r="I283" s="156"/>
      <c r="J283" s="155"/>
      <c r="K283" s="156"/>
      <c r="L283" s="155"/>
      <c r="M283" s="156"/>
      <c r="N283" s="157"/>
      <c r="R283" s="158"/>
      <c r="S283" s="158"/>
      <c r="T283" s="158"/>
      <c r="V283" s="158"/>
      <c r="W283" s="158"/>
      <c r="X283" s="158"/>
      <c r="Y283" s="56"/>
      <c r="Z283" s="56"/>
      <c r="AA283" s="170"/>
    </row>
    <row r="284" spans="1:31" ht="24" customHeight="1" thickBot="1" x14ac:dyDescent="0.4">
      <c r="A284" s="152"/>
      <c r="B284" s="153"/>
      <c r="C284" s="153"/>
      <c r="D284" s="153"/>
      <c r="E284" s="156"/>
      <c r="F284" s="155"/>
      <c r="G284" s="156"/>
      <c r="H284" s="155"/>
      <c r="I284" s="156"/>
      <c r="J284" s="155"/>
      <c r="K284" s="156"/>
      <c r="L284" s="155"/>
      <c r="M284" s="156"/>
      <c r="N284" s="157"/>
      <c r="R284" s="158"/>
      <c r="S284" s="158"/>
      <c r="T284" s="158"/>
      <c r="V284" s="158"/>
      <c r="W284" s="158"/>
      <c r="X284" s="158"/>
      <c r="Y284" s="56"/>
      <c r="Z284" s="56"/>
      <c r="AA284" s="170"/>
    </row>
    <row r="285" spans="1:31" ht="24" customHeight="1" thickBot="1" x14ac:dyDescent="0.4">
      <c r="A285" s="152"/>
      <c r="B285" s="153"/>
      <c r="C285" s="153"/>
      <c r="D285" s="153"/>
      <c r="E285" s="156"/>
      <c r="F285" s="155"/>
      <c r="G285" s="156"/>
      <c r="H285" s="155"/>
      <c r="I285" s="156"/>
      <c r="J285" s="155"/>
      <c r="K285" s="156"/>
      <c r="L285" s="155"/>
      <c r="M285" s="156"/>
      <c r="N285" s="157"/>
      <c r="R285" s="158"/>
      <c r="S285" s="158"/>
      <c r="T285" s="158"/>
      <c r="V285" s="158"/>
      <c r="W285" s="158"/>
      <c r="X285" s="158"/>
      <c r="Y285" s="56"/>
      <c r="Z285" s="56"/>
      <c r="AA285" s="170"/>
    </row>
    <row r="286" spans="1:31" ht="24" customHeight="1" thickBot="1" x14ac:dyDescent="0.4">
      <c r="A286" s="152"/>
      <c r="B286" s="153"/>
      <c r="C286" s="153"/>
      <c r="D286" s="153"/>
      <c r="E286" s="156"/>
      <c r="F286" s="155"/>
      <c r="G286" s="156"/>
      <c r="H286" s="155"/>
      <c r="I286" s="156"/>
      <c r="J286" s="155"/>
      <c r="K286" s="156"/>
      <c r="L286" s="155"/>
      <c r="M286" s="156"/>
      <c r="N286" s="157"/>
      <c r="R286" s="158"/>
      <c r="S286" s="158"/>
      <c r="T286" s="158"/>
      <c r="V286" s="158"/>
      <c r="W286" s="158"/>
      <c r="X286" s="158"/>
      <c r="Y286" s="56"/>
      <c r="Z286" s="56"/>
      <c r="AA286" s="170"/>
    </row>
    <row r="287" spans="1:31" ht="24" customHeight="1" thickBot="1" x14ac:dyDescent="0.4">
      <c r="A287" s="152"/>
      <c r="B287" s="153"/>
      <c r="C287" s="153"/>
      <c r="D287" s="153"/>
      <c r="E287" s="156"/>
      <c r="F287" s="155"/>
      <c r="G287" s="156"/>
      <c r="H287" s="155"/>
      <c r="I287" s="156"/>
      <c r="J287" s="155"/>
      <c r="K287" s="156"/>
      <c r="L287" s="155"/>
      <c r="M287" s="156"/>
      <c r="N287" s="157"/>
      <c r="R287" s="158"/>
      <c r="S287" s="158"/>
      <c r="T287" s="158"/>
      <c r="V287" s="158"/>
      <c r="W287" s="158"/>
      <c r="X287" s="158"/>
      <c r="Y287" s="56"/>
      <c r="Z287" s="56"/>
      <c r="AA287" s="170"/>
    </row>
    <row r="288" spans="1:31" ht="24" customHeight="1" thickBot="1" x14ac:dyDescent="0.4">
      <c r="A288" s="152"/>
      <c r="B288" s="153"/>
      <c r="C288" s="153"/>
      <c r="D288" s="153"/>
      <c r="E288" s="156"/>
      <c r="F288" s="155"/>
      <c r="G288" s="156"/>
      <c r="H288" s="155"/>
      <c r="I288" s="156"/>
      <c r="J288" s="155"/>
      <c r="K288" s="156"/>
      <c r="L288" s="155"/>
      <c r="M288" s="156"/>
      <c r="N288" s="157"/>
      <c r="R288" s="158"/>
      <c r="S288" s="158"/>
      <c r="T288" s="158"/>
      <c r="V288" s="158"/>
      <c r="W288" s="158"/>
      <c r="X288" s="158"/>
      <c r="Y288" s="56"/>
      <c r="Z288" s="56"/>
      <c r="AA288" s="170"/>
    </row>
    <row r="289" spans="1:27" ht="24" customHeight="1" thickBot="1" x14ac:dyDescent="0.4">
      <c r="A289" s="152"/>
      <c r="B289" s="153"/>
      <c r="C289" s="153"/>
      <c r="D289" s="153"/>
      <c r="E289" s="156"/>
      <c r="F289" s="155"/>
      <c r="G289" s="156"/>
      <c r="H289" s="155"/>
      <c r="I289" s="156"/>
      <c r="J289" s="155"/>
      <c r="K289" s="156"/>
      <c r="L289" s="155"/>
      <c r="M289" s="156"/>
      <c r="N289" s="157"/>
      <c r="R289" s="158"/>
      <c r="S289" s="158"/>
      <c r="T289" s="158"/>
      <c r="V289" s="158"/>
      <c r="W289" s="158"/>
      <c r="X289" s="158"/>
      <c r="Y289" s="56"/>
      <c r="Z289" s="56"/>
      <c r="AA289" s="170"/>
    </row>
    <row r="290" spans="1:27" ht="24" customHeight="1" thickBot="1" x14ac:dyDescent="0.4">
      <c r="A290" s="152"/>
      <c r="B290" s="153"/>
      <c r="C290" s="153"/>
      <c r="D290" s="153"/>
      <c r="E290" s="156"/>
      <c r="F290" s="155"/>
      <c r="G290" s="156"/>
      <c r="H290" s="155"/>
      <c r="I290" s="156"/>
      <c r="J290" s="155"/>
      <c r="K290" s="156"/>
      <c r="L290" s="155"/>
      <c r="M290" s="156"/>
      <c r="N290" s="157"/>
      <c r="R290" s="158"/>
      <c r="S290" s="158"/>
      <c r="T290" s="158"/>
      <c r="V290" s="158"/>
      <c r="W290" s="158"/>
      <c r="X290" s="158"/>
      <c r="Y290" s="56"/>
      <c r="Z290" s="56"/>
      <c r="AA290" s="170"/>
    </row>
    <row r="291" spans="1:27" ht="24" customHeight="1" thickBot="1" x14ac:dyDescent="0.4">
      <c r="A291" s="152"/>
      <c r="B291" s="153"/>
      <c r="C291" s="153"/>
      <c r="D291" s="153"/>
      <c r="E291" s="156"/>
      <c r="F291" s="155"/>
      <c r="G291" s="156"/>
      <c r="H291" s="155"/>
      <c r="I291" s="156"/>
      <c r="J291" s="155"/>
      <c r="K291" s="156"/>
      <c r="L291" s="155"/>
      <c r="M291" s="156"/>
      <c r="N291" s="157"/>
      <c r="R291" s="158"/>
      <c r="S291" s="158"/>
      <c r="T291" s="158"/>
      <c r="V291" s="158"/>
      <c r="W291" s="158"/>
      <c r="X291" s="158"/>
      <c r="Y291" s="56"/>
      <c r="Z291" s="56"/>
      <c r="AA291" s="170"/>
    </row>
    <row r="292" spans="1:27" ht="24" customHeight="1" thickBot="1" x14ac:dyDescent="0.4">
      <c r="A292" s="152"/>
      <c r="B292" s="153"/>
      <c r="C292" s="153"/>
      <c r="D292" s="153"/>
      <c r="E292" s="156"/>
      <c r="F292" s="155"/>
      <c r="G292" s="156"/>
      <c r="H292" s="155"/>
      <c r="I292" s="156"/>
      <c r="J292" s="155"/>
      <c r="K292" s="156"/>
      <c r="L292" s="155"/>
      <c r="M292" s="156"/>
      <c r="N292" s="157"/>
      <c r="R292" s="158"/>
      <c r="S292" s="158"/>
      <c r="T292" s="158"/>
      <c r="V292" s="158"/>
      <c r="W292" s="158"/>
      <c r="X292" s="158"/>
      <c r="Y292" s="56"/>
      <c r="Z292" s="56"/>
      <c r="AA292" s="170"/>
    </row>
    <row r="293" spans="1:27" ht="24" customHeight="1" thickBot="1" x14ac:dyDescent="0.4">
      <c r="A293" s="152"/>
      <c r="B293" s="153"/>
      <c r="C293" s="153"/>
      <c r="D293" s="153"/>
      <c r="E293" s="156"/>
      <c r="F293" s="155"/>
      <c r="G293" s="156"/>
      <c r="H293" s="155"/>
      <c r="I293" s="156"/>
      <c r="J293" s="155"/>
      <c r="K293" s="156"/>
      <c r="L293" s="155"/>
      <c r="M293" s="156"/>
      <c r="N293" s="157"/>
      <c r="R293" s="158"/>
      <c r="S293" s="158"/>
      <c r="T293" s="158"/>
      <c r="V293" s="158"/>
      <c r="W293" s="158"/>
      <c r="X293" s="158"/>
      <c r="Y293" s="56"/>
      <c r="Z293" s="56"/>
      <c r="AA293" s="170"/>
    </row>
    <row r="294" spans="1:27" ht="24" customHeight="1" thickBot="1" x14ac:dyDescent="0.4">
      <c r="A294" s="152"/>
      <c r="B294" s="153"/>
      <c r="C294" s="153"/>
      <c r="D294" s="153"/>
      <c r="E294" s="156"/>
      <c r="F294" s="155"/>
      <c r="G294" s="156"/>
      <c r="H294" s="155"/>
      <c r="I294" s="156"/>
      <c r="J294" s="155"/>
      <c r="K294" s="156"/>
      <c r="L294" s="155"/>
      <c r="M294" s="156"/>
      <c r="N294" s="157"/>
      <c r="R294" s="158"/>
      <c r="S294" s="158"/>
      <c r="T294" s="158"/>
      <c r="V294" s="158"/>
      <c r="W294" s="158"/>
      <c r="X294" s="158"/>
      <c r="Y294" s="56"/>
      <c r="Z294" s="56"/>
      <c r="AA294" s="170"/>
    </row>
    <row r="295" spans="1:27" ht="24" customHeight="1" thickBot="1" x14ac:dyDescent="0.4">
      <c r="A295" s="152"/>
      <c r="B295" s="153"/>
      <c r="C295" s="153"/>
      <c r="D295" s="153"/>
      <c r="E295" s="156"/>
      <c r="F295" s="155"/>
      <c r="G295" s="156"/>
      <c r="H295" s="155"/>
      <c r="I295" s="156"/>
      <c r="J295" s="155"/>
      <c r="K295" s="156"/>
      <c r="L295" s="155"/>
      <c r="M295" s="156"/>
      <c r="N295" s="157"/>
      <c r="R295" s="158"/>
      <c r="S295" s="158"/>
      <c r="T295" s="158"/>
      <c r="V295" s="158"/>
      <c r="W295" s="158"/>
      <c r="X295" s="158"/>
      <c r="Y295" s="56"/>
      <c r="Z295" s="56"/>
      <c r="AA295" s="170"/>
    </row>
    <row r="296" spans="1:27" ht="24" customHeight="1" thickBot="1" x14ac:dyDescent="0.4">
      <c r="A296" s="152"/>
      <c r="B296" s="153"/>
      <c r="C296" s="153"/>
      <c r="D296" s="153"/>
      <c r="E296" s="156"/>
      <c r="F296" s="155"/>
      <c r="G296" s="156"/>
      <c r="H296" s="155"/>
      <c r="I296" s="156"/>
      <c r="J296" s="155"/>
      <c r="K296" s="156"/>
      <c r="L296" s="155"/>
      <c r="M296" s="156"/>
      <c r="N296" s="157"/>
      <c r="R296" s="158"/>
      <c r="S296" s="158"/>
      <c r="T296" s="158"/>
      <c r="V296" s="158"/>
      <c r="W296" s="158"/>
      <c r="X296" s="158"/>
      <c r="Y296" s="56"/>
      <c r="Z296" s="56"/>
      <c r="AA296" s="170"/>
    </row>
    <row r="297" spans="1:27" ht="24" customHeight="1" thickBot="1" x14ac:dyDescent="0.4">
      <c r="A297" s="152"/>
      <c r="B297" s="153"/>
      <c r="C297" s="153"/>
      <c r="D297" s="153"/>
      <c r="E297" s="156"/>
      <c r="F297" s="155"/>
      <c r="G297" s="156"/>
      <c r="H297" s="155"/>
      <c r="I297" s="156"/>
      <c r="J297" s="155"/>
      <c r="K297" s="156"/>
      <c r="L297" s="155"/>
      <c r="M297" s="156"/>
      <c r="N297" s="157"/>
      <c r="R297" s="158"/>
      <c r="S297" s="158"/>
      <c r="T297" s="158"/>
      <c r="V297" s="158"/>
      <c r="W297" s="158"/>
      <c r="X297" s="158"/>
      <c r="Y297" s="56"/>
      <c r="Z297" s="56"/>
      <c r="AA297" s="170"/>
    </row>
    <row r="298" spans="1:27" ht="24" customHeight="1" thickBot="1" x14ac:dyDescent="0.4">
      <c r="A298" s="152"/>
      <c r="B298" s="153"/>
      <c r="C298" s="153"/>
      <c r="D298" s="153"/>
      <c r="E298" s="156"/>
      <c r="F298" s="155"/>
      <c r="G298" s="156"/>
      <c r="H298" s="155"/>
      <c r="I298" s="156"/>
      <c r="J298" s="155"/>
      <c r="K298" s="156"/>
      <c r="L298" s="155"/>
      <c r="M298" s="156"/>
      <c r="N298" s="157"/>
      <c r="R298" s="158"/>
      <c r="S298" s="158"/>
      <c r="T298" s="158"/>
      <c r="V298" s="158"/>
      <c r="W298" s="158"/>
      <c r="X298" s="158"/>
      <c r="Y298" s="56"/>
      <c r="Z298" s="56"/>
      <c r="AA298" s="170"/>
    </row>
    <row r="299" spans="1:27" ht="24" customHeight="1" thickBot="1" x14ac:dyDescent="0.4">
      <c r="A299" s="152"/>
      <c r="B299" s="153"/>
      <c r="C299" s="153"/>
      <c r="D299" s="153"/>
      <c r="E299" s="156"/>
      <c r="F299" s="155"/>
      <c r="G299" s="156"/>
      <c r="H299" s="155"/>
      <c r="I299" s="156"/>
      <c r="J299" s="155"/>
      <c r="K299" s="156"/>
      <c r="L299" s="155"/>
      <c r="M299" s="156"/>
      <c r="N299" s="157"/>
      <c r="R299" s="158"/>
      <c r="S299" s="158"/>
      <c r="T299" s="158"/>
      <c r="V299" s="158"/>
      <c r="W299" s="158"/>
      <c r="X299" s="158"/>
      <c r="Y299" s="56"/>
      <c r="Z299" s="56"/>
      <c r="AA299" s="170"/>
    </row>
    <row r="300" spans="1:27" ht="24" customHeight="1" thickBot="1" x14ac:dyDescent="0.4">
      <c r="A300" s="152"/>
      <c r="B300" s="153"/>
      <c r="C300" s="153"/>
      <c r="D300" s="153"/>
      <c r="E300" s="156"/>
      <c r="F300" s="155"/>
      <c r="G300" s="156"/>
      <c r="H300" s="155"/>
      <c r="I300" s="156"/>
      <c r="J300" s="155"/>
      <c r="K300" s="156"/>
      <c r="L300" s="155"/>
      <c r="M300" s="156"/>
      <c r="N300" s="157"/>
      <c r="R300" s="158"/>
      <c r="S300" s="158"/>
      <c r="T300" s="158"/>
      <c r="V300" s="158"/>
      <c r="W300" s="158"/>
      <c r="X300" s="158"/>
      <c r="Y300" s="56"/>
      <c r="Z300" s="56"/>
      <c r="AA300" s="170"/>
    </row>
    <row r="301" spans="1:27" ht="24" customHeight="1" thickBot="1" x14ac:dyDescent="0.4">
      <c r="A301" s="152"/>
      <c r="B301" s="153"/>
      <c r="C301" s="153"/>
      <c r="D301" s="153"/>
      <c r="E301" s="156"/>
      <c r="F301" s="155"/>
      <c r="G301" s="156"/>
      <c r="H301" s="155"/>
      <c r="I301" s="156"/>
      <c r="J301" s="155"/>
      <c r="K301" s="156"/>
      <c r="L301" s="155"/>
      <c r="M301" s="156"/>
      <c r="N301" s="157"/>
      <c r="R301" s="158"/>
      <c r="S301" s="158"/>
      <c r="T301" s="158"/>
      <c r="V301" s="158"/>
      <c r="W301" s="158"/>
      <c r="X301" s="158"/>
      <c r="Y301" s="56"/>
      <c r="Z301" s="56"/>
      <c r="AA301" s="170"/>
    </row>
    <row r="302" spans="1:27" ht="24" customHeight="1" thickBot="1" x14ac:dyDescent="0.4">
      <c r="A302" s="152"/>
      <c r="B302" s="153"/>
      <c r="C302" s="153"/>
      <c r="D302" s="153"/>
      <c r="E302" s="156"/>
      <c r="F302" s="155"/>
      <c r="G302" s="156"/>
      <c r="H302" s="155"/>
      <c r="I302" s="156"/>
      <c r="J302" s="155"/>
      <c r="K302" s="156"/>
      <c r="L302" s="155"/>
      <c r="M302" s="156"/>
      <c r="N302" s="157"/>
      <c r="R302" s="158"/>
      <c r="S302" s="158"/>
      <c r="T302" s="158"/>
      <c r="V302" s="158"/>
      <c r="W302" s="158"/>
      <c r="X302" s="158"/>
      <c r="Y302" s="56"/>
      <c r="Z302" s="56"/>
      <c r="AA302" s="170"/>
    </row>
    <row r="303" spans="1:27" ht="24" customHeight="1" thickBot="1" x14ac:dyDescent="0.4">
      <c r="A303" s="152"/>
      <c r="B303" s="153"/>
      <c r="C303" s="153"/>
      <c r="D303" s="153"/>
      <c r="E303" s="156"/>
      <c r="F303" s="155"/>
      <c r="G303" s="156"/>
      <c r="H303" s="155"/>
      <c r="I303" s="156"/>
      <c r="J303" s="155"/>
      <c r="K303" s="156"/>
      <c r="L303" s="155"/>
      <c r="M303" s="156"/>
      <c r="N303" s="157"/>
      <c r="R303" s="158"/>
      <c r="S303" s="158"/>
      <c r="T303" s="158"/>
      <c r="V303" s="158"/>
      <c r="W303" s="158"/>
      <c r="X303" s="158"/>
      <c r="Y303" s="56"/>
      <c r="Z303" s="56"/>
      <c r="AA303" s="170"/>
    </row>
    <row r="304" spans="1:27" ht="24" customHeight="1" thickBot="1" x14ac:dyDescent="0.4">
      <c r="A304" s="152"/>
      <c r="B304" s="153"/>
      <c r="C304" s="153"/>
      <c r="D304" s="153"/>
      <c r="E304" s="156"/>
      <c r="F304" s="155"/>
      <c r="G304" s="156"/>
      <c r="H304" s="155"/>
      <c r="I304" s="156"/>
      <c r="J304" s="155"/>
      <c r="K304" s="156"/>
      <c r="L304" s="155"/>
      <c r="M304" s="156"/>
      <c r="N304" s="157"/>
      <c r="R304" s="158"/>
      <c r="S304" s="158"/>
      <c r="T304" s="158"/>
      <c r="V304" s="158"/>
      <c r="W304" s="158"/>
      <c r="X304" s="158"/>
      <c r="Y304" s="56"/>
      <c r="Z304" s="56"/>
      <c r="AA304" s="170"/>
    </row>
    <row r="305" spans="1:27" ht="24" customHeight="1" thickBot="1" x14ac:dyDescent="0.4">
      <c r="A305" s="152"/>
      <c r="B305" s="153"/>
      <c r="C305" s="153"/>
      <c r="D305" s="153"/>
      <c r="E305" s="156"/>
      <c r="F305" s="155"/>
      <c r="G305" s="156"/>
      <c r="H305" s="155"/>
      <c r="I305" s="156"/>
      <c r="J305" s="155"/>
      <c r="K305" s="156"/>
      <c r="L305" s="155"/>
      <c r="M305" s="156"/>
      <c r="N305" s="157"/>
      <c r="R305" s="158"/>
      <c r="S305" s="158"/>
      <c r="T305" s="158"/>
      <c r="V305" s="158"/>
      <c r="W305" s="158"/>
      <c r="X305" s="158"/>
      <c r="Y305" s="56"/>
      <c r="Z305" s="56"/>
      <c r="AA305" s="170"/>
    </row>
    <row r="306" spans="1:27" ht="24" customHeight="1" thickBot="1" x14ac:dyDescent="0.4">
      <c r="A306" s="152"/>
      <c r="B306" s="153"/>
      <c r="C306" s="153"/>
      <c r="D306" s="153"/>
      <c r="E306" s="156"/>
      <c r="F306" s="155"/>
      <c r="G306" s="156"/>
      <c r="H306" s="155"/>
      <c r="I306" s="156"/>
      <c r="J306" s="155"/>
      <c r="K306" s="156"/>
      <c r="L306" s="155"/>
      <c r="M306" s="156"/>
      <c r="N306" s="157"/>
      <c r="R306" s="158"/>
      <c r="S306" s="158"/>
      <c r="T306" s="158"/>
      <c r="V306" s="158"/>
      <c r="W306" s="158"/>
      <c r="X306" s="158"/>
      <c r="Y306" s="56"/>
      <c r="Z306" s="56"/>
      <c r="AA306" s="170"/>
    </row>
    <row r="307" spans="1:27" ht="24" customHeight="1" thickBot="1" x14ac:dyDescent="0.4">
      <c r="A307" s="152"/>
      <c r="B307" s="153"/>
      <c r="C307" s="153"/>
      <c r="D307" s="153"/>
      <c r="E307" s="156"/>
      <c r="F307" s="155"/>
      <c r="G307" s="156"/>
      <c r="H307" s="155"/>
      <c r="I307" s="156"/>
      <c r="J307" s="155"/>
      <c r="K307" s="156"/>
      <c r="L307" s="155"/>
      <c r="M307" s="156"/>
      <c r="N307" s="157"/>
      <c r="R307" s="158"/>
      <c r="S307" s="158"/>
      <c r="T307" s="158"/>
      <c r="V307" s="158"/>
      <c r="W307" s="158"/>
      <c r="X307" s="158"/>
      <c r="Y307" s="56"/>
      <c r="Z307" s="56"/>
      <c r="AA307" s="170"/>
    </row>
    <row r="308" spans="1:27" ht="24" customHeight="1" thickBot="1" x14ac:dyDescent="0.4">
      <c r="A308" s="152"/>
      <c r="B308" s="153"/>
      <c r="C308" s="153"/>
      <c r="D308" s="153"/>
      <c r="E308" s="156"/>
      <c r="F308" s="155"/>
      <c r="G308" s="156"/>
      <c r="H308" s="155"/>
      <c r="I308" s="156"/>
      <c r="J308" s="155"/>
      <c r="K308" s="156"/>
      <c r="L308" s="155"/>
      <c r="M308" s="156"/>
      <c r="N308" s="157"/>
      <c r="R308" s="158"/>
      <c r="S308" s="158"/>
      <c r="T308" s="158"/>
      <c r="V308" s="158"/>
      <c r="W308" s="158"/>
      <c r="X308" s="158"/>
      <c r="Y308" s="56"/>
      <c r="Z308" s="56"/>
      <c r="AA308" s="170"/>
    </row>
    <row r="309" spans="1:27" ht="24" customHeight="1" thickBot="1" x14ac:dyDescent="0.4">
      <c r="A309" s="152"/>
      <c r="B309" s="153"/>
      <c r="C309" s="153"/>
      <c r="D309" s="153"/>
      <c r="E309" s="156"/>
      <c r="F309" s="155"/>
      <c r="G309" s="156"/>
      <c r="H309" s="155"/>
      <c r="I309" s="156"/>
      <c r="J309" s="155"/>
      <c r="K309" s="156"/>
      <c r="L309" s="155"/>
      <c r="M309" s="156"/>
      <c r="N309" s="157"/>
      <c r="R309" s="158"/>
      <c r="S309" s="158"/>
      <c r="T309" s="158"/>
      <c r="V309" s="158"/>
      <c r="W309" s="158"/>
      <c r="X309" s="158"/>
      <c r="Y309" s="56"/>
      <c r="Z309" s="56"/>
      <c r="AA309" s="170"/>
    </row>
    <row r="310" spans="1:27" ht="24" customHeight="1" thickBot="1" x14ac:dyDescent="0.4">
      <c r="A310" s="152"/>
      <c r="B310" s="153"/>
      <c r="C310" s="153"/>
      <c r="D310" s="153"/>
      <c r="E310" s="156"/>
      <c r="F310" s="155"/>
      <c r="G310" s="156"/>
      <c r="H310" s="155"/>
      <c r="I310" s="156"/>
      <c r="J310" s="155"/>
      <c r="K310" s="156"/>
      <c r="L310" s="155"/>
      <c r="M310" s="156"/>
      <c r="N310" s="157"/>
      <c r="R310" s="158"/>
      <c r="S310" s="158"/>
      <c r="T310" s="158"/>
      <c r="V310" s="158"/>
      <c r="W310" s="158"/>
      <c r="X310" s="158"/>
      <c r="Y310" s="56"/>
      <c r="Z310" s="56"/>
      <c r="AA310" s="170"/>
    </row>
    <row r="311" spans="1:27" ht="24" customHeight="1" thickBot="1" x14ac:dyDescent="0.4">
      <c r="A311" s="152"/>
      <c r="B311" s="153"/>
      <c r="C311" s="153"/>
      <c r="D311" s="153"/>
      <c r="E311" s="156"/>
      <c r="F311" s="155"/>
      <c r="G311" s="156"/>
      <c r="H311" s="155"/>
      <c r="I311" s="156"/>
      <c r="J311" s="155"/>
      <c r="K311" s="156"/>
      <c r="L311" s="155"/>
      <c r="M311" s="156"/>
      <c r="N311" s="157"/>
      <c r="R311" s="158"/>
      <c r="S311" s="158"/>
      <c r="T311" s="158"/>
      <c r="V311" s="158"/>
      <c r="W311" s="158"/>
      <c r="X311" s="158"/>
      <c r="Y311" s="56"/>
      <c r="Z311" s="56"/>
      <c r="AA311" s="170"/>
    </row>
    <row r="312" spans="1:27" ht="24" customHeight="1" thickBot="1" x14ac:dyDescent="0.4">
      <c r="A312" s="152"/>
      <c r="B312" s="153"/>
      <c r="C312" s="153"/>
      <c r="D312" s="153"/>
      <c r="E312" s="156"/>
      <c r="F312" s="155"/>
      <c r="G312" s="156"/>
      <c r="H312" s="155"/>
      <c r="I312" s="156"/>
      <c r="J312" s="155"/>
      <c r="K312" s="156"/>
      <c r="L312" s="155"/>
      <c r="M312" s="156"/>
      <c r="N312" s="157"/>
      <c r="R312" s="158"/>
      <c r="S312" s="158"/>
      <c r="T312" s="158"/>
      <c r="V312" s="158"/>
      <c r="W312" s="158"/>
      <c r="X312" s="158"/>
      <c r="Y312" s="56"/>
      <c r="Z312" s="56"/>
      <c r="AA312" s="170"/>
    </row>
    <row r="313" spans="1:27" ht="24" customHeight="1" thickBot="1" x14ac:dyDescent="0.4">
      <c r="A313" s="152"/>
      <c r="B313" s="153"/>
      <c r="C313" s="153"/>
      <c r="D313" s="153"/>
      <c r="E313" s="156"/>
      <c r="F313" s="155"/>
      <c r="G313" s="156"/>
      <c r="H313" s="155"/>
      <c r="I313" s="156"/>
      <c r="J313" s="155"/>
      <c r="K313" s="156"/>
      <c r="L313" s="155"/>
      <c r="M313" s="156"/>
      <c r="N313" s="157"/>
      <c r="R313" s="158"/>
      <c r="S313" s="158"/>
      <c r="T313" s="158"/>
      <c r="V313" s="158"/>
      <c r="W313" s="158"/>
      <c r="X313" s="158"/>
      <c r="Y313" s="56"/>
      <c r="Z313" s="56"/>
      <c r="AA313" s="170"/>
    </row>
    <row r="314" spans="1:27" ht="24" customHeight="1" thickBot="1" x14ac:dyDescent="0.4">
      <c r="A314" s="152"/>
      <c r="B314" s="153"/>
      <c r="C314" s="153"/>
      <c r="D314" s="153"/>
      <c r="E314" s="156"/>
      <c r="F314" s="155"/>
      <c r="G314" s="156"/>
      <c r="H314" s="155"/>
      <c r="I314" s="156"/>
      <c r="J314" s="155"/>
      <c r="K314" s="156"/>
      <c r="L314" s="155"/>
      <c r="M314" s="156"/>
      <c r="N314" s="157"/>
      <c r="R314" s="158"/>
      <c r="S314" s="158"/>
      <c r="T314" s="158"/>
      <c r="V314" s="158"/>
      <c r="W314" s="158"/>
      <c r="X314" s="158"/>
      <c r="Y314" s="56"/>
      <c r="Z314" s="56"/>
      <c r="AA314" s="170"/>
    </row>
    <row r="315" spans="1:27" ht="24" customHeight="1" thickBot="1" x14ac:dyDescent="0.4">
      <c r="A315" s="152"/>
      <c r="B315" s="153"/>
      <c r="C315" s="153"/>
      <c r="D315" s="153"/>
      <c r="E315" s="156"/>
      <c r="F315" s="155"/>
      <c r="G315" s="156"/>
      <c r="H315" s="155"/>
      <c r="I315" s="156"/>
      <c r="J315" s="155"/>
      <c r="K315" s="156"/>
      <c r="L315" s="155"/>
      <c r="M315" s="156"/>
      <c r="N315" s="157"/>
      <c r="R315" s="158"/>
      <c r="S315" s="158"/>
      <c r="T315" s="158"/>
      <c r="V315" s="158"/>
      <c r="W315" s="158"/>
      <c r="X315" s="158"/>
      <c r="Y315" s="56"/>
      <c r="Z315" s="56"/>
      <c r="AA315" s="170"/>
    </row>
    <row r="316" spans="1:27" ht="24" customHeight="1" thickBot="1" x14ac:dyDescent="0.4">
      <c r="A316" s="152"/>
      <c r="B316" s="153"/>
      <c r="C316" s="153"/>
      <c r="D316" s="153"/>
      <c r="E316" s="156"/>
      <c r="F316" s="155"/>
      <c r="G316" s="156"/>
      <c r="H316" s="155"/>
      <c r="I316" s="156"/>
      <c r="J316" s="155"/>
      <c r="K316" s="156"/>
      <c r="L316" s="155"/>
      <c r="M316" s="156"/>
      <c r="N316" s="157"/>
      <c r="R316" s="158"/>
      <c r="S316" s="158"/>
      <c r="T316" s="158"/>
      <c r="V316" s="158"/>
      <c r="W316" s="158"/>
      <c r="X316" s="158"/>
      <c r="Y316" s="56"/>
      <c r="Z316" s="56"/>
      <c r="AA316" s="170"/>
    </row>
    <row r="317" spans="1:27" ht="24" customHeight="1" thickBot="1" x14ac:dyDescent="0.4">
      <c r="A317" s="152"/>
      <c r="B317" s="153"/>
      <c r="C317" s="153"/>
      <c r="D317" s="153"/>
      <c r="E317" s="156"/>
      <c r="F317" s="155"/>
      <c r="G317" s="156"/>
      <c r="H317" s="155"/>
      <c r="I317" s="156"/>
      <c r="J317" s="155"/>
      <c r="K317" s="156"/>
      <c r="L317" s="155"/>
      <c r="M317" s="156"/>
      <c r="N317" s="157"/>
      <c r="R317" s="158"/>
      <c r="S317" s="158"/>
      <c r="T317" s="158"/>
      <c r="V317" s="158"/>
      <c r="W317" s="158"/>
      <c r="X317" s="158"/>
      <c r="Y317" s="56"/>
      <c r="Z317" s="56"/>
      <c r="AA317" s="170"/>
    </row>
    <row r="318" spans="1:27" ht="24" customHeight="1" thickBot="1" x14ac:dyDescent="0.4">
      <c r="A318" s="152"/>
      <c r="B318" s="153"/>
      <c r="C318" s="153"/>
      <c r="D318" s="153"/>
      <c r="E318" s="156"/>
      <c r="F318" s="155"/>
      <c r="G318" s="156"/>
      <c r="H318" s="155"/>
      <c r="I318" s="156"/>
      <c r="J318" s="155"/>
      <c r="K318" s="156"/>
      <c r="L318" s="155"/>
      <c r="M318" s="156"/>
      <c r="N318" s="157"/>
      <c r="R318" s="158"/>
      <c r="S318" s="158"/>
      <c r="T318" s="158"/>
      <c r="V318" s="158"/>
      <c r="W318" s="158"/>
      <c r="X318" s="158"/>
      <c r="Y318" s="56"/>
      <c r="Z318" s="56"/>
      <c r="AA318" s="170"/>
    </row>
    <row r="319" spans="1:27" ht="24" customHeight="1" thickBot="1" x14ac:dyDescent="0.4">
      <c r="A319" s="152"/>
      <c r="B319" s="153"/>
      <c r="C319" s="153"/>
      <c r="D319" s="153"/>
      <c r="E319" s="156"/>
      <c r="F319" s="155"/>
      <c r="G319" s="156"/>
      <c r="H319" s="155"/>
      <c r="I319" s="156"/>
      <c r="J319" s="155"/>
      <c r="K319" s="156"/>
      <c r="L319" s="155"/>
      <c r="M319" s="156"/>
      <c r="N319" s="157"/>
      <c r="R319" s="158"/>
      <c r="S319" s="158"/>
      <c r="T319" s="158"/>
      <c r="V319" s="158"/>
      <c r="W319" s="158"/>
      <c r="X319" s="158"/>
      <c r="Y319" s="56"/>
      <c r="Z319" s="56"/>
      <c r="AA319" s="170"/>
    </row>
    <row r="320" spans="1:27" ht="24" customHeight="1" thickBot="1" x14ac:dyDescent="0.4">
      <c r="A320" s="152"/>
      <c r="B320" s="153"/>
      <c r="C320" s="153"/>
      <c r="D320" s="153"/>
      <c r="E320" s="156"/>
      <c r="F320" s="155"/>
      <c r="G320" s="156"/>
      <c r="H320" s="155"/>
      <c r="I320" s="156"/>
      <c r="J320" s="155"/>
      <c r="K320" s="156"/>
      <c r="L320" s="155"/>
      <c r="M320" s="156"/>
      <c r="N320" s="157"/>
      <c r="R320" s="158"/>
      <c r="S320" s="158"/>
      <c r="T320" s="158"/>
      <c r="V320" s="158"/>
      <c r="W320" s="158"/>
      <c r="X320" s="158"/>
      <c r="Y320" s="56"/>
      <c r="Z320" s="56"/>
      <c r="AA320" s="170"/>
    </row>
    <row r="321" spans="1:27" ht="24" customHeight="1" thickBot="1" x14ac:dyDescent="0.4">
      <c r="A321" s="152"/>
      <c r="B321" s="153"/>
      <c r="C321" s="153"/>
      <c r="D321" s="153"/>
      <c r="E321" s="156"/>
      <c r="F321" s="155"/>
      <c r="G321" s="156"/>
      <c r="H321" s="155"/>
      <c r="I321" s="156"/>
      <c r="J321" s="155"/>
      <c r="K321" s="156"/>
      <c r="L321" s="155"/>
      <c r="M321" s="156"/>
      <c r="N321" s="157"/>
      <c r="R321" s="158"/>
      <c r="S321" s="158"/>
      <c r="T321" s="158"/>
      <c r="V321" s="158"/>
      <c r="W321" s="158"/>
      <c r="X321" s="158"/>
      <c r="Y321" s="56"/>
      <c r="Z321" s="56"/>
      <c r="AA321" s="170"/>
    </row>
    <row r="322" spans="1:27" ht="24" customHeight="1" thickBot="1" x14ac:dyDescent="0.4">
      <c r="A322" s="152"/>
      <c r="B322" s="153"/>
      <c r="C322" s="153"/>
      <c r="D322" s="153"/>
      <c r="E322" s="156"/>
      <c r="F322" s="155"/>
      <c r="G322" s="156"/>
      <c r="H322" s="155"/>
      <c r="I322" s="156"/>
      <c r="J322" s="155"/>
      <c r="K322" s="156"/>
      <c r="L322" s="155"/>
      <c r="M322" s="156"/>
      <c r="N322" s="157"/>
      <c r="R322" s="158"/>
      <c r="S322" s="158"/>
      <c r="T322" s="158"/>
      <c r="V322" s="158"/>
      <c r="W322" s="158"/>
      <c r="X322" s="158"/>
      <c r="Y322" s="56"/>
      <c r="Z322" s="56"/>
      <c r="AA322" s="170"/>
    </row>
    <row r="323" spans="1:27" ht="24" customHeight="1" thickBot="1" x14ac:dyDescent="0.4">
      <c r="A323" s="152"/>
      <c r="B323" s="153"/>
      <c r="C323" s="153"/>
      <c r="D323" s="153"/>
      <c r="E323" s="156"/>
      <c r="F323" s="155"/>
      <c r="G323" s="156"/>
      <c r="H323" s="155"/>
      <c r="I323" s="156"/>
      <c r="J323" s="155"/>
      <c r="K323" s="156"/>
      <c r="L323" s="155"/>
      <c r="M323" s="156"/>
      <c r="N323" s="157"/>
      <c r="R323" s="158"/>
      <c r="S323" s="158"/>
      <c r="T323" s="158"/>
      <c r="V323" s="158"/>
      <c r="W323" s="158"/>
      <c r="X323" s="158"/>
      <c r="Y323" s="56"/>
      <c r="Z323" s="56"/>
      <c r="AA323" s="170"/>
    </row>
    <row r="324" spans="1:27" ht="24" customHeight="1" thickBot="1" x14ac:dyDescent="0.4">
      <c r="A324" s="152"/>
      <c r="B324" s="153"/>
      <c r="C324" s="153"/>
      <c r="D324" s="153"/>
      <c r="E324" s="156"/>
      <c r="F324" s="155"/>
      <c r="G324" s="156"/>
      <c r="H324" s="155"/>
      <c r="I324" s="156"/>
      <c r="J324" s="155"/>
      <c r="K324" s="156"/>
      <c r="L324" s="155"/>
      <c r="M324" s="156"/>
      <c r="N324" s="157"/>
      <c r="R324" s="158"/>
      <c r="S324" s="158"/>
      <c r="T324" s="158"/>
      <c r="V324" s="158"/>
      <c r="W324" s="158"/>
      <c r="X324" s="158"/>
      <c r="Y324" s="56"/>
      <c r="Z324" s="56"/>
      <c r="AA324" s="170"/>
    </row>
    <row r="325" spans="1:27" ht="24" customHeight="1" thickBot="1" x14ac:dyDescent="0.4">
      <c r="A325" s="152"/>
      <c r="B325" s="153"/>
      <c r="C325" s="153"/>
      <c r="D325" s="153"/>
      <c r="E325" s="156"/>
      <c r="F325" s="155"/>
      <c r="G325" s="156"/>
      <c r="H325" s="155"/>
      <c r="I325" s="156"/>
      <c r="J325" s="155"/>
      <c r="K325" s="156"/>
      <c r="L325" s="155"/>
      <c r="M325" s="156"/>
      <c r="N325" s="157"/>
      <c r="R325" s="158"/>
      <c r="S325" s="158"/>
      <c r="T325" s="158"/>
      <c r="V325" s="158"/>
      <c r="W325" s="158"/>
      <c r="X325" s="158"/>
      <c r="Y325" s="56"/>
      <c r="Z325" s="56"/>
      <c r="AA325" s="170"/>
    </row>
    <row r="326" spans="1:27" ht="24" customHeight="1" thickBot="1" x14ac:dyDescent="0.4">
      <c r="A326" s="152"/>
      <c r="B326" s="153"/>
      <c r="C326" s="153"/>
      <c r="D326" s="153"/>
      <c r="E326" s="156"/>
      <c r="F326" s="155"/>
      <c r="G326" s="156"/>
      <c r="H326" s="155"/>
      <c r="I326" s="156"/>
      <c r="J326" s="155"/>
      <c r="K326" s="156"/>
      <c r="L326" s="155"/>
      <c r="M326" s="156"/>
      <c r="N326" s="157"/>
      <c r="R326" s="158"/>
      <c r="S326" s="158"/>
      <c r="T326" s="158"/>
      <c r="V326" s="158"/>
      <c r="W326" s="158"/>
      <c r="X326" s="158"/>
      <c r="Y326" s="56"/>
      <c r="Z326" s="56"/>
      <c r="AA326" s="170"/>
    </row>
    <row r="327" spans="1:27" ht="24" customHeight="1" thickBot="1" x14ac:dyDescent="0.4">
      <c r="A327" s="152"/>
      <c r="B327" s="153"/>
      <c r="C327" s="153"/>
      <c r="D327" s="153"/>
      <c r="E327" s="156"/>
      <c r="F327" s="155"/>
      <c r="G327" s="156"/>
      <c r="H327" s="155"/>
      <c r="I327" s="156"/>
      <c r="J327" s="155"/>
      <c r="K327" s="156"/>
      <c r="L327" s="155"/>
      <c r="M327" s="156"/>
      <c r="N327" s="157"/>
      <c r="R327" s="158"/>
      <c r="S327" s="158"/>
      <c r="T327" s="158"/>
      <c r="V327" s="158"/>
      <c r="W327" s="158"/>
      <c r="X327" s="158"/>
      <c r="Y327" s="56"/>
      <c r="Z327" s="56"/>
      <c r="AA327" s="170"/>
    </row>
    <row r="328" spans="1:27" ht="24" customHeight="1" thickBot="1" x14ac:dyDescent="0.4">
      <c r="A328" s="152"/>
      <c r="B328" s="153"/>
      <c r="C328" s="153"/>
      <c r="D328" s="153"/>
      <c r="E328" s="156"/>
      <c r="F328" s="155"/>
      <c r="G328" s="156"/>
      <c r="H328" s="155"/>
      <c r="I328" s="156"/>
      <c r="J328" s="155"/>
      <c r="K328" s="156"/>
      <c r="L328" s="155"/>
      <c r="M328" s="156"/>
      <c r="N328" s="157"/>
      <c r="R328" s="158"/>
      <c r="S328" s="158"/>
      <c r="T328" s="158"/>
      <c r="V328" s="158"/>
      <c r="W328" s="158"/>
      <c r="X328" s="158"/>
      <c r="Y328" s="56"/>
      <c r="Z328" s="56"/>
      <c r="AA328" s="170"/>
    </row>
    <row r="329" spans="1:27" ht="24" customHeight="1" thickBot="1" x14ac:dyDescent="0.4">
      <c r="A329" s="152"/>
      <c r="B329" s="153"/>
      <c r="C329" s="153"/>
      <c r="D329" s="153"/>
      <c r="E329" s="156"/>
      <c r="F329" s="155"/>
      <c r="G329" s="156"/>
      <c r="H329" s="155"/>
      <c r="I329" s="156"/>
      <c r="J329" s="155"/>
      <c r="K329" s="156"/>
      <c r="L329" s="155"/>
      <c r="M329" s="156"/>
      <c r="N329" s="157"/>
      <c r="R329" s="158"/>
      <c r="S329" s="158"/>
      <c r="T329" s="158"/>
      <c r="V329" s="158"/>
      <c r="W329" s="158"/>
      <c r="X329" s="158"/>
      <c r="Y329" s="56"/>
      <c r="Z329" s="56"/>
      <c r="AA329" s="170"/>
    </row>
    <row r="330" spans="1:27" ht="24" customHeight="1" thickBot="1" x14ac:dyDescent="0.4">
      <c r="A330" s="152"/>
      <c r="B330" s="153"/>
      <c r="C330" s="153"/>
      <c r="D330" s="153"/>
      <c r="E330" s="156"/>
      <c r="F330" s="155"/>
      <c r="G330" s="156"/>
      <c r="H330" s="155"/>
      <c r="I330" s="156"/>
      <c r="J330" s="155"/>
      <c r="K330" s="156"/>
      <c r="L330" s="155"/>
      <c r="M330" s="156"/>
      <c r="N330" s="157"/>
      <c r="R330" s="158"/>
      <c r="S330" s="158"/>
      <c r="T330" s="158"/>
      <c r="V330" s="158"/>
      <c r="W330" s="158"/>
      <c r="X330" s="158"/>
      <c r="Y330" s="56"/>
      <c r="Z330" s="56"/>
      <c r="AA330" s="170"/>
    </row>
    <row r="331" spans="1:27" ht="24" customHeight="1" thickBot="1" x14ac:dyDescent="0.4">
      <c r="A331" s="152"/>
      <c r="B331" s="153"/>
      <c r="C331" s="153"/>
      <c r="D331" s="153"/>
      <c r="E331" s="156"/>
      <c r="F331" s="155"/>
      <c r="G331" s="156"/>
      <c r="H331" s="155"/>
      <c r="I331" s="156"/>
      <c r="J331" s="155"/>
      <c r="K331" s="156"/>
      <c r="L331" s="155"/>
      <c r="M331" s="156"/>
      <c r="N331" s="157"/>
      <c r="R331" s="158"/>
      <c r="S331" s="158"/>
      <c r="T331" s="158"/>
      <c r="V331" s="158"/>
      <c r="W331" s="158"/>
      <c r="X331" s="158"/>
      <c r="Y331" s="56"/>
      <c r="Z331" s="56"/>
      <c r="AA331" s="170"/>
    </row>
    <row r="332" spans="1:27" ht="24" customHeight="1" thickBot="1" x14ac:dyDescent="0.4">
      <c r="A332" s="152"/>
      <c r="B332" s="153"/>
      <c r="C332" s="153"/>
      <c r="D332" s="153"/>
      <c r="E332" s="156"/>
      <c r="F332" s="155"/>
      <c r="G332" s="156"/>
      <c r="H332" s="155"/>
      <c r="I332" s="156"/>
      <c r="J332" s="155"/>
      <c r="K332" s="156"/>
      <c r="L332" s="155"/>
      <c r="M332" s="156"/>
      <c r="N332" s="157"/>
      <c r="R332" s="158"/>
      <c r="S332" s="158"/>
      <c r="T332" s="158"/>
      <c r="V332" s="158"/>
      <c r="W332" s="158"/>
      <c r="X332" s="158"/>
      <c r="Y332" s="56"/>
      <c r="Z332" s="56"/>
      <c r="AA332" s="170"/>
    </row>
    <row r="333" spans="1:27" ht="24" customHeight="1" thickBot="1" x14ac:dyDescent="0.4">
      <c r="A333" s="152"/>
      <c r="B333" s="153"/>
      <c r="C333" s="153"/>
      <c r="D333" s="153"/>
      <c r="E333" s="156"/>
      <c r="F333" s="155"/>
      <c r="G333" s="156"/>
      <c r="H333" s="155"/>
      <c r="I333" s="156"/>
      <c r="J333" s="155"/>
      <c r="K333" s="156"/>
      <c r="L333" s="155"/>
      <c r="M333" s="156"/>
      <c r="N333" s="157"/>
      <c r="R333" s="158"/>
      <c r="S333" s="158"/>
      <c r="T333" s="158"/>
      <c r="V333" s="158"/>
      <c r="W333" s="158"/>
      <c r="X333" s="158"/>
      <c r="Y333" s="56"/>
      <c r="Z333" s="56"/>
      <c r="AA333" s="170"/>
    </row>
    <row r="334" spans="1:27" ht="24" customHeight="1" thickBot="1" x14ac:dyDescent="0.4">
      <c r="A334" s="152"/>
      <c r="B334" s="153"/>
      <c r="C334" s="153"/>
      <c r="D334" s="153"/>
      <c r="E334" s="156"/>
      <c r="F334" s="155"/>
      <c r="G334" s="156"/>
      <c r="H334" s="155"/>
      <c r="I334" s="156"/>
      <c r="J334" s="155"/>
      <c r="K334" s="156"/>
      <c r="L334" s="155"/>
      <c r="M334" s="156"/>
      <c r="N334" s="157"/>
      <c r="R334" s="158"/>
      <c r="S334" s="158"/>
      <c r="T334" s="158"/>
      <c r="V334" s="158"/>
      <c r="W334" s="158"/>
      <c r="X334" s="158"/>
      <c r="Y334" s="56"/>
      <c r="Z334" s="56"/>
      <c r="AA334" s="170"/>
    </row>
    <row r="335" spans="1:27" ht="24" customHeight="1" thickBot="1" x14ac:dyDescent="0.4">
      <c r="A335" s="152"/>
      <c r="B335" s="153"/>
      <c r="C335" s="153"/>
      <c r="D335" s="153"/>
      <c r="E335" s="156"/>
      <c r="F335" s="155"/>
      <c r="G335" s="156"/>
      <c r="H335" s="155"/>
      <c r="I335" s="156"/>
      <c r="J335" s="155"/>
      <c r="K335" s="156"/>
      <c r="L335" s="155"/>
      <c r="M335" s="156"/>
      <c r="N335" s="157"/>
      <c r="R335" s="158"/>
      <c r="S335" s="158"/>
      <c r="T335" s="158"/>
      <c r="V335" s="158"/>
      <c r="W335" s="158"/>
      <c r="X335" s="158"/>
      <c r="Y335" s="56"/>
      <c r="Z335" s="56"/>
      <c r="AA335" s="170"/>
    </row>
    <row r="336" spans="1:27" ht="24" customHeight="1" thickBot="1" x14ac:dyDescent="0.4">
      <c r="A336" s="152"/>
      <c r="B336" s="153"/>
      <c r="C336" s="153"/>
      <c r="D336" s="153"/>
      <c r="E336" s="156"/>
      <c r="F336" s="155"/>
      <c r="G336" s="156"/>
      <c r="H336" s="155"/>
      <c r="I336" s="156"/>
      <c r="J336" s="155"/>
      <c r="K336" s="156"/>
      <c r="L336" s="155"/>
      <c r="M336" s="156"/>
      <c r="N336" s="157"/>
      <c r="R336" s="158"/>
      <c r="S336" s="158"/>
      <c r="T336" s="158"/>
      <c r="V336" s="158"/>
      <c r="W336" s="158"/>
      <c r="X336" s="158"/>
      <c r="Y336" s="56"/>
      <c r="Z336" s="56"/>
      <c r="AA336" s="170"/>
    </row>
    <row r="337" spans="1:27" ht="24" customHeight="1" thickBot="1" x14ac:dyDescent="0.4">
      <c r="A337" s="152"/>
      <c r="B337" s="153"/>
      <c r="C337" s="153"/>
      <c r="D337" s="153"/>
      <c r="E337" s="156"/>
      <c r="F337" s="155"/>
      <c r="G337" s="156"/>
      <c r="H337" s="155"/>
      <c r="I337" s="156"/>
      <c r="J337" s="155"/>
      <c r="K337" s="156"/>
      <c r="L337" s="155"/>
      <c r="M337" s="156"/>
      <c r="N337" s="157"/>
      <c r="R337" s="158"/>
      <c r="S337" s="158"/>
      <c r="T337" s="158"/>
      <c r="V337" s="158"/>
      <c r="W337" s="158"/>
      <c r="X337" s="158"/>
      <c r="Y337" s="56"/>
      <c r="Z337" s="56"/>
      <c r="AA337" s="170"/>
    </row>
    <row r="338" spans="1:27" ht="24" customHeight="1" thickBot="1" x14ac:dyDescent="0.4">
      <c r="A338" s="152"/>
      <c r="B338" s="153"/>
      <c r="C338" s="153"/>
      <c r="D338" s="153"/>
      <c r="E338" s="156"/>
      <c r="F338" s="155"/>
      <c r="G338" s="156"/>
      <c r="H338" s="155"/>
      <c r="I338" s="156"/>
      <c r="J338" s="155"/>
      <c r="K338" s="156"/>
      <c r="L338" s="155"/>
      <c r="M338" s="156"/>
      <c r="N338" s="157"/>
      <c r="R338" s="158"/>
      <c r="S338" s="158"/>
      <c r="T338" s="158"/>
      <c r="V338" s="158"/>
      <c r="W338" s="158"/>
      <c r="X338" s="158"/>
      <c r="Y338" s="56"/>
      <c r="Z338" s="56"/>
      <c r="AA338" s="170"/>
    </row>
    <row r="339" spans="1:27" ht="24" customHeight="1" thickBot="1" x14ac:dyDescent="0.4">
      <c r="A339" s="152"/>
      <c r="B339" s="153"/>
      <c r="C339" s="153"/>
      <c r="D339" s="153"/>
      <c r="E339" s="156"/>
      <c r="F339" s="155"/>
      <c r="G339" s="156"/>
      <c r="H339" s="155"/>
      <c r="I339" s="156"/>
      <c r="J339" s="155"/>
      <c r="K339" s="156"/>
      <c r="L339" s="155"/>
      <c r="M339" s="156"/>
      <c r="N339" s="157"/>
      <c r="R339" s="158"/>
      <c r="S339" s="158"/>
      <c r="T339" s="158"/>
      <c r="V339" s="158"/>
      <c r="W339" s="158"/>
      <c r="X339" s="158"/>
      <c r="Y339" s="56"/>
      <c r="Z339" s="56"/>
      <c r="AA339" s="170"/>
    </row>
    <row r="340" spans="1:27" ht="24" customHeight="1" thickBot="1" x14ac:dyDescent="0.4">
      <c r="A340" s="152"/>
      <c r="B340" s="153"/>
      <c r="C340" s="153"/>
      <c r="D340" s="153"/>
      <c r="E340" s="156"/>
      <c r="F340" s="155"/>
      <c r="G340" s="156"/>
      <c r="H340" s="155"/>
      <c r="I340" s="156"/>
      <c r="J340" s="155"/>
      <c r="K340" s="156"/>
      <c r="L340" s="155"/>
      <c r="M340" s="156"/>
      <c r="N340" s="157"/>
      <c r="R340" s="158"/>
      <c r="S340" s="158"/>
      <c r="T340" s="158"/>
      <c r="V340" s="158"/>
      <c r="W340" s="158"/>
      <c r="X340" s="158"/>
      <c r="Y340" s="56"/>
      <c r="Z340" s="56"/>
      <c r="AA340" s="170"/>
    </row>
    <row r="341" spans="1:27" ht="24" customHeight="1" thickBot="1" x14ac:dyDescent="0.4">
      <c r="A341" s="152"/>
      <c r="B341" s="153"/>
      <c r="C341" s="153"/>
      <c r="D341" s="153"/>
      <c r="E341" s="156"/>
      <c r="F341" s="155"/>
      <c r="G341" s="156"/>
      <c r="H341" s="155"/>
      <c r="I341" s="156"/>
      <c r="J341" s="155"/>
      <c r="K341" s="156"/>
      <c r="L341" s="155"/>
      <c r="M341" s="156"/>
      <c r="N341" s="157"/>
      <c r="R341" s="158"/>
      <c r="S341" s="158"/>
      <c r="T341" s="158"/>
      <c r="V341" s="158"/>
      <c r="W341" s="158"/>
      <c r="X341" s="158"/>
      <c r="Y341" s="56"/>
      <c r="Z341" s="56"/>
      <c r="AA341" s="170"/>
    </row>
    <row r="342" spans="1:27" ht="24" customHeight="1" thickBot="1" x14ac:dyDescent="0.4">
      <c r="A342" s="152"/>
      <c r="B342" s="153"/>
      <c r="C342" s="153"/>
      <c r="D342" s="153"/>
      <c r="E342" s="156"/>
      <c r="F342" s="155"/>
      <c r="G342" s="156"/>
      <c r="H342" s="155"/>
      <c r="I342" s="156"/>
      <c r="J342" s="155"/>
      <c r="K342" s="156"/>
      <c r="L342" s="155"/>
      <c r="M342" s="156"/>
      <c r="N342" s="157"/>
      <c r="R342" s="158"/>
      <c r="S342" s="158"/>
      <c r="T342" s="158"/>
      <c r="V342" s="158"/>
      <c r="W342" s="158"/>
      <c r="X342" s="158"/>
      <c r="Y342" s="56"/>
      <c r="Z342" s="56"/>
      <c r="AA342" s="170"/>
    </row>
    <row r="343" spans="1:27" ht="24" customHeight="1" thickBot="1" x14ac:dyDescent="0.4">
      <c r="A343" s="152"/>
      <c r="B343" s="153"/>
      <c r="C343" s="153"/>
      <c r="D343" s="153"/>
      <c r="E343" s="156"/>
      <c r="F343" s="155"/>
      <c r="G343" s="156"/>
      <c r="H343" s="155"/>
      <c r="I343" s="156"/>
      <c r="J343" s="155"/>
      <c r="K343" s="156"/>
      <c r="L343" s="155"/>
      <c r="M343" s="156"/>
      <c r="N343" s="157"/>
      <c r="R343" s="158"/>
      <c r="S343" s="158"/>
      <c r="T343" s="158"/>
      <c r="V343" s="158"/>
      <c r="W343" s="158"/>
      <c r="X343" s="158"/>
      <c r="Y343" s="56"/>
      <c r="Z343" s="56"/>
      <c r="AA343" s="170"/>
    </row>
    <row r="344" spans="1:27" ht="24" customHeight="1" thickBot="1" x14ac:dyDescent="0.4">
      <c r="A344" s="152"/>
      <c r="B344" s="153"/>
      <c r="C344" s="153"/>
      <c r="D344" s="153"/>
      <c r="E344" s="156"/>
      <c r="F344" s="155"/>
      <c r="G344" s="156"/>
      <c r="H344" s="155"/>
      <c r="I344" s="156"/>
      <c r="J344" s="155"/>
      <c r="K344" s="156"/>
      <c r="L344" s="155"/>
      <c r="M344" s="156"/>
      <c r="N344" s="157"/>
      <c r="R344" s="158"/>
      <c r="S344" s="158"/>
      <c r="T344" s="158"/>
      <c r="V344" s="158"/>
      <c r="W344" s="158"/>
      <c r="X344" s="158"/>
      <c r="Y344" s="56"/>
      <c r="Z344" s="56"/>
      <c r="AA344" s="170"/>
    </row>
    <row r="345" spans="1:27" ht="24" customHeight="1" thickBot="1" x14ac:dyDescent="0.4">
      <c r="A345" s="152"/>
      <c r="B345" s="153"/>
      <c r="C345" s="153"/>
      <c r="D345" s="153"/>
      <c r="E345" s="156"/>
      <c r="F345" s="155"/>
      <c r="G345" s="156"/>
      <c r="H345" s="155"/>
      <c r="I345" s="156"/>
      <c r="J345" s="155"/>
      <c r="K345" s="156"/>
      <c r="L345" s="155"/>
      <c r="M345" s="156"/>
      <c r="N345" s="157"/>
      <c r="R345" s="158"/>
      <c r="S345" s="158"/>
      <c r="T345" s="158"/>
      <c r="V345" s="158"/>
      <c r="W345" s="158"/>
      <c r="X345" s="158"/>
      <c r="Y345" s="56"/>
      <c r="Z345" s="56"/>
      <c r="AA345" s="170"/>
    </row>
    <row r="346" spans="1:27" ht="24" customHeight="1" thickBot="1" x14ac:dyDescent="0.4">
      <c r="A346" s="152"/>
      <c r="B346" s="153"/>
      <c r="C346" s="153"/>
      <c r="D346" s="153"/>
      <c r="E346" s="156"/>
      <c r="F346" s="155"/>
      <c r="G346" s="156"/>
      <c r="H346" s="155"/>
      <c r="I346" s="156"/>
      <c r="J346" s="155"/>
      <c r="K346" s="156"/>
      <c r="L346" s="155"/>
      <c r="M346" s="156"/>
      <c r="N346" s="157"/>
      <c r="R346" s="158"/>
      <c r="S346" s="158"/>
      <c r="T346" s="158"/>
      <c r="V346" s="158"/>
      <c r="W346" s="158"/>
      <c r="X346" s="158"/>
      <c r="Y346" s="56"/>
      <c r="Z346" s="56"/>
      <c r="AA346" s="170"/>
    </row>
    <row r="347" spans="1:27" ht="24" customHeight="1" thickBot="1" x14ac:dyDescent="0.4">
      <c r="A347" s="152"/>
      <c r="B347" s="153"/>
      <c r="C347" s="153"/>
      <c r="D347" s="153"/>
      <c r="E347" s="156"/>
      <c r="F347" s="155"/>
      <c r="G347" s="156"/>
      <c r="H347" s="155"/>
      <c r="I347" s="156"/>
      <c r="J347" s="155"/>
      <c r="K347" s="156"/>
      <c r="L347" s="155"/>
      <c r="M347" s="156"/>
      <c r="N347" s="157"/>
      <c r="R347" s="158"/>
      <c r="S347" s="158"/>
      <c r="T347" s="158"/>
      <c r="V347" s="158"/>
      <c r="W347" s="158"/>
      <c r="X347" s="158"/>
      <c r="Y347" s="56"/>
      <c r="Z347" s="56"/>
      <c r="AA347" s="170"/>
    </row>
    <row r="348" spans="1:27" ht="24" customHeight="1" thickBot="1" x14ac:dyDescent="0.4">
      <c r="A348" s="152"/>
      <c r="B348" s="153"/>
      <c r="C348" s="153"/>
      <c r="D348" s="153"/>
      <c r="E348" s="156"/>
      <c r="F348" s="155"/>
      <c r="G348" s="156"/>
      <c r="H348" s="155"/>
      <c r="I348" s="156"/>
      <c r="J348" s="155"/>
      <c r="K348" s="156"/>
      <c r="L348" s="155"/>
      <c r="M348" s="156"/>
      <c r="N348" s="157"/>
      <c r="R348" s="158"/>
      <c r="S348" s="158"/>
      <c r="T348" s="158"/>
      <c r="V348" s="158"/>
      <c r="W348" s="158"/>
      <c r="X348" s="158"/>
      <c r="Y348" s="56"/>
      <c r="Z348" s="56"/>
      <c r="AA348" s="170"/>
    </row>
    <row r="349" spans="1:27" ht="24" customHeight="1" thickBot="1" x14ac:dyDescent="0.4">
      <c r="A349" s="152"/>
      <c r="B349" s="153"/>
      <c r="C349" s="153"/>
      <c r="D349" s="153"/>
      <c r="E349" s="156"/>
      <c r="F349" s="155"/>
      <c r="G349" s="156"/>
      <c r="H349" s="155"/>
      <c r="I349" s="156"/>
      <c r="J349" s="155"/>
      <c r="K349" s="156"/>
      <c r="L349" s="155"/>
      <c r="M349" s="156"/>
      <c r="N349" s="157"/>
      <c r="R349" s="158"/>
      <c r="S349" s="158"/>
      <c r="T349" s="158"/>
      <c r="V349" s="158"/>
      <c r="W349" s="158"/>
      <c r="X349" s="158"/>
      <c r="Y349" s="56"/>
      <c r="Z349" s="56"/>
      <c r="AA349" s="170"/>
    </row>
    <row r="350" spans="1:27" ht="24" customHeight="1" thickBot="1" x14ac:dyDescent="0.4">
      <c r="A350" s="152"/>
      <c r="B350" s="153"/>
      <c r="C350" s="153"/>
      <c r="D350" s="153"/>
      <c r="E350" s="156"/>
      <c r="F350" s="155"/>
      <c r="G350" s="156"/>
      <c r="H350" s="155"/>
      <c r="I350" s="156"/>
      <c r="J350" s="155"/>
      <c r="K350" s="156"/>
      <c r="L350" s="155"/>
      <c r="M350" s="156"/>
      <c r="N350" s="157"/>
      <c r="R350" s="158"/>
      <c r="S350" s="158"/>
      <c r="T350" s="158"/>
      <c r="V350" s="158"/>
      <c r="W350" s="158"/>
      <c r="X350" s="158"/>
      <c r="Y350" s="56"/>
      <c r="Z350" s="56"/>
      <c r="AA350" s="170"/>
    </row>
    <row r="351" spans="1:27" ht="24" customHeight="1" thickBot="1" x14ac:dyDescent="0.4">
      <c r="A351" s="152"/>
      <c r="B351" s="153"/>
      <c r="C351" s="153"/>
      <c r="D351" s="153"/>
      <c r="E351" s="156"/>
      <c r="F351" s="155"/>
      <c r="G351" s="156"/>
      <c r="H351" s="155"/>
      <c r="I351" s="156"/>
      <c r="J351" s="155"/>
      <c r="K351" s="156"/>
      <c r="L351" s="155"/>
      <c r="M351" s="156"/>
      <c r="N351" s="157"/>
      <c r="R351" s="158"/>
      <c r="S351" s="158"/>
      <c r="T351" s="158"/>
      <c r="V351" s="158"/>
      <c r="W351" s="158"/>
      <c r="X351" s="158"/>
      <c r="Y351" s="56"/>
      <c r="Z351" s="56"/>
      <c r="AA351" s="170"/>
    </row>
    <row r="352" spans="1:27" ht="24" customHeight="1" thickBot="1" x14ac:dyDescent="0.4">
      <c r="A352" s="152"/>
      <c r="B352" s="153"/>
      <c r="C352" s="153"/>
      <c r="D352" s="153"/>
      <c r="E352" s="156"/>
      <c r="F352" s="155"/>
      <c r="G352" s="156"/>
      <c r="H352" s="155"/>
      <c r="I352" s="156"/>
      <c r="J352" s="155"/>
      <c r="K352" s="156"/>
      <c r="L352" s="155"/>
      <c r="M352" s="156"/>
      <c r="N352" s="157"/>
      <c r="R352" s="158"/>
      <c r="S352" s="158"/>
      <c r="T352" s="158"/>
      <c r="V352" s="158"/>
      <c r="W352" s="158"/>
      <c r="X352" s="158"/>
      <c r="Y352" s="56"/>
      <c r="Z352" s="56"/>
      <c r="AA352" s="170"/>
    </row>
    <row r="353" spans="1:27" ht="24" customHeight="1" thickBot="1" x14ac:dyDescent="0.4">
      <c r="A353" s="152"/>
      <c r="B353" s="153"/>
      <c r="C353" s="153"/>
      <c r="D353" s="153"/>
      <c r="E353" s="156"/>
      <c r="F353" s="155"/>
      <c r="G353" s="156"/>
      <c r="H353" s="155"/>
      <c r="I353" s="156"/>
      <c r="J353" s="155"/>
      <c r="K353" s="156"/>
      <c r="L353" s="155"/>
      <c r="M353" s="156"/>
      <c r="N353" s="157"/>
      <c r="R353" s="158"/>
      <c r="S353" s="158"/>
      <c r="T353" s="158"/>
      <c r="V353" s="158"/>
      <c r="W353" s="158"/>
      <c r="X353" s="158"/>
      <c r="Y353" s="56"/>
      <c r="Z353" s="56"/>
      <c r="AA353" s="170"/>
    </row>
    <row r="354" spans="1:27" ht="24" customHeight="1" thickBot="1" x14ac:dyDescent="0.4">
      <c r="A354" s="152"/>
      <c r="B354" s="153"/>
      <c r="C354" s="153"/>
      <c r="D354" s="153"/>
      <c r="E354" s="156"/>
      <c r="F354" s="155"/>
      <c r="G354" s="156"/>
      <c r="H354" s="155"/>
      <c r="I354" s="156"/>
      <c r="J354" s="155"/>
      <c r="K354" s="156"/>
      <c r="L354" s="155"/>
      <c r="M354" s="156"/>
      <c r="N354" s="157"/>
      <c r="R354" s="158"/>
      <c r="S354" s="158"/>
      <c r="T354" s="158"/>
      <c r="V354" s="158"/>
      <c r="W354" s="158"/>
      <c r="X354" s="158"/>
      <c r="Y354" s="56"/>
      <c r="Z354" s="56"/>
      <c r="AA354" s="170"/>
    </row>
    <row r="355" spans="1:27" ht="24" customHeight="1" thickBot="1" x14ac:dyDescent="0.4">
      <c r="A355" s="152"/>
      <c r="B355" s="153"/>
      <c r="C355" s="153"/>
      <c r="D355" s="153"/>
      <c r="E355" s="156"/>
      <c r="F355" s="155"/>
      <c r="G355" s="156"/>
      <c r="H355" s="155"/>
      <c r="I355" s="156"/>
      <c r="J355" s="155"/>
      <c r="K355" s="156"/>
      <c r="L355" s="155"/>
      <c r="M355" s="156"/>
      <c r="N355" s="157"/>
      <c r="R355" s="158"/>
      <c r="S355" s="158"/>
      <c r="T355" s="158"/>
      <c r="V355" s="158"/>
      <c r="W355" s="158"/>
      <c r="X355" s="158"/>
      <c r="Y355" s="56"/>
      <c r="Z355" s="56"/>
      <c r="AA355" s="170"/>
    </row>
    <row r="356" spans="1:27" ht="24" customHeight="1" thickBot="1" x14ac:dyDescent="0.4">
      <c r="A356" s="152"/>
      <c r="B356" s="153"/>
      <c r="C356" s="153"/>
      <c r="D356" s="153"/>
      <c r="E356" s="156"/>
      <c r="F356" s="155"/>
      <c r="G356" s="156"/>
      <c r="H356" s="155"/>
      <c r="I356" s="156"/>
      <c r="J356" s="155"/>
      <c r="K356" s="156"/>
      <c r="L356" s="155"/>
      <c r="M356" s="156"/>
      <c r="N356" s="157"/>
      <c r="R356" s="158"/>
      <c r="S356" s="158"/>
      <c r="T356" s="158"/>
      <c r="V356" s="158"/>
      <c r="W356" s="158"/>
      <c r="X356" s="158"/>
      <c r="Y356" s="56"/>
      <c r="Z356" s="56"/>
      <c r="AA356" s="170"/>
    </row>
    <row r="357" spans="1:27" ht="24" customHeight="1" thickBot="1" x14ac:dyDescent="0.4">
      <c r="A357" s="152"/>
      <c r="B357" s="153"/>
      <c r="C357" s="153"/>
      <c r="D357" s="153"/>
      <c r="E357" s="156"/>
      <c r="F357" s="155"/>
      <c r="G357" s="156"/>
      <c r="H357" s="155"/>
      <c r="I357" s="156"/>
      <c r="J357" s="155"/>
      <c r="K357" s="156"/>
      <c r="L357" s="155"/>
      <c r="M357" s="156"/>
      <c r="N357" s="157"/>
      <c r="R357" s="158"/>
      <c r="S357" s="158"/>
      <c r="T357" s="158"/>
      <c r="V357" s="158"/>
      <c r="W357" s="158"/>
      <c r="X357" s="158"/>
      <c r="Y357" s="56"/>
      <c r="Z357" s="56"/>
      <c r="AA357" s="170"/>
    </row>
    <row r="358" spans="1:27" ht="24" customHeight="1" thickBot="1" x14ac:dyDescent="0.4">
      <c r="A358" s="152"/>
      <c r="B358" s="153"/>
      <c r="C358" s="153"/>
      <c r="D358" s="153"/>
      <c r="E358" s="156"/>
      <c r="F358" s="155"/>
      <c r="G358" s="156"/>
      <c r="H358" s="155"/>
      <c r="I358" s="156"/>
      <c r="J358" s="155"/>
      <c r="K358" s="156"/>
      <c r="L358" s="155"/>
      <c r="M358" s="156"/>
      <c r="N358" s="157"/>
      <c r="R358" s="158"/>
      <c r="S358" s="158"/>
      <c r="T358" s="158"/>
      <c r="V358" s="158"/>
      <c r="W358" s="158"/>
      <c r="X358" s="158"/>
      <c r="Y358" s="56"/>
      <c r="Z358" s="56"/>
      <c r="AA358" s="170"/>
    </row>
    <row r="359" spans="1:27" ht="24" customHeight="1" thickBot="1" x14ac:dyDescent="0.4">
      <c r="A359" s="152"/>
      <c r="B359" s="153"/>
      <c r="C359" s="153"/>
      <c r="D359" s="153"/>
      <c r="E359" s="156"/>
      <c r="F359" s="155"/>
      <c r="G359" s="156"/>
      <c r="H359" s="155"/>
      <c r="I359" s="156"/>
      <c r="J359" s="155"/>
      <c r="K359" s="156"/>
      <c r="L359" s="155"/>
      <c r="M359" s="156"/>
      <c r="N359" s="157"/>
      <c r="R359" s="158"/>
      <c r="S359" s="158"/>
      <c r="T359" s="158"/>
      <c r="V359" s="158"/>
      <c r="W359" s="158"/>
      <c r="X359" s="158"/>
      <c r="Y359" s="56"/>
      <c r="Z359" s="56"/>
      <c r="AA359" s="170"/>
    </row>
    <row r="360" spans="1:27" ht="24" customHeight="1" thickBot="1" x14ac:dyDescent="0.4">
      <c r="A360" s="152"/>
      <c r="B360" s="153"/>
      <c r="C360" s="153"/>
      <c r="D360" s="153"/>
      <c r="E360" s="156"/>
      <c r="F360" s="155"/>
      <c r="G360" s="156"/>
      <c r="H360" s="155"/>
      <c r="I360" s="156"/>
      <c r="J360" s="155"/>
      <c r="K360" s="156"/>
      <c r="L360" s="155"/>
      <c r="M360" s="156"/>
      <c r="N360" s="157"/>
      <c r="R360" s="158"/>
      <c r="S360" s="158"/>
      <c r="T360" s="158"/>
      <c r="V360" s="158"/>
      <c r="W360" s="158"/>
      <c r="X360" s="158"/>
      <c r="Y360" s="56"/>
      <c r="Z360" s="56"/>
      <c r="AA360" s="170"/>
    </row>
    <row r="361" spans="1:27" ht="24" customHeight="1" thickBot="1" x14ac:dyDescent="0.4">
      <c r="A361" s="152"/>
      <c r="B361" s="153"/>
      <c r="C361" s="153"/>
      <c r="D361" s="153"/>
      <c r="E361" s="156"/>
      <c r="F361" s="155"/>
      <c r="G361" s="156"/>
      <c r="H361" s="155"/>
      <c r="I361" s="156"/>
      <c r="J361" s="155"/>
      <c r="K361" s="156"/>
      <c r="L361" s="155"/>
      <c r="M361" s="156"/>
      <c r="N361" s="157"/>
      <c r="R361" s="158"/>
      <c r="S361" s="158"/>
      <c r="T361" s="158"/>
      <c r="V361" s="158"/>
      <c r="W361" s="158"/>
      <c r="X361" s="158"/>
      <c r="Y361" s="56"/>
      <c r="Z361" s="56"/>
      <c r="AA361" s="170"/>
    </row>
    <row r="362" spans="1:27" ht="24" customHeight="1" thickBot="1" x14ac:dyDescent="0.4">
      <c r="A362" s="152"/>
      <c r="B362" s="153"/>
      <c r="C362" s="153"/>
      <c r="D362" s="153"/>
      <c r="E362" s="156"/>
      <c r="F362" s="155"/>
      <c r="G362" s="156"/>
      <c r="H362" s="155"/>
      <c r="I362" s="156"/>
      <c r="J362" s="155"/>
      <c r="K362" s="156"/>
      <c r="L362" s="155"/>
      <c r="M362" s="156"/>
      <c r="N362" s="157"/>
      <c r="R362" s="158"/>
      <c r="S362" s="158"/>
      <c r="T362" s="158"/>
      <c r="V362" s="158"/>
      <c r="W362" s="158"/>
      <c r="X362" s="158"/>
      <c r="Y362" s="56"/>
      <c r="Z362" s="56"/>
      <c r="AA362" s="170"/>
    </row>
    <row r="363" spans="1:27" ht="24" customHeight="1" thickBot="1" x14ac:dyDescent="0.4">
      <c r="A363" s="152"/>
      <c r="B363" s="153"/>
      <c r="C363" s="153"/>
      <c r="D363" s="153"/>
      <c r="E363" s="156"/>
      <c r="F363" s="155"/>
      <c r="G363" s="156"/>
      <c r="H363" s="155"/>
      <c r="I363" s="156"/>
      <c r="J363" s="155"/>
      <c r="K363" s="156"/>
      <c r="L363" s="155"/>
      <c r="M363" s="156"/>
      <c r="N363" s="157"/>
      <c r="R363" s="158"/>
      <c r="S363" s="158"/>
      <c r="T363" s="158"/>
      <c r="V363" s="158"/>
      <c r="W363" s="158"/>
      <c r="X363" s="158"/>
      <c r="Y363" s="56"/>
      <c r="Z363" s="56"/>
      <c r="AA363" s="170"/>
    </row>
    <row r="364" spans="1:27" ht="24" customHeight="1" thickBot="1" x14ac:dyDescent="0.4">
      <c r="A364" s="152"/>
      <c r="B364" s="153"/>
      <c r="C364" s="153"/>
      <c r="D364" s="153"/>
      <c r="E364" s="156"/>
      <c r="F364" s="155"/>
      <c r="G364" s="156"/>
      <c r="H364" s="155"/>
      <c r="I364" s="156"/>
      <c r="J364" s="155"/>
      <c r="K364" s="156"/>
      <c r="L364" s="155"/>
      <c r="M364" s="156"/>
      <c r="N364" s="157"/>
      <c r="R364" s="158"/>
      <c r="S364" s="158"/>
      <c r="T364" s="158"/>
      <c r="V364" s="158"/>
      <c r="W364" s="158"/>
      <c r="X364" s="158"/>
      <c r="Y364" s="56"/>
      <c r="Z364" s="56"/>
      <c r="AA364" s="170"/>
    </row>
    <row r="365" spans="1:27" ht="24" customHeight="1" thickBot="1" x14ac:dyDescent="0.4">
      <c r="A365" s="152"/>
      <c r="B365" s="153"/>
      <c r="C365" s="153"/>
      <c r="D365" s="153"/>
      <c r="E365" s="156"/>
      <c r="F365" s="155"/>
      <c r="G365" s="156"/>
      <c r="H365" s="155"/>
      <c r="I365" s="156"/>
      <c r="J365" s="155"/>
      <c r="K365" s="156"/>
      <c r="L365" s="155"/>
      <c r="M365" s="156"/>
      <c r="N365" s="157"/>
      <c r="R365" s="158"/>
      <c r="S365" s="158"/>
      <c r="T365" s="158"/>
      <c r="V365" s="158"/>
      <c r="W365" s="158"/>
      <c r="X365" s="158"/>
      <c r="Y365" s="56"/>
      <c r="Z365" s="56"/>
      <c r="AA365" s="170"/>
    </row>
    <row r="366" spans="1:27" ht="24" customHeight="1" thickBot="1" x14ac:dyDescent="0.4">
      <c r="A366" s="152"/>
      <c r="B366" s="153"/>
      <c r="C366" s="153"/>
      <c r="D366" s="153"/>
      <c r="E366" s="156"/>
      <c r="F366" s="155"/>
      <c r="G366" s="156"/>
      <c r="H366" s="155"/>
      <c r="I366" s="156"/>
      <c r="J366" s="155"/>
      <c r="K366" s="156"/>
      <c r="L366" s="155"/>
      <c r="M366" s="156"/>
      <c r="N366" s="157"/>
      <c r="R366" s="158"/>
      <c r="S366" s="158"/>
      <c r="T366" s="158"/>
      <c r="V366" s="158"/>
      <c r="W366" s="158"/>
      <c r="X366" s="158"/>
      <c r="Y366" s="56"/>
      <c r="Z366" s="56"/>
      <c r="AA366" s="170"/>
    </row>
    <row r="367" spans="1:27" ht="24" customHeight="1" thickBot="1" x14ac:dyDescent="0.4">
      <c r="A367" s="152"/>
      <c r="B367" s="153"/>
      <c r="C367" s="153"/>
      <c r="D367" s="153"/>
      <c r="E367" s="156"/>
      <c r="F367" s="155"/>
      <c r="G367" s="156"/>
      <c r="H367" s="155"/>
      <c r="I367" s="156"/>
      <c r="J367" s="155"/>
      <c r="K367" s="156"/>
      <c r="L367" s="155"/>
      <c r="M367" s="156"/>
      <c r="N367" s="157"/>
      <c r="R367" s="158"/>
      <c r="S367" s="158"/>
      <c r="T367" s="158"/>
      <c r="V367" s="158"/>
      <c r="W367" s="158"/>
      <c r="X367" s="158"/>
      <c r="Y367" s="56"/>
      <c r="Z367" s="56"/>
      <c r="AA367" s="170"/>
    </row>
    <row r="368" spans="1:27" ht="24" customHeight="1" thickBot="1" x14ac:dyDescent="0.4">
      <c r="A368" s="152"/>
      <c r="B368" s="153"/>
      <c r="C368" s="153"/>
      <c r="D368" s="153"/>
      <c r="E368" s="156"/>
      <c r="F368" s="155"/>
      <c r="G368" s="156"/>
      <c r="H368" s="155"/>
      <c r="I368" s="156"/>
      <c r="J368" s="155"/>
      <c r="K368" s="156"/>
      <c r="L368" s="155"/>
      <c r="M368" s="156"/>
      <c r="N368" s="157"/>
      <c r="R368" s="158"/>
      <c r="S368" s="158"/>
      <c r="T368" s="158"/>
      <c r="V368" s="158"/>
      <c r="W368" s="158"/>
      <c r="X368" s="158"/>
      <c r="Y368" s="56"/>
      <c r="Z368" s="56"/>
      <c r="AA368" s="170"/>
    </row>
    <row r="369" spans="1:27" ht="24" customHeight="1" thickBot="1" x14ac:dyDescent="0.4">
      <c r="A369" s="152"/>
      <c r="B369" s="153"/>
      <c r="C369" s="153"/>
      <c r="D369" s="153"/>
      <c r="E369" s="156"/>
      <c r="F369" s="155"/>
      <c r="G369" s="156"/>
      <c r="H369" s="155"/>
      <c r="I369" s="156"/>
      <c r="J369" s="155"/>
      <c r="K369" s="156"/>
      <c r="L369" s="155"/>
      <c r="M369" s="156"/>
      <c r="N369" s="157"/>
      <c r="R369" s="158"/>
      <c r="S369" s="158"/>
      <c r="T369" s="158"/>
      <c r="V369" s="158"/>
      <c r="W369" s="158"/>
      <c r="X369" s="158"/>
      <c r="Y369" s="56"/>
      <c r="Z369" s="56"/>
      <c r="AA369" s="170"/>
    </row>
    <row r="370" spans="1:27" ht="24" customHeight="1" thickBot="1" x14ac:dyDescent="0.4">
      <c r="A370" s="152"/>
      <c r="B370" s="153"/>
      <c r="C370" s="153"/>
      <c r="D370" s="153"/>
      <c r="E370" s="156"/>
      <c r="F370" s="155"/>
      <c r="G370" s="156"/>
      <c r="H370" s="155"/>
      <c r="I370" s="156"/>
      <c r="J370" s="155"/>
      <c r="K370" s="156"/>
      <c r="L370" s="155"/>
      <c r="M370" s="156"/>
      <c r="N370" s="157"/>
      <c r="R370" s="158"/>
      <c r="S370" s="158"/>
      <c r="T370" s="158"/>
      <c r="V370" s="158"/>
      <c r="W370" s="158"/>
      <c r="X370" s="158"/>
      <c r="Y370" s="56"/>
      <c r="Z370" s="56"/>
      <c r="AA370" s="170"/>
    </row>
    <row r="371" spans="1:27" ht="24" customHeight="1" thickBot="1" x14ac:dyDescent="0.4">
      <c r="A371" s="152"/>
      <c r="B371" s="153"/>
      <c r="C371" s="153"/>
      <c r="D371" s="153"/>
      <c r="E371" s="156"/>
      <c r="F371" s="155"/>
      <c r="G371" s="156"/>
      <c r="H371" s="155"/>
      <c r="I371" s="156"/>
      <c r="J371" s="155"/>
      <c r="K371" s="156"/>
      <c r="L371" s="155"/>
      <c r="M371" s="156"/>
      <c r="N371" s="157"/>
      <c r="R371" s="158"/>
      <c r="S371" s="158"/>
      <c r="T371" s="158"/>
      <c r="V371" s="158"/>
      <c r="W371" s="158"/>
      <c r="X371" s="158"/>
      <c r="Y371" s="56"/>
      <c r="Z371" s="56"/>
      <c r="AA371" s="170"/>
    </row>
    <row r="372" spans="1:27" ht="24" customHeight="1" thickBot="1" x14ac:dyDescent="0.4">
      <c r="A372" s="152"/>
      <c r="B372" s="153"/>
      <c r="C372" s="153"/>
      <c r="D372" s="153"/>
      <c r="E372" s="156"/>
      <c r="F372" s="155"/>
      <c r="G372" s="156"/>
      <c r="H372" s="155"/>
      <c r="I372" s="156"/>
      <c r="J372" s="155"/>
      <c r="K372" s="156"/>
      <c r="L372" s="155"/>
      <c r="M372" s="156"/>
      <c r="N372" s="157"/>
      <c r="R372" s="158"/>
      <c r="S372" s="158"/>
      <c r="T372" s="158"/>
      <c r="V372" s="158"/>
      <c r="W372" s="158"/>
      <c r="X372" s="158"/>
      <c r="Y372" s="56"/>
      <c r="Z372" s="56"/>
      <c r="AA372" s="170"/>
    </row>
    <row r="373" spans="1:27" ht="24" customHeight="1" thickBot="1" x14ac:dyDescent="0.4">
      <c r="A373" s="152"/>
      <c r="B373" s="153"/>
      <c r="C373" s="153"/>
      <c r="D373" s="153"/>
      <c r="E373" s="156"/>
      <c r="F373" s="155"/>
      <c r="G373" s="156"/>
      <c r="H373" s="155"/>
      <c r="I373" s="156"/>
      <c r="J373" s="155"/>
      <c r="K373" s="156"/>
      <c r="L373" s="155"/>
      <c r="M373" s="156"/>
      <c r="N373" s="157"/>
      <c r="R373" s="158"/>
      <c r="S373" s="158"/>
      <c r="T373" s="158"/>
      <c r="V373" s="158"/>
      <c r="W373" s="158"/>
      <c r="X373" s="158"/>
      <c r="Y373" s="56"/>
      <c r="Z373" s="56"/>
      <c r="AA373" s="170"/>
    </row>
    <row r="374" spans="1:27" ht="24" customHeight="1" thickBot="1" x14ac:dyDescent="0.4">
      <c r="A374" s="152"/>
      <c r="B374" s="153"/>
      <c r="C374" s="153"/>
      <c r="D374" s="153"/>
      <c r="E374" s="156"/>
      <c r="F374" s="155"/>
      <c r="G374" s="156"/>
      <c r="H374" s="155"/>
      <c r="I374" s="156"/>
      <c r="J374" s="155"/>
      <c r="K374" s="156"/>
      <c r="L374" s="155"/>
      <c r="M374" s="156"/>
      <c r="N374" s="157"/>
      <c r="R374" s="158"/>
      <c r="S374" s="158"/>
      <c r="T374" s="158"/>
      <c r="V374" s="158"/>
      <c r="W374" s="158"/>
      <c r="X374" s="158"/>
      <c r="Y374" s="56"/>
      <c r="Z374" s="56"/>
      <c r="AA374" s="170"/>
    </row>
    <row r="375" spans="1:27" ht="24" customHeight="1" thickBot="1" x14ac:dyDescent="0.4">
      <c r="A375" s="152"/>
      <c r="B375" s="153"/>
      <c r="C375" s="153"/>
      <c r="D375" s="153"/>
      <c r="E375" s="156"/>
      <c r="F375" s="155"/>
      <c r="G375" s="156"/>
      <c r="H375" s="155"/>
      <c r="I375" s="156"/>
      <c r="J375" s="155"/>
      <c r="K375" s="156"/>
      <c r="L375" s="155"/>
      <c r="M375" s="156"/>
      <c r="N375" s="157"/>
      <c r="R375" s="158"/>
      <c r="S375" s="158"/>
      <c r="T375" s="158"/>
      <c r="V375" s="158"/>
      <c r="W375" s="158"/>
      <c r="X375" s="158"/>
      <c r="Y375" s="56"/>
      <c r="Z375" s="56"/>
      <c r="AA375" s="170"/>
    </row>
    <row r="376" spans="1:27" ht="24" customHeight="1" thickBot="1" x14ac:dyDescent="0.4">
      <c r="A376" s="152"/>
      <c r="B376" s="153"/>
      <c r="C376" s="153"/>
      <c r="D376" s="153"/>
      <c r="E376" s="156"/>
      <c r="F376" s="155"/>
      <c r="G376" s="156"/>
      <c r="H376" s="155"/>
      <c r="I376" s="156"/>
      <c r="J376" s="155"/>
      <c r="K376" s="156"/>
      <c r="L376" s="155"/>
      <c r="M376" s="156"/>
      <c r="N376" s="157"/>
      <c r="R376" s="158"/>
      <c r="S376" s="158"/>
      <c r="T376" s="158"/>
      <c r="V376" s="158"/>
      <c r="W376" s="158"/>
      <c r="X376" s="158"/>
      <c r="Y376" s="56"/>
      <c r="Z376" s="56"/>
      <c r="AA376" s="170"/>
    </row>
    <row r="377" spans="1:27" ht="24" customHeight="1" thickBot="1" x14ac:dyDescent="0.4">
      <c r="A377" s="152"/>
      <c r="B377" s="153"/>
      <c r="C377" s="153"/>
      <c r="D377" s="153"/>
      <c r="E377" s="156"/>
      <c r="F377" s="155"/>
      <c r="G377" s="156"/>
      <c r="H377" s="155"/>
      <c r="I377" s="156"/>
      <c r="J377" s="155"/>
      <c r="K377" s="156"/>
      <c r="L377" s="155"/>
      <c r="M377" s="156"/>
      <c r="N377" s="157"/>
      <c r="R377" s="158"/>
      <c r="S377" s="158"/>
      <c r="T377" s="158"/>
      <c r="V377" s="158"/>
      <c r="W377" s="158"/>
      <c r="X377" s="158"/>
      <c r="Y377" s="56"/>
      <c r="Z377" s="56"/>
      <c r="AA377" s="170"/>
    </row>
    <row r="378" spans="1:27" ht="24" customHeight="1" thickBot="1" x14ac:dyDescent="0.4">
      <c r="A378" s="152"/>
      <c r="B378" s="153"/>
      <c r="C378" s="153"/>
      <c r="D378" s="153"/>
      <c r="E378" s="156"/>
      <c r="F378" s="155"/>
      <c r="G378" s="156"/>
      <c r="H378" s="155"/>
      <c r="I378" s="156"/>
      <c r="J378" s="155"/>
      <c r="K378" s="156"/>
      <c r="L378" s="155"/>
      <c r="M378" s="156"/>
      <c r="N378" s="157"/>
      <c r="R378" s="158"/>
      <c r="S378" s="158"/>
      <c r="T378" s="158"/>
      <c r="V378" s="158"/>
      <c r="W378" s="158"/>
      <c r="X378" s="158"/>
      <c r="Y378" s="56"/>
      <c r="Z378" s="56"/>
      <c r="AA378" s="170"/>
    </row>
    <row r="379" spans="1:27" ht="24" customHeight="1" thickBot="1" x14ac:dyDescent="0.4">
      <c r="A379" s="152"/>
      <c r="B379" s="153"/>
      <c r="C379" s="153"/>
      <c r="D379" s="153"/>
      <c r="E379" s="156"/>
      <c r="F379" s="155"/>
      <c r="G379" s="156"/>
      <c r="H379" s="155"/>
      <c r="I379" s="156"/>
      <c r="J379" s="155"/>
      <c r="K379" s="156"/>
      <c r="L379" s="155"/>
      <c r="M379" s="156"/>
      <c r="N379" s="157"/>
      <c r="R379" s="158"/>
      <c r="S379" s="158"/>
      <c r="T379" s="158"/>
      <c r="V379" s="158"/>
      <c r="W379" s="158"/>
      <c r="X379" s="158"/>
      <c r="Y379" s="56"/>
      <c r="Z379" s="56"/>
      <c r="AA379" s="170"/>
    </row>
    <row r="380" spans="1:27" ht="24" customHeight="1" thickBot="1" x14ac:dyDescent="0.4">
      <c r="A380" s="152"/>
      <c r="B380" s="153"/>
      <c r="C380" s="153"/>
      <c r="D380" s="153"/>
      <c r="E380" s="156"/>
      <c r="F380" s="155"/>
      <c r="G380" s="156"/>
      <c r="H380" s="155"/>
      <c r="I380" s="156"/>
      <c r="J380" s="155"/>
      <c r="K380" s="156"/>
      <c r="L380" s="155"/>
      <c r="M380" s="156"/>
      <c r="N380" s="157"/>
      <c r="R380" s="158"/>
      <c r="S380" s="158"/>
      <c r="T380" s="158"/>
      <c r="V380" s="158"/>
      <c r="W380" s="158"/>
      <c r="X380" s="158"/>
      <c r="Y380" s="56"/>
      <c r="Z380" s="56"/>
      <c r="AA380" s="170"/>
    </row>
    <row r="381" spans="1:27" ht="24" customHeight="1" thickBot="1" x14ac:dyDescent="0.4">
      <c r="A381" s="152"/>
      <c r="B381" s="153"/>
      <c r="C381" s="153"/>
      <c r="D381" s="153"/>
      <c r="E381" s="156"/>
      <c r="F381" s="155"/>
      <c r="G381" s="156"/>
      <c r="H381" s="155"/>
      <c r="I381" s="156"/>
      <c r="J381" s="155"/>
      <c r="K381" s="156"/>
      <c r="L381" s="155"/>
      <c r="M381" s="156"/>
      <c r="N381" s="157"/>
      <c r="R381" s="158"/>
      <c r="S381" s="158"/>
      <c r="T381" s="158"/>
      <c r="V381" s="158"/>
      <c r="W381" s="158"/>
      <c r="X381" s="158"/>
      <c r="Y381" s="56"/>
      <c r="Z381" s="56"/>
      <c r="AA381" s="170"/>
    </row>
    <row r="382" spans="1:27" ht="24" customHeight="1" thickBot="1" x14ac:dyDescent="0.4">
      <c r="A382" s="152"/>
      <c r="B382" s="153"/>
      <c r="C382" s="153"/>
      <c r="D382" s="153"/>
      <c r="E382" s="156"/>
      <c r="F382" s="155"/>
      <c r="G382" s="156"/>
      <c r="H382" s="155"/>
      <c r="I382" s="156"/>
      <c r="J382" s="155"/>
      <c r="K382" s="156"/>
      <c r="L382" s="155"/>
      <c r="M382" s="156"/>
      <c r="N382" s="157"/>
      <c r="R382" s="158"/>
      <c r="S382" s="158"/>
      <c r="T382" s="158"/>
      <c r="V382" s="158"/>
      <c r="W382" s="158"/>
      <c r="X382" s="158"/>
      <c r="Y382" s="56"/>
      <c r="Z382" s="56"/>
      <c r="AA382" s="170"/>
    </row>
    <row r="383" spans="1:27" ht="24" customHeight="1" thickBot="1" x14ac:dyDescent="0.4">
      <c r="A383" s="152"/>
      <c r="B383" s="153"/>
      <c r="C383" s="153"/>
      <c r="D383" s="153"/>
      <c r="E383" s="156"/>
      <c r="F383" s="155"/>
      <c r="G383" s="156"/>
      <c r="H383" s="155"/>
      <c r="I383" s="156"/>
      <c r="J383" s="155"/>
      <c r="K383" s="156"/>
      <c r="L383" s="155"/>
      <c r="M383" s="156"/>
      <c r="N383" s="157"/>
      <c r="R383" s="158"/>
      <c r="S383" s="158"/>
      <c r="T383" s="158"/>
      <c r="V383" s="158"/>
      <c r="W383" s="158"/>
      <c r="X383" s="158"/>
      <c r="Y383" s="56"/>
      <c r="Z383" s="56"/>
      <c r="AA383" s="170"/>
    </row>
    <row r="384" spans="1:27" ht="24" customHeight="1" thickBot="1" x14ac:dyDescent="0.4">
      <c r="A384" s="152"/>
      <c r="B384" s="153"/>
      <c r="C384" s="153"/>
      <c r="D384" s="153"/>
      <c r="E384" s="156"/>
      <c r="F384" s="155"/>
      <c r="G384" s="156"/>
      <c r="H384" s="155"/>
      <c r="I384" s="156"/>
      <c r="J384" s="155"/>
      <c r="K384" s="156"/>
      <c r="L384" s="155"/>
      <c r="M384" s="156"/>
      <c r="N384" s="157"/>
      <c r="R384" s="158"/>
      <c r="S384" s="158"/>
      <c r="T384" s="158"/>
      <c r="V384" s="158"/>
      <c r="W384" s="158"/>
      <c r="X384" s="158"/>
      <c r="Y384" s="56"/>
      <c r="Z384" s="56"/>
      <c r="AA384" s="170"/>
    </row>
    <row r="385" spans="1:27" ht="24" customHeight="1" thickBot="1" x14ac:dyDescent="0.4">
      <c r="A385" s="152"/>
      <c r="B385" s="153"/>
      <c r="C385" s="153"/>
      <c r="D385" s="153"/>
      <c r="E385" s="156"/>
      <c r="F385" s="155"/>
      <c r="G385" s="156"/>
      <c r="H385" s="155"/>
      <c r="I385" s="156"/>
      <c r="J385" s="155"/>
      <c r="K385" s="156"/>
      <c r="L385" s="155"/>
      <c r="M385" s="156"/>
      <c r="N385" s="157"/>
      <c r="R385" s="158"/>
      <c r="S385" s="158"/>
      <c r="T385" s="158"/>
      <c r="V385" s="158"/>
      <c r="W385" s="158"/>
      <c r="X385" s="158"/>
      <c r="Y385" s="56"/>
      <c r="Z385" s="56"/>
      <c r="AA385" s="170"/>
    </row>
    <row r="386" spans="1:27" ht="24" customHeight="1" thickBot="1" x14ac:dyDescent="0.4">
      <c r="A386" s="152"/>
      <c r="B386" s="153"/>
      <c r="C386" s="153"/>
      <c r="D386" s="153"/>
      <c r="E386" s="156"/>
      <c r="F386" s="155"/>
      <c r="G386" s="156"/>
      <c r="H386" s="155"/>
      <c r="I386" s="156"/>
      <c r="J386" s="155"/>
      <c r="K386" s="156"/>
      <c r="L386" s="155"/>
      <c r="M386" s="156"/>
      <c r="N386" s="157"/>
      <c r="R386" s="158"/>
      <c r="S386" s="158"/>
      <c r="T386" s="158"/>
      <c r="V386" s="158"/>
      <c r="W386" s="158"/>
      <c r="X386" s="158"/>
      <c r="Y386" s="56"/>
      <c r="Z386" s="56"/>
      <c r="AA386" s="170"/>
    </row>
    <row r="387" spans="1:27" ht="24" customHeight="1" thickBot="1" x14ac:dyDescent="0.4">
      <c r="A387" s="152"/>
      <c r="B387" s="153"/>
      <c r="C387" s="153"/>
      <c r="D387" s="153"/>
      <c r="E387" s="156"/>
      <c r="F387" s="155"/>
      <c r="G387" s="156"/>
      <c r="H387" s="155"/>
      <c r="I387" s="156"/>
      <c r="J387" s="155"/>
      <c r="K387" s="156"/>
      <c r="L387" s="155"/>
      <c r="M387" s="156"/>
      <c r="N387" s="157"/>
    </row>
    <row r="388" spans="1:27" ht="24" customHeight="1" thickBot="1" x14ac:dyDescent="0.4">
      <c r="A388" s="152"/>
      <c r="B388" s="153"/>
      <c r="C388" s="153"/>
      <c r="D388" s="153"/>
      <c r="E388" s="156"/>
      <c r="F388" s="155"/>
      <c r="G388" s="156"/>
      <c r="H388" s="155"/>
      <c r="I388" s="156"/>
      <c r="J388" s="155"/>
      <c r="K388" s="156"/>
      <c r="L388" s="155"/>
      <c r="M388" s="156"/>
      <c r="N388" s="157"/>
    </row>
    <row r="389" spans="1:27" ht="24" customHeight="1" thickBot="1" x14ac:dyDescent="0.4">
      <c r="A389" s="152"/>
      <c r="B389" s="153"/>
      <c r="C389" s="153"/>
      <c r="D389" s="153"/>
      <c r="E389" s="156"/>
      <c r="F389" s="155"/>
      <c r="G389" s="156"/>
      <c r="H389" s="155"/>
      <c r="I389" s="156"/>
      <c r="J389" s="155"/>
      <c r="K389" s="156"/>
      <c r="L389" s="155"/>
      <c r="M389" s="156"/>
      <c r="N389" s="157"/>
    </row>
    <row r="390" spans="1:27" ht="24" customHeight="1" thickBot="1" x14ac:dyDescent="0.4">
      <c r="A390" s="152"/>
      <c r="B390" s="153"/>
      <c r="C390" s="153"/>
      <c r="D390" s="153"/>
      <c r="E390" s="156"/>
      <c r="F390" s="155"/>
      <c r="G390" s="156"/>
      <c r="H390" s="155"/>
      <c r="I390" s="156"/>
      <c r="J390" s="155"/>
      <c r="K390" s="156"/>
      <c r="L390" s="155"/>
      <c r="M390" s="156"/>
      <c r="N390" s="157"/>
    </row>
    <row r="391" spans="1:27" ht="24" customHeight="1" thickBot="1" x14ac:dyDescent="0.4">
      <c r="A391" s="152"/>
      <c r="B391" s="153"/>
      <c r="C391" s="153"/>
      <c r="D391" s="153"/>
      <c r="E391" s="156"/>
      <c r="F391" s="155"/>
      <c r="G391" s="156"/>
      <c r="H391" s="155"/>
      <c r="I391" s="156"/>
      <c r="J391" s="155"/>
      <c r="K391" s="156"/>
      <c r="L391" s="155"/>
      <c r="M391" s="156"/>
      <c r="N391" s="157"/>
    </row>
    <row r="392" spans="1:27" ht="24" customHeight="1" thickBot="1" x14ac:dyDescent="0.4">
      <c r="A392" s="152"/>
      <c r="B392" s="153"/>
      <c r="C392" s="153"/>
      <c r="D392" s="153"/>
      <c r="E392" s="156"/>
      <c r="F392" s="155"/>
      <c r="G392" s="156"/>
      <c r="H392" s="155"/>
      <c r="I392" s="156"/>
      <c r="J392" s="155"/>
      <c r="K392" s="156"/>
      <c r="L392" s="155"/>
      <c r="M392" s="156"/>
      <c r="N392" s="157"/>
    </row>
    <row r="393" spans="1:27" ht="24" customHeight="1" thickBot="1" x14ac:dyDescent="0.4">
      <c r="A393" s="152"/>
      <c r="B393" s="153"/>
      <c r="C393" s="153"/>
      <c r="D393" s="153"/>
      <c r="E393" s="156"/>
      <c r="F393" s="155"/>
      <c r="G393" s="156"/>
      <c r="H393" s="155"/>
      <c r="I393" s="156"/>
      <c r="J393" s="155"/>
      <c r="K393" s="156"/>
      <c r="L393" s="155"/>
      <c r="M393" s="156"/>
      <c r="N393" s="157"/>
    </row>
    <row r="394" spans="1:27" ht="24" customHeight="1" thickBot="1" x14ac:dyDescent="0.4">
      <c r="A394" s="152"/>
      <c r="B394" s="153"/>
      <c r="C394" s="153"/>
      <c r="D394" s="153"/>
      <c r="E394" s="156"/>
      <c r="F394" s="155"/>
      <c r="G394" s="156"/>
      <c r="H394" s="155"/>
      <c r="I394" s="156"/>
      <c r="J394" s="155"/>
      <c r="K394" s="156"/>
      <c r="L394" s="155"/>
      <c r="M394" s="156"/>
      <c r="N394" s="157"/>
    </row>
    <row r="395" spans="1:27" ht="24" customHeight="1" thickBot="1" x14ac:dyDescent="0.4">
      <c r="A395" s="152"/>
      <c r="B395" s="153"/>
      <c r="C395" s="153"/>
      <c r="D395" s="153"/>
      <c r="E395" s="156"/>
      <c r="F395" s="155"/>
      <c r="G395" s="156"/>
      <c r="H395" s="155"/>
      <c r="I395" s="156"/>
      <c r="J395" s="155"/>
      <c r="K395" s="156"/>
      <c r="L395" s="155"/>
      <c r="M395" s="156"/>
      <c r="N395" s="157"/>
    </row>
    <row r="396" spans="1:27" ht="24" customHeight="1" thickBot="1" x14ac:dyDescent="0.4">
      <c r="A396" s="152"/>
      <c r="B396" s="153"/>
      <c r="C396" s="153"/>
      <c r="D396" s="153"/>
      <c r="E396" s="156"/>
      <c r="F396" s="155"/>
      <c r="G396" s="156"/>
      <c r="H396" s="155"/>
      <c r="I396" s="156"/>
      <c r="J396" s="155"/>
      <c r="K396" s="156"/>
      <c r="L396" s="155"/>
      <c r="M396" s="156"/>
      <c r="N396" s="157"/>
    </row>
    <row r="397" spans="1:27" ht="24" customHeight="1" thickBot="1" x14ac:dyDescent="0.4">
      <c r="A397" s="152"/>
      <c r="B397" s="153"/>
      <c r="C397" s="153"/>
      <c r="D397" s="153"/>
      <c r="E397" s="156"/>
      <c r="F397" s="155"/>
      <c r="G397" s="156"/>
      <c r="H397" s="155"/>
      <c r="I397" s="156"/>
      <c r="J397" s="155"/>
      <c r="K397" s="156"/>
      <c r="L397" s="155"/>
      <c r="M397" s="156"/>
      <c r="N397" s="157"/>
    </row>
    <row r="398" spans="1:27" ht="24" customHeight="1" thickBot="1" x14ac:dyDescent="0.4">
      <c r="A398" s="152"/>
      <c r="B398" s="153"/>
      <c r="C398" s="153"/>
      <c r="D398" s="153"/>
      <c r="E398" s="156"/>
      <c r="F398" s="155"/>
      <c r="G398" s="156"/>
      <c r="H398" s="155"/>
      <c r="I398" s="156"/>
      <c r="J398" s="155"/>
      <c r="K398" s="156"/>
      <c r="L398" s="155"/>
      <c r="M398" s="156"/>
      <c r="N398" s="157"/>
    </row>
    <row r="399" spans="1:27" ht="24" customHeight="1" thickBot="1" x14ac:dyDescent="0.4">
      <c r="A399" s="152"/>
      <c r="B399" s="153"/>
      <c r="C399" s="153"/>
      <c r="D399" s="153"/>
      <c r="E399" s="156"/>
      <c r="F399" s="155"/>
      <c r="G399" s="156"/>
      <c r="H399" s="155"/>
      <c r="I399" s="156"/>
      <c r="J399" s="155"/>
      <c r="K399" s="156"/>
      <c r="L399" s="155"/>
      <c r="M399" s="156"/>
      <c r="N399" s="157"/>
    </row>
    <row r="400" spans="1:27" ht="24" customHeight="1" thickBot="1" x14ac:dyDescent="0.4">
      <c r="A400" s="152"/>
      <c r="B400" s="153"/>
      <c r="C400" s="153"/>
      <c r="D400" s="153"/>
      <c r="E400" s="156"/>
      <c r="F400" s="155"/>
      <c r="G400" s="156"/>
      <c r="H400" s="155"/>
      <c r="I400" s="156"/>
      <c r="J400" s="155"/>
      <c r="K400" s="156"/>
      <c r="L400" s="155"/>
      <c r="M400" s="156"/>
      <c r="N400" s="157"/>
    </row>
    <row r="401" spans="1:14" ht="24" customHeight="1" thickBot="1" x14ac:dyDescent="0.4">
      <c r="A401" s="152"/>
      <c r="B401" s="153"/>
      <c r="C401" s="153"/>
      <c r="D401" s="153"/>
      <c r="E401" s="156"/>
      <c r="F401" s="155"/>
      <c r="G401" s="156"/>
      <c r="H401" s="155"/>
      <c r="I401" s="156"/>
      <c r="J401" s="155"/>
      <c r="K401" s="156"/>
      <c r="L401" s="155"/>
      <c r="M401" s="156"/>
      <c r="N401" s="157"/>
    </row>
    <row r="402" spans="1:14" ht="24" customHeight="1" thickBot="1" x14ac:dyDescent="0.4">
      <c r="A402" s="152"/>
      <c r="B402" s="153"/>
      <c r="C402" s="153"/>
      <c r="D402" s="153"/>
      <c r="E402" s="156"/>
      <c r="F402" s="155"/>
      <c r="G402" s="156"/>
      <c r="H402" s="155"/>
      <c r="I402" s="156"/>
      <c r="J402" s="155"/>
      <c r="K402" s="156"/>
      <c r="L402" s="155"/>
      <c r="M402" s="156"/>
      <c r="N402" s="157"/>
    </row>
    <row r="403" spans="1:14" ht="24" customHeight="1" thickBot="1" x14ac:dyDescent="0.4">
      <c r="A403" s="152"/>
      <c r="B403" s="153"/>
      <c r="C403" s="153"/>
      <c r="D403" s="153"/>
      <c r="E403" s="156"/>
      <c r="F403" s="155"/>
      <c r="G403" s="156"/>
      <c r="H403" s="155"/>
      <c r="I403" s="156"/>
      <c r="J403" s="155"/>
      <c r="K403" s="156"/>
      <c r="L403" s="155"/>
      <c r="M403" s="156"/>
      <c r="N403" s="157"/>
    </row>
    <row r="404" spans="1:14" ht="24" customHeight="1" thickBot="1" x14ac:dyDescent="0.4">
      <c r="A404" s="152"/>
      <c r="B404" s="153"/>
      <c r="C404" s="153"/>
      <c r="D404" s="153"/>
      <c r="E404" s="156"/>
      <c r="F404" s="155"/>
      <c r="G404" s="156"/>
      <c r="H404" s="155"/>
      <c r="I404" s="156"/>
      <c r="J404" s="155"/>
      <c r="K404" s="156"/>
      <c r="L404" s="155"/>
      <c r="M404" s="156"/>
      <c r="N404" s="157"/>
    </row>
    <row r="405" spans="1:14" ht="24" customHeight="1" thickBot="1" x14ac:dyDescent="0.4">
      <c r="A405" s="152"/>
      <c r="B405" s="153"/>
      <c r="C405" s="153"/>
      <c r="D405" s="153"/>
      <c r="E405" s="156"/>
      <c r="F405" s="155"/>
      <c r="G405" s="156"/>
      <c r="H405" s="155"/>
      <c r="I405" s="156"/>
      <c r="J405" s="155"/>
      <c r="K405" s="156"/>
      <c r="L405" s="155"/>
      <c r="M405" s="156"/>
      <c r="N405" s="157"/>
    </row>
    <row r="406" spans="1:14" ht="24" customHeight="1" thickBot="1" x14ac:dyDescent="0.4">
      <c r="A406" s="152"/>
      <c r="B406" s="153"/>
      <c r="C406" s="153"/>
      <c r="D406" s="153"/>
      <c r="E406" s="156"/>
      <c r="F406" s="155"/>
      <c r="G406" s="156"/>
      <c r="H406" s="155"/>
      <c r="I406" s="156"/>
      <c r="J406" s="155"/>
      <c r="K406" s="156"/>
      <c r="L406" s="155"/>
      <c r="M406" s="156"/>
      <c r="N406" s="157"/>
    </row>
    <row r="407" spans="1:14" ht="24" customHeight="1" thickBot="1" x14ac:dyDescent="0.4">
      <c r="A407" s="152"/>
      <c r="B407" s="153"/>
      <c r="C407" s="153"/>
      <c r="D407" s="153"/>
      <c r="E407" s="156"/>
      <c r="F407" s="155"/>
      <c r="G407" s="156"/>
      <c r="H407" s="155"/>
      <c r="I407" s="156"/>
      <c r="J407" s="155"/>
      <c r="K407" s="156"/>
      <c r="L407" s="155"/>
      <c r="M407" s="156"/>
      <c r="N407" s="157"/>
    </row>
    <row r="408" spans="1:14" ht="24" customHeight="1" thickBot="1" x14ac:dyDescent="0.4">
      <c r="A408" s="152"/>
      <c r="B408" s="153"/>
      <c r="C408" s="153"/>
      <c r="D408" s="153"/>
      <c r="E408" s="156"/>
      <c r="F408" s="155"/>
      <c r="G408" s="156"/>
      <c r="H408" s="155"/>
      <c r="I408" s="156"/>
      <c r="J408" s="155"/>
      <c r="K408" s="156"/>
      <c r="L408" s="155"/>
      <c r="M408" s="156"/>
      <c r="N408" s="157"/>
    </row>
    <row r="409" spans="1:14" ht="24" customHeight="1" thickBot="1" x14ac:dyDescent="0.4">
      <c r="A409" s="152"/>
      <c r="B409" s="153"/>
      <c r="C409" s="153"/>
      <c r="D409" s="153"/>
      <c r="E409" s="156"/>
      <c r="F409" s="155"/>
      <c r="G409" s="156"/>
      <c r="H409" s="155"/>
      <c r="I409" s="156"/>
      <c r="J409" s="155"/>
      <c r="K409" s="156"/>
      <c r="L409" s="155"/>
      <c r="M409" s="156"/>
      <c r="N409" s="157"/>
    </row>
    <row r="410" spans="1:14" ht="24" customHeight="1" thickBot="1" x14ac:dyDescent="0.4">
      <c r="A410" s="152"/>
      <c r="B410" s="153"/>
      <c r="C410" s="153"/>
      <c r="D410" s="153"/>
      <c r="E410" s="156"/>
      <c r="F410" s="155"/>
      <c r="G410" s="156"/>
      <c r="H410" s="155"/>
      <c r="I410" s="156"/>
      <c r="J410" s="155"/>
      <c r="K410" s="156"/>
      <c r="L410" s="155"/>
      <c r="M410" s="156"/>
      <c r="N410" s="157"/>
    </row>
    <row r="411" spans="1:14" ht="24" customHeight="1" thickBot="1" x14ac:dyDescent="0.4">
      <c r="A411" s="152"/>
      <c r="B411" s="153"/>
      <c r="C411" s="153"/>
      <c r="D411" s="153"/>
      <c r="E411" s="156"/>
      <c r="F411" s="155"/>
      <c r="G411" s="156"/>
      <c r="H411" s="155"/>
      <c r="I411" s="156"/>
      <c r="J411" s="155"/>
      <c r="K411" s="156"/>
      <c r="L411" s="155"/>
      <c r="M411" s="156"/>
      <c r="N411" s="157"/>
    </row>
    <row r="412" spans="1:14" ht="24" customHeight="1" thickBot="1" x14ac:dyDescent="0.4">
      <c r="A412" s="152"/>
      <c r="B412" s="153"/>
      <c r="C412" s="153"/>
      <c r="D412" s="153"/>
      <c r="E412" s="156"/>
      <c r="F412" s="155"/>
      <c r="G412" s="156"/>
      <c r="H412" s="155"/>
      <c r="I412" s="156"/>
      <c r="J412" s="155"/>
      <c r="K412" s="156"/>
      <c r="L412" s="155"/>
      <c r="M412" s="156"/>
      <c r="N412" s="157"/>
    </row>
    <row r="413" spans="1:14" ht="24" customHeight="1" thickBot="1" x14ac:dyDescent="0.4">
      <c r="A413" s="152"/>
      <c r="B413" s="153"/>
      <c r="C413" s="153"/>
      <c r="D413" s="153"/>
      <c r="E413" s="156"/>
      <c r="F413" s="155"/>
      <c r="G413" s="156"/>
      <c r="H413" s="155"/>
      <c r="I413" s="156"/>
      <c r="J413" s="155"/>
      <c r="K413" s="156"/>
      <c r="L413" s="155"/>
      <c r="M413" s="156"/>
      <c r="N413" s="157"/>
    </row>
    <row r="414" spans="1:14" ht="24" customHeight="1" thickBot="1" x14ac:dyDescent="0.4">
      <c r="A414" s="152"/>
      <c r="B414" s="153"/>
      <c r="C414" s="153"/>
      <c r="D414" s="153"/>
      <c r="E414" s="156"/>
      <c r="F414" s="155"/>
      <c r="G414" s="156"/>
      <c r="H414" s="155"/>
      <c r="I414" s="156"/>
      <c r="J414" s="155"/>
      <c r="K414" s="156"/>
      <c r="L414" s="155"/>
      <c r="M414" s="156"/>
      <c r="N414" s="157"/>
    </row>
    <row r="415" spans="1:14" ht="24" customHeight="1" thickBot="1" x14ac:dyDescent="0.4">
      <c r="A415" s="152"/>
      <c r="B415" s="153"/>
      <c r="C415" s="153"/>
      <c r="D415" s="153"/>
      <c r="E415" s="156"/>
      <c r="F415" s="155"/>
      <c r="G415" s="156"/>
      <c r="H415" s="155"/>
      <c r="I415" s="156"/>
      <c r="J415" s="155"/>
      <c r="K415" s="156"/>
      <c r="L415" s="155"/>
      <c r="M415" s="156"/>
      <c r="N415" s="157"/>
    </row>
    <row r="416" spans="1:14" ht="24" customHeight="1" thickBot="1" x14ac:dyDescent="0.4">
      <c r="A416" s="152"/>
      <c r="B416" s="153"/>
      <c r="C416" s="153"/>
      <c r="D416" s="153"/>
      <c r="E416" s="156"/>
      <c r="F416" s="155"/>
      <c r="G416" s="156"/>
      <c r="H416" s="155"/>
      <c r="I416" s="156"/>
      <c r="J416" s="155"/>
      <c r="K416" s="156"/>
      <c r="L416" s="155"/>
      <c r="M416" s="156"/>
      <c r="N416" s="157"/>
    </row>
    <row r="417" spans="1:14" ht="24" customHeight="1" thickBot="1" x14ac:dyDescent="0.4">
      <c r="A417" s="152"/>
      <c r="B417" s="153"/>
      <c r="C417" s="153"/>
      <c r="D417" s="153"/>
      <c r="E417" s="156"/>
      <c r="F417" s="155"/>
      <c r="G417" s="156"/>
      <c r="H417" s="155"/>
      <c r="I417" s="156"/>
      <c r="J417" s="155"/>
      <c r="K417" s="156"/>
      <c r="L417" s="155"/>
      <c r="M417" s="156"/>
      <c r="N417" s="157"/>
    </row>
    <row r="418" spans="1:14" ht="24" customHeight="1" thickBot="1" x14ac:dyDescent="0.4">
      <c r="A418" s="152"/>
      <c r="B418" s="153"/>
      <c r="C418" s="153"/>
      <c r="D418" s="153"/>
      <c r="E418" s="156"/>
      <c r="F418" s="155"/>
      <c r="G418" s="156"/>
      <c r="H418" s="155"/>
      <c r="I418" s="156"/>
      <c r="J418" s="155"/>
      <c r="K418" s="156"/>
      <c r="L418" s="155"/>
      <c r="M418" s="156"/>
      <c r="N418" s="157"/>
    </row>
    <row r="419" spans="1:14" ht="24" customHeight="1" thickBot="1" x14ac:dyDescent="0.4">
      <c r="A419" s="152"/>
      <c r="B419" s="153"/>
      <c r="C419" s="153"/>
      <c r="D419" s="153"/>
      <c r="E419" s="156"/>
      <c r="F419" s="155"/>
      <c r="G419" s="156"/>
      <c r="H419" s="155"/>
      <c r="I419" s="156"/>
      <c r="J419" s="155"/>
      <c r="K419" s="156"/>
      <c r="L419" s="155"/>
      <c r="M419" s="156"/>
      <c r="N419" s="157"/>
    </row>
    <row r="420" spans="1:14" ht="24" customHeight="1" thickBot="1" x14ac:dyDescent="0.4">
      <c r="A420" s="152"/>
      <c r="B420" s="153"/>
      <c r="C420" s="153"/>
      <c r="D420" s="153"/>
      <c r="E420" s="156"/>
      <c r="F420" s="155"/>
      <c r="G420" s="156"/>
      <c r="H420" s="155"/>
      <c r="I420" s="156"/>
      <c r="J420" s="155"/>
      <c r="K420" s="156"/>
      <c r="L420" s="155"/>
      <c r="M420" s="156"/>
      <c r="N420" s="157"/>
    </row>
    <row r="421" spans="1:14" ht="24" customHeight="1" thickBot="1" x14ac:dyDescent="0.4">
      <c r="A421" s="152"/>
      <c r="B421" s="153"/>
      <c r="C421" s="153"/>
      <c r="D421" s="153"/>
      <c r="E421" s="156"/>
      <c r="F421" s="155"/>
      <c r="G421" s="156"/>
      <c r="H421" s="155"/>
      <c r="I421" s="156"/>
      <c r="J421" s="155"/>
      <c r="K421" s="156"/>
      <c r="L421" s="155"/>
      <c r="M421" s="156"/>
      <c r="N421" s="157"/>
    </row>
    <row r="422" spans="1:14" ht="24" customHeight="1" thickBot="1" x14ac:dyDescent="0.4">
      <c r="A422" s="152"/>
      <c r="B422" s="153"/>
      <c r="C422" s="153"/>
      <c r="D422" s="153"/>
      <c r="E422" s="156"/>
      <c r="F422" s="155"/>
      <c r="G422" s="156"/>
      <c r="H422" s="155"/>
      <c r="I422" s="156"/>
      <c r="J422" s="155"/>
      <c r="K422" s="156"/>
      <c r="L422" s="155"/>
      <c r="M422" s="156"/>
      <c r="N422" s="157"/>
    </row>
    <row r="423" spans="1:14" ht="24" customHeight="1" thickBot="1" x14ac:dyDescent="0.4">
      <c r="A423" s="152"/>
      <c r="B423" s="153"/>
      <c r="C423" s="153"/>
      <c r="D423" s="153"/>
      <c r="E423" s="156"/>
      <c r="F423" s="155"/>
      <c r="G423" s="156"/>
      <c r="H423" s="155"/>
      <c r="I423" s="156"/>
      <c r="J423" s="155"/>
      <c r="K423" s="156"/>
      <c r="L423" s="155"/>
      <c r="M423" s="156"/>
      <c r="N423" s="157"/>
    </row>
    <row r="424" spans="1:14" ht="24" customHeight="1" thickBot="1" x14ac:dyDescent="0.4">
      <c r="A424" s="152"/>
      <c r="B424" s="153"/>
      <c r="C424" s="153"/>
      <c r="D424" s="153"/>
      <c r="E424" s="156"/>
      <c r="F424" s="155"/>
      <c r="G424" s="156"/>
      <c r="H424" s="155"/>
      <c r="I424" s="156"/>
      <c r="J424" s="155"/>
      <c r="K424" s="156"/>
      <c r="L424" s="155"/>
      <c r="M424" s="156"/>
      <c r="N424" s="157"/>
    </row>
    <row r="425" spans="1:14" ht="24" customHeight="1" thickBot="1" x14ac:dyDescent="0.4">
      <c r="A425" s="152"/>
      <c r="B425" s="153"/>
      <c r="C425" s="153"/>
      <c r="D425" s="153"/>
      <c r="E425" s="156"/>
      <c r="F425" s="155"/>
      <c r="G425" s="156"/>
      <c r="H425" s="155"/>
      <c r="I425" s="156"/>
      <c r="J425" s="155"/>
      <c r="K425" s="156"/>
      <c r="L425" s="155"/>
      <c r="M425" s="156"/>
      <c r="N425" s="157"/>
    </row>
    <row r="426" spans="1:14" ht="24" customHeight="1" thickBot="1" x14ac:dyDescent="0.4">
      <c r="A426" s="152"/>
      <c r="B426" s="153"/>
      <c r="C426" s="153"/>
      <c r="D426" s="153"/>
      <c r="E426" s="156"/>
      <c r="F426" s="155"/>
      <c r="G426" s="156"/>
      <c r="H426" s="155"/>
      <c r="I426" s="156"/>
      <c r="J426" s="155"/>
      <c r="K426" s="156"/>
      <c r="L426" s="155"/>
      <c r="M426" s="156"/>
      <c r="N426" s="157"/>
    </row>
    <row r="427" spans="1:14" ht="24" customHeight="1" thickBot="1" x14ac:dyDescent="0.4">
      <c r="A427" s="152"/>
      <c r="B427" s="153"/>
      <c r="C427" s="153"/>
      <c r="D427" s="153"/>
      <c r="E427" s="156"/>
      <c r="F427" s="155"/>
      <c r="G427" s="156"/>
      <c r="H427" s="155"/>
      <c r="I427" s="156"/>
      <c r="J427" s="155"/>
      <c r="K427" s="156"/>
      <c r="L427" s="155"/>
      <c r="M427" s="156"/>
      <c r="N427" s="157"/>
    </row>
    <row r="428" spans="1:14" ht="24" customHeight="1" thickBot="1" x14ac:dyDescent="0.4">
      <c r="A428" s="152"/>
      <c r="B428" s="153"/>
      <c r="C428" s="153"/>
      <c r="D428" s="153"/>
      <c r="E428" s="156"/>
      <c r="F428" s="155"/>
      <c r="G428" s="156"/>
      <c r="H428" s="155"/>
      <c r="I428" s="156"/>
      <c r="J428" s="155"/>
      <c r="K428" s="156"/>
      <c r="L428" s="155"/>
      <c r="M428" s="156"/>
      <c r="N428" s="157"/>
    </row>
    <row r="429" spans="1:14" ht="24" customHeight="1" thickBot="1" x14ac:dyDescent="0.4">
      <c r="A429" s="152"/>
      <c r="B429" s="153"/>
      <c r="C429" s="153"/>
      <c r="D429" s="153"/>
      <c r="E429" s="156"/>
      <c r="F429" s="155"/>
      <c r="G429" s="156"/>
      <c r="H429" s="155"/>
      <c r="I429" s="156"/>
      <c r="J429" s="155"/>
      <c r="K429" s="156"/>
      <c r="L429" s="155"/>
      <c r="M429" s="156"/>
      <c r="N429" s="157"/>
    </row>
    <row r="430" spans="1:14" ht="24" customHeight="1" thickBot="1" x14ac:dyDescent="0.4">
      <c r="A430" s="152"/>
      <c r="B430" s="153"/>
      <c r="C430" s="153"/>
      <c r="D430" s="153"/>
      <c r="E430" s="156"/>
      <c r="F430" s="155"/>
      <c r="G430" s="156"/>
      <c r="H430" s="155"/>
      <c r="I430" s="156"/>
      <c r="J430" s="155"/>
      <c r="K430" s="156"/>
      <c r="L430" s="155"/>
      <c r="M430" s="156"/>
      <c r="N430" s="157"/>
    </row>
    <row r="431" spans="1:14" ht="24" customHeight="1" thickBot="1" x14ac:dyDescent="0.4">
      <c r="A431" s="152"/>
      <c r="B431" s="153"/>
      <c r="C431" s="153"/>
      <c r="D431" s="153"/>
      <c r="E431" s="156"/>
      <c r="F431" s="155"/>
      <c r="G431" s="156"/>
      <c r="H431" s="155"/>
      <c r="I431" s="156"/>
      <c r="J431" s="155"/>
      <c r="K431" s="156"/>
      <c r="L431" s="155"/>
      <c r="M431" s="156"/>
      <c r="N431" s="157"/>
    </row>
    <row r="432" spans="1:14" ht="24" customHeight="1" thickBot="1" x14ac:dyDescent="0.4">
      <c r="A432" s="152"/>
      <c r="B432" s="153"/>
      <c r="C432" s="153"/>
      <c r="D432" s="153"/>
      <c r="E432" s="156"/>
      <c r="F432" s="155"/>
      <c r="G432" s="156"/>
      <c r="H432" s="155"/>
      <c r="I432" s="156"/>
      <c r="J432" s="155"/>
      <c r="K432" s="156"/>
      <c r="L432" s="155"/>
      <c r="M432" s="156"/>
      <c r="N432" s="157"/>
    </row>
    <row r="433" spans="1:14" ht="24" customHeight="1" thickBot="1" x14ac:dyDescent="0.4">
      <c r="A433" s="152"/>
      <c r="B433" s="153"/>
      <c r="C433" s="153"/>
      <c r="D433" s="153"/>
      <c r="E433" s="156"/>
      <c r="F433" s="155"/>
      <c r="G433" s="156"/>
      <c r="H433" s="155"/>
      <c r="I433" s="156"/>
      <c r="J433" s="155"/>
      <c r="K433" s="156"/>
      <c r="L433" s="155"/>
      <c r="M433" s="156"/>
      <c r="N433" s="157"/>
    </row>
    <row r="434" spans="1:14" ht="24" customHeight="1" thickBot="1" x14ac:dyDescent="0.4">
      <c r="A434" s="152"/>
      <c r="B434" s="153"/>
      <c r="C434" s="153"/>
      <c r="D434" s="153"/>
      <c r="E434" s="156"/>
      <c r="F434" s="155"/>
      <c r="G434" s="156"/>
      <c r="H434" s="155"/>
      <c r="I434" s="156"/>
      <c r="J434" s="155"/>
      <c r="K434" s="156"/>
      <c r="L434" s="155"/>
      <c r="M434" s="156"/>
      <c r="N434" s="157"/>
    </row>
    <row r="435" spans="1:14" ht="24" customHeight="1" thickBot="1" x14ac:dyDescent="0.4">
      <c r="A435" s="152"/>
      <c r="B435" s="153"/>
      <c r="C435" s="153"/>
      <c r="D435" s="153"/>
      <c r="E435" s="156"/>
      <c r="F435" s="155"/>
      <c r="G435" s="156"/>
      <c r="H435" s="155"/>
      <c r="I435" s="156"/>
      <c r="J435" s="155"/>
      <c r="K435" s="156"/>
      <c r="L435" s="155"/>
      <c r="M435" s="156"/>
      <c r="N435" s="157"/>
    </row>
    <row r="436" spans="1:14" ht="24" customHeight="1" thickBot="1" x14ac:dyDescent="0.4">
      <c r="A436" s="152"/>
      <c r="B436" s="153"/>
      <c r="C436" s="153"/>
      <c r="D436" s="153"/>
      <c r="E436" s="156"/>
      <c r="F436" s="155"/>
      <c r="G436" s="156"/>
      <c r="H436" s="155"/>
      <c r="I436" s="156"/>
      <c r="J436" s="155"/>
      <c r="K436" s="156"/>
      <c r="L436" s="155"/>
      <c r="M436" s="156"/>
      <c r="N436" s="157"/>
    </row>
    <row r="437" spans="1:14" ht="24" customHeight="1" thickBot="1" x14ac:dyDescent="0.4">
      <c r="A437" s="152"/>
      <c r="B437" s="153"/>
      <c r="C437" s="153"/>
      <c r="D437" s="153"/>
      <c r="E437" s="156"/>
      <c r="F437" s="155"/>
      <c r="G437" s="156"/>
      <c r="H437" s="155"/>
      <c r="I437" s="156"/>
      <c r="J437" s="155"/>
      <c r="K437" s="156"/>
      <c r="L437" s="155"/>
      <c r="M437" s="156"/>
      <c r="N437" s="157"/>
    </row>
    <row r="438" spans="1:14" ht="24" customHeight="1" thickBot="1" x14ac:dyDescent="0.4">
      <c r="A438" s="152"/>
      <c r="B438" s="153"/>
      <c r="C438" s="153"/>
      <c r="D438" s="153"/>
      <c r="E438" s="156"/>
      <c r="F438" s="155"/>
      <c r="G438" s="156"/>
      <c r="H438" s="155"/>
      <c r="I438" s="156"/>
      <c r="J438" s="155"/>
      <c r="K438" s="156"/>
      <c r="L438" s="155"/>
      <c r="M438" s="156"/>
      <c r="N438" s="157"/>
    </row>
    <row r="439" spans="1:14" ht="24" customHeight="1" thickBot="1" x14ac:dyDescent="0.4">
      <c r="A439" s="152"/>
      <c r="B439" s="153"/>
      <c r="C439" s="153"/>
      <c r="D439" s="153"/>
      <c r="E439" s="156"/>
      <c r="F439" s="155"/>
      <c r="G439" s="156"/>
      <c r="H439" s="155"/>
      <c r="I439" s="156"/>
      <c r="J439" s="155"/>
      <c r="K439" s="156"/>
      <c r="L439" s="155"/>
      <c r="M439" s="156"/>
      <c r="N439" s="157"/>
    </row>
    <row r="440" spans="1:14" ht="24" customHeight="1" thickBot="1" x14ac:dyDescent="0.4">
      <c r="A440" s="152"/>
      <c r="B440" s="153"/>
      <c r="C440" s="153"/>
      <c r="D440" s="153"/>
      <c r="E440" s="156"/>
      <c r="F440" s="155"/>
      <c r="G440" s="156"/>
      <c r="H440" s="155"/>
      <c r="I440" s="156"/>
      <c r="J440" s="155"/>
      <c r="K440" s="156"/>
      <c r="L440" s="155"/>
      <c r="M440" s="156"/>
      <c r="N440" s="157"/>
    </row>
    <row r="441" spans="1:14" ht="24" customHeight="1" thickBot="1" x14ac:dyDescent="0.4">
      <c r="A441" s="152"/>
      <c r="B441" s="153"/>
      <c r="C441" s="153"/>
      <c r="D441" s="153"/>
      <c r="E441" s="156"/>
      <c r="F441" s="155"/>
      <c r="G441" s="156"/>
      <c r="H441" s="155"/>
      <c r="I441" s="156"/>
      <c r="J441" s="155"/>
      <c r="K441" s="156"/>
      <c r="L441" s="155"/>
      <c r="M441" s="156"/>
      <c r="N441" s="157"/>
    </row>
    <row r="442" spans="1:14" ht="24" customHeight="1" thickBot="1" x14ac:dyDescent="0.4">
      <c r="A442" s="152"/>
      <c r="B442" s="153"/>
      <c r="C442" s="153"/>
      <c r="D442" s="153"/>
      <c r="E442" s="156"/>
      <c r="F442" s="155"/>
      <c r="G442" s="156"/>
      <c r="H442" s="155"/>
      <c r="I442" s="156"/>
      <c r="J442" s="155"/>
      <c r="K442" s="156"/>
      <c r="L442" s="155"/>
      <c r="M442" s="156"/>
      <c r="N442" s="157"/>
    </row>
    <row r="443" spans="1:14" ht="24" customHeight="1" thickBot="1" x14ac:dyDescent="0.4">
      <c r="A443" s="152"/>
      <c r="B443" s="153"/>
      <c r="C443" s="153"/>
      <c r="D443" s="153"/>
      <c r="E443" s="156"/>
      <c r="F443" s="155"/>
      <c r="G443" s="156"/>
      <c r="H443" s="155"/>
      <c r="I443" s="156"/>
      <c r="J443" s="155"/>
      <c r="K443" s="156"/>
      <c r="L443" s="155"/>
      <c r="M443" s="156"/>
      <c r="N443" s="157"/>
    </row>
    <row r="444" spans="1:14" ht="24" customHeight="1" thickBot="1" x14ac:dyDescent="0.4">
      <c r="A444" s="152"/>
      <c r="B444" s="153"/>
      <c r="C444" s="153"/>
      <c r="D444" s="153"/>
      <c r="E444" s="156"/>
      <c r="F444" s="155"/>
      <c r="G444" s="156"/>
      <c r="H444" s="155"/>
      <c r="I444" s="156"/>
      <c r="J444" s="155"/>
      <c r="K444" s="156"/>
      <c r="L444" s="155"/>
      <c r="M444" s="156"/>
      <c r="N444" s="157"/>
    </row>
    <row r="445" spans="1:14" ht="24" customHeight="1" thickBot="1" x14ac:dyDescent="0.4">
      <c r="A445" s="152"/>
      <c r="B445" s="153"/>
      <c r="C445" s="153"/>
      <c r="D445" s="153"/>
      <c r="E445" s="156"/>
      <c r="F445" s="155"/>
      <c r="G445" s="156"/>
      <c r="H445" s="155"/>
      <c r="I445" s="156"/>
      <c r="J445" s="155"/>
      <c r="K445" s="156"/>
      <c r="L445" s="155"/>
      <c r="M445" s="156"/>
      <c r="N445" s="157"/>
    </row>
    <row r="446" spans="1:14" ht="24" customHeight="1" thickBot="1" x14ac:dyDescent="0.4">
      <c r="A446" s="152"/>
      <c r="B446" s="153"/>
      <c r="C446" s="153"/>
      <c r="D446" s="153"/>
      <c r="E446" s="156"/>
      <c r="F446" s="155"/>
      <c r="G446" s="156"/>
      <c r="H446" s="155"/>
      <c r="I446" s="156"/>
      <c r="J446" s="155"/>
      <c r="K446" s="156"/>
      <c r="L446" s="155"/>
      <c r="M446" s="156"/>
      <c r="N446" s="157"/>
    </row>
    <row r="447" spans="1:14" ht="24" customHeight="1" thickBot="1" x14ac:dyDescent="0.4">
      <c r="A447" s="152"/>
      <c r="B447" s="153"/>
      <c r="C447" s="153"/>
      <c r="D447" s="153"/>
      <c r="E447" s="156"/>
      <c r="F447" s="155"/>
      <c r="G447" s="156"/>
      <c r="H447" s="155"/>
      <c r="I447" s="156"/>
      <c r="J447" s="155"/>
      <c r="K447" s="156"/>
      <c r="L447" s="155"/>
      <c r="M447" s="156"/>
      <c r="N447" s="157"/>
    </row>
    <row r="448" spans="1:14" ht="24" customHeight="1" thickBot="1" x14ac:dyDescent="0.4">
      <c r="A448" s="152"/>
      <c r="B448" s="153"/>
      <c r="C448" s="153"/>
      <c r="D448" s="153"/>
      <c r="E448" s="156"/>
      <c r="F448" s="155"/>
      <c r="G448" s="156"/>
      <c r="H448" s="155"/>
      <c r="I448" s="156"/>
      <c r="J448" s="155"/>
      <c r="K448" s="156"/>
      <c r="L448" s="155"/>
      <c r="M448" s="156"/>
      <c r="N448" s="157"/>
    </row>
    <row r="449" spans="1:14" ht="24" customHeight="1" thickBot="1" x14ac:dyDescent="0.4">
      <c r="A449" s="152"/>
      <c r="B449" s="153"/>
      <c r="C449" s="153"/>
      <c r="D449" s="153"/>
      <c r="E449" s="156"/>
      <c r="F449" s="155"/>
      <c r="G449" s="156"/>
      <c r="H449" s="155"/>
      <c r="I449" s="156"/>
      <c r="J449" s="155"/>
      <c r="K449" s="156"/>
      <c r="L449" s="155"/>
      <c r="M449" s="156"/>
      <c r="N449" s="157"/>
    </row>
    <row r="450" spans="1:14" ht="24" customHeight="1" thickBot="1" x14ac:dyDescent="0.4">
      <c r="A450" s="152"/>
      <c r="B450" s="153"/>
      <c r="C450" s="153"/>
      <c r="D450" s="153"/>
      <c r="E450" s="156"/>
      <c r="F450" s="155"/>
      <c r="G450" s="156"/>
      <c r="H450" s="155"/>
      <c r="I450" s="156"/>
      <c r="J450" s="155"/>
      <c r="K450" s="156"/>
      <c r="L450" s="155"/>
      <c r="M450" s="156"/>
      <c r="N450" s="157"/>
    </row>
    <row r="451" spans="1:14" ht="24" customHeight="1" thickBot="1" x14ac:dyDescent="0.4">
      <c r="A451" s="152"/>
      <c r="B451" s="153"/>
      <c r="C451" s="153"/>
      <c r="D451" s="153"/>
      <c r="E451" s="156"/>
      <c r="F451" s="155"/>
      <c r="G451" s="156"/>
      <c r="H451" s="155"/>
      <c r="I451" s="156"/>
      <c r="J451" s="155"/>
      <c r="K451" s="156"/>
      <c r="L451" s="155"/>
      <c r="M451" s="156"/>
      <c r="N451" s="157"/>
    </row>
    <row r="452" spans="1:14" ht="24" customHeight="1" thickBot="1" x14ac:dyDescent="0.4">
      <c r="A452" s="152"/>
      <c r="B452" s="153"/>
      <c r="C452" s="153"/>
      <c r="D452" s="153"/>
      <c r="E452" s="156"/>
      <c r="F452" s="155"/>
      <c r="G452" s="156"/>
      <c r="H452" s="155"/>
      <c r="I452" s="156"/>
      <c r="J452" s="155"/>
      <c r="K452" s="156"/>
      <c r="L452" s="155"/>
      <c r="M452" s="156"/>
      <c r="N452" s="157"/>
    </row>
    <row r="453" spans="1:14" ht="24" customHeight="1" thickBot="1" x14ac:dyDescent="0.4">
      <c r="A453" s="152"/>
      <c r="B453" s="153"/>
      <c r="C453" s="153"/>
      <c r="D453" s="153"/>
      <c r="E453" s="156"/>
      <c r="F453" s="155"/>
      <c r="G453" s="156"/>
      <c r="H453" s="155"/>
      <c r="I453" s="156"/>
      <c r="J453" s="155"/>
      <c r="K453" s="156"/>
      <c r="L453" s="155"/>
      <c r="M453" s="156"/>
      <c r="N453" s="157"/>
    </row>
    <row r="454" spans="1:14" ht="24" customHeight="1" thickBot="1" x14ac:dyDescent="0.4">
      <c r="A454" s="152"/>
      <c r="B454" s="153"/>
      <c r="C454" s="153"/>
      <c r="D454" s="153"/>
      <c r="E454" s="156"/>
      <c r="F454" s="155"/>
      <c r="G454" s="156"/>
      <c r="H454" s="155"/>
      <c r="I454" s="156"/>
      <c r="J454" s="155"/>
      <c r="K454" s="156"/>
      <c r="L454" s="155"/>
      <c r="M454" s="156"/>
      <c r="N454" s="157"/>
    </row>
    <row r="455" spans="1:14" ht="24" customHeight="1" thickBot="1" x14ac:dyDescent="0.4">
      <c r="A455" s="152"/>
      <c r="B455" s="153"/>
      <c r="C455" s="153"/>
      <c r="D455" s="153"/>
      <c r="E455" s="156"/>
      <c r="F455" s="155"/>
      <c r="G455" s="156"/>
      <c r="H455" s="155"/>
      <c r="I455" s="156"/>
      <c r="J455" s="155"/>
      <c r="K455" s="156"/>
      <c r="L455" s="155"/>
      <c r="M455" s="156"/>
      <c r="N455" s="157"/>
    </row>
    <row r="456" spans="1:14" ht="24" customHeight="1" thickBot="1" x14ac:dyDescent="0.4">
      <c r="A456" s="152"/>
      <c r="B456" s="153"/>
      <c r="C456" s="153"/>
      <c r="D456" s="153"/>
      <c r="E456" s="156"/>
      <c r="F456" s="155"/>
      <c r="G456" s="156"/>
      <c r="H456" s="155"/>
      <c r="I456" s="156"/>
      <c r="J456" s="155"/>
      <c r="K456" s="156"/>
      <c r="L456" s="155"/>
      <c r="M456" s="156"/>
      <c r="N456" s="157"/>
    </row>
    <row r="457" spans="1:14" ht="24" customHeight="1" thickBot="1" x14ac:dyDescent="0.4">
      <c r="A457" s="152"/>
      <c r="B457" s="153"/>
      <c r="C457" s="153"/>
      <c r="D457" s="153"/>
      <c r="E457" s="156"/>
      <c r="F457" s="155"/>
      <c r="G457" s="156"/>
      <c r="H457" s="155"/>
      <c r="I457" s="156"/>
      <c r="J457" s="155"/>
      <c r="K457" s="156"/>
      <c r="L457" s="155"/>
      <c r="M457" s="156"/>
      <c r="N457" s="157"/>
    </row>
    <row r="458" spans="1:14" ht="24" customHeight="1" thickBot="1" x14ac:dyDescent="0.4">
      <c r="A458" s="152"/>
      <c r="B458" s="153"/>
      <c r="C458" s="153"/>
      <c r="D458" s="153"/>
      <c r="E458" s="156"/>
      <c r="F458" s="155"/>
      <c r="G458" s="156"/>
      <c r="H458" s="155"/>
      <c r="I458" s="156"/>
      <c r="J458" s="155"/>
      <c r="K458" s="156"/>
      <c r="L458" s="155"/>
      <c r="M458" s="156"/>
      <c r="N458" s="157"/>
    </row>
    <row r="459" spans="1:14" ht="24" customHeight="1" thickBot="1" x14ac:dyDescent="0.4">
      <c r="A459" s="152"/>
      <c r="B459" s="153"/>
      <c r="C459" s="153"/>
      <c r="D459" s="153"/>
      <c r="E459" s="156"/>
      <c r="F459" s="155"/>
      <c r="G459" s="156"/>
      <c r="H459" s="155"/>
      <c r="I459" s="156"/>
      <c r="J459" s="155"/>
      <c r="K459" s="156"/>
      <c r="L459" s="155"/>
      <c r="M459" s="156"/>
      <c r="N459" s="157"/>
    </row>
    <row r="460" spans="1:14" ht="24" customHeight="1" thickBot="1" x14ac:dyDescent="0.4">
      <c r="A460" s="152"/>
      <c r="B460" s="153"/>
      <c r="C460" s="153"/>
      <c r="D460" s="153"/>
      <c r="E460" s="156"/>
      <c r="F460" s="155"/>
      <c r="G460" s="156"/>
      <c r="H460" s="155"/>
      <c r="I460" s="156"/>
      <c r="J460" s="155"/>
      <c r="K460" s="156"/>
      <c r="L460" s="155"/>
      <c r="M460" s="156"/>
      <c r="N460" s="157"/>
    </row>
    <row r="461" spans="1:14" ht="24" customHeight="1" thickBot="1" x14ac:dyDescent="0.4">
      <c r="A461" s="152"/>
      <c r="B461" s="153"/>
      <c r="C461" s="153"/>
      <c r="D461" s="153"/>
      <c r="E461" s="156"/>
      <c r="F461" s="155"/>
      <c r="G461" s="156"/>
      <c r="H461" s="155"/>
      <c r="I461" s="156"/>
      <c r="J461" s="155"/>
      <c r="K461" s="156"/>
      <c r="L461" s="155"/>
      <c r="M461" s="156"/>
      <c r="N461" s="157"/>
    </row>
    <row r="462" spans="1:14" ht="24" customHeight="1" thickBot="1" x14ac:dyDescent="0.4">
      <c r="A462" s="152"/>
      <c r="B462" s="153"/>
      <c r="C462" s="153"/>
      <c r="D462" s="153"/>
      <c r="E462" s="156"/>
      <c r="F462" s="155"/>
      <c r="G462" s="156"/>
      <c r="H462" s="155"/>
      <c r="I462" s="156"/>
      <c r="J462" s="155"/>
      <c r="K462" s="156"/>
      <c r="L462" s="155"/>
      <c r="M462" s="156"/>
      <c r="N462" s="157"/>
    </row>
    <row r="463" spans="1:14" ht="24" customHeight="1" thickBot="1" x14ac:dyDescent="0.4">
      <c r="A463" s="152"/>
      <c r="B463" s="153"/>
      <c r="C463" s="153"/>
      <c r="D463" s="153"/>
      <c r="E463" s="156"/>
      <c r="F463" s="155"/>
      <c r="G463" s="156"/>
      <c r="H463" s="155"/>
      <c r="I463" s="156"/>
      <c r="J463" s="155"/>
      <c r="K463" s="156"/>
      <c r="L463" s="155"/>
      <c r="M463" s="156"/>
      <c r="N463" s="157"/>
    </row>
    <row r="464" spans="1:14" ht="24" customHeight="1" thickBot="1" x14ac:dyDescent="0.4">
      <c r="A464" s="152"/>
      <c r="B464" s="153"/>
      <c r="C464" s="153"/>
      <c r="D464" s="153"/>
      <c r="E464" s="156"/>
      <c r="F464" s="155"/>
      <c r="G464" s="156"/>
      <c r="H464" s="155"/>
      <c r="I464" s="156"/>
      <c r="J464" s="155"/>
      <c r="K464" s="156"/>
      <c r="L464" s="155"/>
      <c r="M464" s="156"/>
      <c r="N464" s="157"/>
    </row>
    <row r="465" spans="1:14" ht="24" customHeight="1" thickBot="1" x14ac:dyDescent="0.4">
      <c r="A465" s="152"/>
      <c r="B465" s="153"/>
      <c r="C465" s="153"/>
      <c r="D465" s="153"/>
      <c r="E465" s="156"/>
      <c r="F465" s="155"/>
      <c r="G465" s="156"/>
      <c r="H465" s="155"/>
      <c r="I465" s="156"/>
      <c r="J465" s="155"/>
      <c r="K465" s="156"/>
      <c r="L465" s="155"/>
      <c r="M465" s="156"/>
      <c r="N465" s="157"/>
    </row>
    <row r="466" spans="1:14" ht="24" customHeight="1" thickBot="1" x14ac:dyDescent="0.4">
      <c r="A466" s="152"/>
      <c r="B466" s="153"/>
      <c r="C466" s="153"/>
      <c r="D466" s="153"/>
      <c r="E466" s="156"/>
      <c r="F466" s="155"/>
      <c r="G466" s="156"/>
      <c r="H466" s="155"/>
      <c r="I466" s="156"/>
      <c r="J466" s="155"/>
      <c r="K466" s="156"/>
      <c r="L466" s="155"/>
      <c r="M466" s="156"/>
      <c r="N466" s="157"/>
    </row>
    <row r="467" spans="1:14" ht="24" customHeight="1" thickBot="1" x14ac:dyDescent="0.4">
      <c r="A467" s="152"/>
      <c r="B467" s="153"/>
      <c r="C467" s="153"/>
      <c r="D467" s="153"/>
      <c r="E467" s="156"/>
      <c r="F467" s="155"/>
      <c r="G467" s="156"/>
      <c r="H467" s="155"/>
      <c r="I467" s="156"/>
      <c r="J467" s="155"/>
      <c r="K467" s="156"/>
      <c r="L467" s="155"/>
      <c r="M467" s="156"/>
      <c r="N467" s="157"/>
    </row>
    <row r="468" spans="1:14" ht="24" customHeight="1" thickBot="1" x14ac:dyDescent="0.4">
      <c r="A468" s="152"/>
      <c r="B468" s="153"/>
      <c r="C468" s="153"/>
      <c r="D468" s="153"/>
      <c r="E468" s="156"/>
      <c r="F468" s="155"/>
      <c r="G468" s="156"/>
      <c r="H468" s="155"/>
      <c r="I468" s="156"/>
      <c r="J468" s="155"/>
      <c r="K468" s="156"/>
      <c r="L468" s="155"/>
      <c r="M468" s="156"/>
      <c r="N468" s="157"/>
    </row>
    <row r="469" spans="1:14" ht="24" customHeight="1" thickBot="1" x14ac:dyDescent="0.4">
      <c r="A469" s="152"/>
      <c r="B469" s="153"/>
      <c r="C469" s="153"/>
      <c r="D469" s="153"/>
      <c r="E469" s="156"/>
      <c r="F469" s="155"/>
      <c r="G469" s="156"/>
      <c r="H469" s="155"/>
      <c r="I469" s="156"/>
      <c r="J469" s="155"/>
      <c r="K469" s="156"/>
      <c r="L469" s="155"/>
      <c r="M469" s="156"/>
      <c r="N469" s="157"/>
    </row>
    <row r="470" spans="1:14" ht="24" customHeight="1" thickBot="1" x14ac:dyDescent="0.4">
      <c r="A470" s="152"/>
      <c r="B470" s="153"/>
      <c r="C470" s="153"/>
      <c r="D470" s="153"/>
      <c r="E470" s="156"/>
      <c r="F470" s="155"/>
      <c r="G470" s="156"/>
      <c r="H470" s="155"/>
      <c r="I470" s="156"/>
      <c r="J470" s="155"/>
      <c r="K470" s="156"/>
      <c r="L470" s="155"/>
      <c r="M470" s="156"/>
      <c r="N470" s="157"/>
    </row>
    <row r="471" spans="1:14" ht="24" customHeight="1" thickBot="1" x14ac:dyDescent="0.4">
      <c r="A471" s="152"/>
      <c r="B471" s="153"/>
      <c r="C471" s="153"/>
      <c r="D471" s="153"/>
      <c r="E471" s="156"/>
      <c r="F471" s="155"/>
      <c r="G471" s="156"/>
      <c r="H471" s="155"/>
      <c r="I471" s="156"/>
      <c r="J471" s="155"/>
      <c r="K471" s="156"/>
      <c r="L471" s="155"/>
      <c r="M471" s="156"/>
      <c r="N471" s="157"/>
    </row>
    <row r="472" spans="1:14" ht="24" customHeight="1" thickBot="1" x14ac:dyDescent="0.4">
      <c r="A472" s="152"/>
      <c r="B472" s="153"/>
      <c r="C472" s="153"/>
      <c r="D472" s="153"/>
      <c r="E472" s="156"/>
      <c r="F472" s="155"/>
      <c r="G472" s="156"/>
      <c r="H472" s="155"/>
      <c r="I472" s="156"/>
      <c r="J472" s="155"/>
      <c r="K472" s="156"/>
      <c r="L472" s="155"/>
      <c r="M472" s="156"/>
      <c r="N472" s="157"/>
    </row>
    <row r="473" spans="1:14" ht="24" customHeight="1" thickBot="1" x14ac:dyDescent="0.4">
      <c r="A473" s="152"/>
      <c r="B473" s="153"/>
      <c r="C473" s="153"/>
      <c r="D473" s="153"/>
      <c r="E473" s="156"/>
      <c r="F473" s="155"/>
      <c r="G473" s="156"/>
      <c r="H473" s="155"/>
      <c r="I473" s="156"/>
      <c r="J473" s="155"/>
      <c r="K473" s="156"/>
      <c r="L473" s="155"/>
      <c r="M473" s="156"/>
      <c r="N473" s="157"/>
    </row>
    <row r="474" spans="1:14" ht="24" customHeight="1" thickBot="1" x14ac:dyDescent="0.4">
      <c r="A474" s="152"/>
      <c r="B474" s="153"/>
      <c r="C474" s="153"/>
      <c r="D474" s="153"/>
      <c r="E474" s="156"/>
      <c r="F474" s="155"/>
      <c r="G474" s="156"/>
      <c r="H474" s="155"/>
      <c r="I474" s="156"/>
      <c r="J474" s="155"/>
      <c r="K474" s="156"/>
      <c r="L474" s="155"/>
      <c r="M474" s="156"/>
      <c r="N474" s="157"/>
    </row>
    <row r="475" spans="1:14" ht="24" customHeight="1" thickBot="1" x14ac:dyDescent="0.4">
      <c r="A475" s="152"/>
      <c r="B475" s="153"/>
      <c r="C475" s="153"/>
      <c r="D475" s="153"/>
      <c r="E475" s="156"/>
      <c r="F475" s="155"/>
      <c r="G475" s="156"/>
      <c r="H475" s="155"/>
      <c r="I475" s="156"/>
      <c r="J475" s="155"/>
      <c r="K475" s="156"/>
      <c r="L475" s="155"/>
      <c r="M475" s="156"/>
      <c r="N475" s="157"/>
    </row>
    <row r="476" spans="1:14" ht="24" customHeight="1" thickBot="1" x14ac:dyDescent="0.4">
      <c r="A476" s="152"/>
      <c r="B476" s="153"/>
      <c r="C476" s="153"/>
      <c r="D476" s="153"/>
      <c r="E476" s="156"/>
      <c r="F476" s="155"/>
      <c r="G476" s="156"/>
      <c r="H476" s="155"/>
      <c r="I476" s="156"/>
      <c r="J476" s="155"/>
      <c r="K476" s="156"/>
      <c r="L476" s="155"/>
      <c r="M476" s="156"/>
      <c r="N476" s="157"/>
    </row>
    <row r="477" spans="1:14" ht="24" customHeight="1" thickBot="1" x14ac:dyDescent="0.4">
      <c r="A477" s="152"/>
      <c r="B477" s="153"/>
      <c r="C477" s="153"/>
      <c r="D477" s="153"/>
      <c r="E477" s="156"/>
      <c r="F477" s="155"/>
      <c r="G477" s="156"/>
      <c r="H477" s="155"/>
      <c r="I477" s="156"/>
      <c r="J477" s="155"/>
      <c r="K477" s="156"/>
      <c r="L477" s="155"/>
      <c r="M477" s="156"/>
      <c r="N477" s="157"/>
    </row>
    <row r="478" spans="1:14" ht="24" customHeight="1" thickBot="1" x14ac:dyDescent="0.4">
      <c r="A478" s="152"/>
      <c r="B478" s="153"/>
      <c r="C478" s="153"/>
      <c r="D478" s="153"/>
      <c r="E478" s="156"/>
      <c r="F478" s="155"/>
      <c r="G478" s="156"/>
      <c r="H478" s="155"/>
      <c r="I478" s="156"/>
      <c r="J478" s="155"/>
      <c r="K478" s="156"/>
      <c r="L478" s="155"/>
      <c r="M478" s="156"/>
      <c r="N478" s="157"/>
    </row>
    <row r="479" spans="1:14" ht="24" customHeight="1" thickBot="1" x14ac:dyDescent="0.4">
      <c r="A479" s="152"/>
      <c r="B479" s="153"/>
      <c r="C479" s="153"/>
      <c r="D479" s="153"/>
      <c r="E479" s="156"/>
      <c r="F479" s="155"/>
      <c r="G479" s="156"/>
      <c r="H479" s="155"/>
      <c r="I479" s="156"/>
      <c r="J479" s="155"/>
      <c r="K479" s="156"/>
      <c r="L479" s="155"/>
      <c r="M479" s="156"/>
      <c r="N479" s="157"/>
    </row>
    <row r="480" spans="1:14" ht="24" customHeight="1" thickBot="1" x14ac:dyDescent="0.4">
      <c r="A480" s="152"/>
      <c r="B480" s="153"/>
      <c r="C480" s="153"/>
      <c r="D480" s="153"/>
      <c r="E480" s="156"/>
      <c r="F480" s="155"/>
      <c r="G480" s="156"/>
      <c r="H480" s="155"/>
      <c r="I480" s="156"/>
      <c r="J480" s="155"/>
      <c r="K480" s="156"/>
      <c r="L480" s="155"/>
      <c r="M480" s="156"/>
      <c r="N480" s="157"/>
    </row>
    <row r="481" spans="1:14" ht="24" customHeight="1" thickBot="1" x14ac:dyDescent="0.4">
      <c r="A481" s="152"/>
      <c r="B481" s="153"/>
      <c r="C481" s="153"/>
      <c r="D481" s="153"/>
      <c r="E481" s="156"/>
      <c r="F481" s="155"/>
      <c r="G481" s="156"/>
      <c r="H481" s="155"/>
      <c r="I481" s="156"/>
      <c r="J481" s="155"/>
      <c r="K481" s="156"/>
      <c r="L481" s="155"/>
      <c r="M481" s="156"/>
      <c r="N481" s="157"/>
    </row>
    <row r="482" spans="1:14" ht="24" customHeight="1" thickBot="1" x14ac:dyDescent="0.4">
      <c r="A482" s="152"/>
      <c r="B482" s="153"/>
      <c r="C482" s="153"/>
      <c r="D482" s="153"/>
      <c r="E482" s="156"/>
      <c r="F482" s="155"/>
      <c r="G482" s="156"/>
      <c r="H482" s="155"/>
      <c r="I482" s="156"/>
      <c r="J482" s="155"/>
      <c r="K482" s="156"/>
      <c r="L482" s="155"/>
      <c r="M482" s="156"/>
      <c r="N482" s="157"/>
    </row>
    <row r="483" spans="1:14" ht="24" customHeight="1" thickBot="1" x14ac:dyDescent="0.4">
      <c r="A483" s="152"/>
      <c r="B483" s="153"/>
      <c r="C483" s="153"/>
      <c r="D483" s="153"/>
      <c r="E483" s="156"/>
      <c r="F483" s="155"/>
      <c r="G483" s="156"/>
      <c r="H483" s="155"/>
      <c r="I483" s="156"/>
      <c r="J483" s="155"/>
      <c r="K483" s="156"/>
      <c r="L483" s="155"/>
      <c r="M483" s="156"/>
      <c r="N483" s="157"/>
    </row>
    <row r="484" spans="1:14" ht="24" customHeight="1" thickBot="1" x14ac:dyDescent="0.4">
      <c r="A484" s="152"/>
      <c r="B484" s="153"/>
      <c r="C484" s="153"/>
      <c r="D484" s="153"/>
      <c r="E484" s="156"/>
      <c r="F484" s="155"/>
      <c r="G484" s="156"/>
      <c r="H484" s="155"/>
      <c r="I484" s="156"/>
      <c r="J484" s="155"/>
      <c r="K484" s="156"/>
      <c r="L484" s="155"/>
      <c r="M484" s="156"/>
      <c r="N484" s="157"/>
    </row>
    <row r="485" spans="1:14" ht="24" customHeight="1" thickBot="1" x14ac:dyDescent="0.4">
      <c r="A485" s="152"/>
      <c r="B485" s="153"/>
      <c r="C485" s="153"/>
      <c r="D485" s="153"/>
      <c r="E485" s="156"/>
      <c r="F485" s="155"/>
      <c r="G485" s="156"/>
      <c r="H485" s="155"/>
      <c r="I485" s="156"/>
      <c r="J485" s="155"/>
      <c r="K485" s="156"/>
      <c r="L485" s="155"/>
      <c r="M485" s="156"/>
      <c r="N485" s="157"/>
    </row>
    <row r="486" spans="1:14" ht="24" customHeight="1" thickBot="1" x14ac:dyDescent="0.4">
      <c r="A486" s="152"/>
      <c r="B486" s="153"/>
      <c r="C486" s="153"/>
      <c r="D486" s="153"/>
      <c r="E486" s="156"/>
      <c r="F486" s="155"/>
      <c r="G486" s="156"/>
      <c r="H486" s="155"/>
      <c r="I486" s="156"/>
      <c r="J486" s="155"/>
      <c r="K486" s="156"/>
      <c r="L486" s="155"/>
      <c r="M486" s="156"/>
      <c r="N486" s="157"/>
    </row>
    <row r="487" spans="1:14" ht="24" customHeight="1" thickBot="1" x14ac:dyDescent="0.4">
      <c r="A487" s="152"/>
      <c r="B487" s="153"/>
      <c r="C487" s="153"/>
      <c r="D487" s="153"/>
      <c r="E487" s="156"/>
      <c r="F487" s="155"/>
      <c r="G487" s="156"/>
      <c r="H487" s="155"/>
      <c r="I487" s="156"/>
      <c r="J487" s="155"/>
      <c r="K487" s="156"/>
      <c r="L487" s="155"/>
      <c r="M487" s="156"/>
      <c r="N487" s="157"/>
    </row>
    <row r="488" spans="1:14" ht="24" customHeight="1" thickBot="1" x14ac:dyDescent="0.4">
      <c r="A488" s="152"/>
      <c r="B488" s="153"/>
      <c r="C488" s="153"/>
      <c r="D488" s="153"/>
      <c r="E488" s="156"/>
      <c r="F488" s="155"/>
      <c r="G488" s="156"/>
      <c r="H488" s="155"/>
      <c r="I488" s="156"/>
      <c r="J488" s="155"/>
      <c r="K488" s="156"/>
      <c r="L488" s="155"/>
      <c r="M488" s="156"/>
      <c r="N488" s="157"/>
    </row>
    <row r="489" spans="1:14" ht="24" customHeight="1" thickBot="1" x14ac:dyDescent="0.4">
      <c r="A489" s="152"/>
      <c r="B489" s="153"/>
      <c r="C489" s="153"/>
      <c r="D489" s="153"/>
      <c r="E489" s="156"/>
      <c r="F489" s="155"/>
      <c r="G489" s="156"/>
      <c r="H489" s="155"/>
      <c r="I489" s="156"/>
      <c r="J489" s="155"/>
      <c r="K489" s="156"/>
      <c r="L489" s="155"/>
      <c r="M489" s="156"/>
      <c r="N489" s="157"/>
    </row>
    <row r="490" spans="1:14" ht="24" customHeight="1" thickBot="1" x14ac:dyDescent="0.4">
      <c r="A490" s="152"/>
      <c r="B490" s="153"/>
      <c r="C490" s="153"/>
      <c r="D490" s="153"/>
      <c r="E490" s="156"/>
      <c r="F490" s="155"/>
      <c r="G490" s="156"/>
      <c r="H490" s="155"/>
      <c r="I490" s="156"/>
      <c r="J490" s="155"/>
      <c r="K490" s="156"/>
      <c r="L490" s="155"/>
      <c r="M490" s="156"/>
      <c r="N490" s="157"/>
    </row>
    <row r="491" spans="1:14" ht="24" customHeight="1" thickBot="1" x14ac:dyDescent="0.4">
      <c r="A491" s="152"/>
      <c r="B491" s="153"/>
      <c r="C491" s="153"/>
      <c r="D491" s="153"/>
      <c r="E491" s="156"/>
      <c r="F491" s="155"/>
      <c r="G491" s="156"/>
      <c r="H491" s="155"/>
      <c r="I491" s="156"/>
      <c r="J491" s="155"/>
      <c r="K491" s="156"/>
      <c r="L491" s="155"/>
      <c r="M491" s="156"/>
      <c r="N491" s="157"/>
    </row>
    <row r="492" spans="1:14" ht="24" customHeight="1" thickBot="1" x14ac:dyDescent="0.4">
      <c r="A492" s="152"/>
      <c r="B492" s="153"/>
      <c r="C492" s="153"/>
      <c r="D492" s="153"/>
      <c r="E492" s="156"/>
      <c r="F492" s="155"/>
      <c r="G492" s="156"/>
      <c r="H492" s="155"/>
      <c r="I492" s="156"/>
      <c r="J492" s="155"/>
      <c r="K492" s="156"/>
      <c r="L492" s="155"/>
      <c r="M492" s="156"/>
      <c r="N492" s="157"/>
    </row>
    <row r="493" spans="1:14" ht="24" customHeight="1" thickBot="1" x14ac:dyDescent="0.4">
      <c r="A493" s="152"/>
      <c r="B493" s="153"/>
      <c r="C493" s="153"/>
      <c r="D493" s="153"/>
      <c r="E493" s="156"/>
      <c r="F493" s="155"/>
      <c r="G493" s="156"/>
      <c r="H493" s="155"/>
      <c r="I493" s="156"/>
      <c r="J493" s="155"/>
      <c r="K493" s="156"/>
      <c r="L493" s="155"/>
      <c r="M493" s="156"/>
      <c r="N493" s="157"/>
    </row>
    <row r="494" spans="1:14" ht="24" customHeight="1" thickBot="1" x14ac:dyDescent="0.4">
      <c r="A494" s="152"/>
      <c r="B494" s="153"/>
      <c r="C494" s="153"/>
      <c r="D494" s="153"/>
      <c r="E494" s="156"/>
      <c r="F494" s="155"/>
      <c r="G494" s="156"/>
      <c r="H494" s="155"/>
      <c r="I494" s="156"/>
      <c r="J494" s="155"/>
      <c r="K494" s="156"/>
      <c r="L494" s="155"/>
      <c r="M494" s="156"/>
      <c r="N494" s="157"/>
    </row>
    <row r="495" spans="1:14" ht="24" customHeight="1" thickBot="1" x14ac:dyDescent="0.4">
      <c r="A495" s="152"/>
      <c r="B495" s="153"/>
      <c r="C495" s="153"/>
      <c r="D495" s="153"/>
      <c r="E495" s="156"/>
      <c r="F495" s="155"/>
      <c r="G495" s="156"/>
      <c r="H495" s="155"/>
      <c r="I495" s="156"/>
      <c r="J495" s="155"/>
      <c r="K495" s="156"/>
      <c r="L495" s="155"/>
      <c r="M495" s="156"/>
      <c r="N495" s="157"/>
    </row>
    <row r="496" spans="1:14" ht="24" customHeight="1" thickBot="1" x14ac:dyDescent="0.4">
      <c r="A496" s="152"/>
      <c r="B496" s="153"/>
      <c r="C496" s="153"/>
      <c r="D496" s="153"/>
      <c r="E496" s="156"/>
      <c r="F496" s="155"/>
      <c r="G496" s="156"/>
      <c r="H496" s="155"/>
      <c r="I496" s="156"/>
      <c r="J496" s="155"/>
      <c r="K496" s="156"/>
      <c r="L496" s="155"/>
      <c r="M496" s="156"/>
      <c r="N496" s="157"/>
    </row>
    <row r="497" spans="1:14" ht="24" customHeight="1" thickBot="1" x14ac:dyDescent="0.4">
      <c r="A497" s="152"/>
      <c r="B497" s="153"/>
      <c r="C497" s="153"/>
      <c r="D497" s="153"/>
      <c r="E497" s="156"/>
      <c r="F497" s="155"/>
      <c r="G497" s="156"/>
      <c r="H497" s="155"/>
      <c r="I497" s="156"/>
      <c r="J497" s="155"/>
      <c r="K497" s="156"/>
      <c r="L497" s="155"/>
      <c r="M497" s="156"/>
      <c r="N497" s="157"/>
    </row>
    <row r="498" spans="1:14" ht="24" customHeight="1" thickBot="1" x14ac:dyDescent="0.4">
      <c r="A498" s="152"/>
      <c r="B498" s="153"/>
      <c r="C498" s="153"/>
      <c r="D498" s="153"/>
      <c r="E498" s="156"/>
      <c r="F498" s="155"/>
      <c r="G498" s="156"/>
      <c r="H498" s="155"/>
      <c r="I498" s="156"/>
      <c r="J498" s="155"/>
      <c r="K498" s="156"/>
      <c r="L498" s="155"/>
      <c r="M498" s="156"/>
      <c r="N498" s="157"/>
    </row>
    <row r="499" spans="1:14" ht="24" customHeight="1" thickBot="1" x14ac:dyDescent="0.4">
      <c r="A499" s="152"/>
      <c r="B499" s="153"/>
      <c r="C499" s="153"/>
      <c r="D499" s="153"/>
      <c r="E499" s="156"/>
      <c r="F499" s="155"/>
      <c r="G499" s="156"/>
      <c r="H499" s="155"/>
      <c r="I499" s="156"/>
      <c r="J499" s="155"/>
      <c r="K499" s="156"/>
      <c r="L499" s="155"/>
      <c r="M499" s="156"/>
      <c r="N499" s="157"/>
    </row>
    <row r="500" spans="1:14" ht="24" customHeight="1" thickBot="1" x14ac:dyDescent="0.4">
      <c r="A500" s="152"/>
      <c r="B500" s="153"/>
      <c r="C500" s="153"/>
      <c r="D500" s="153"/>
      <c r="E500" s="156"/>
      <c r="F500" s="155"/>
      <c r="G500" s="156"/>
      <c r="H500" s="155"/>
      <c r="I500" s="156"/>
      <c r="J500" s="155"/>
      <c r="K500" s="156"/>
      <c r="L500" s="155"/>
      <c r="M500" s="156"/>
      <c r="N500" s="157"/>
    </row>
    <row r="501" spans="1:14" ht="24" customHeight="1" thickBot="1" x14ac:dyDescent="0.4">
      <c r="A501" s="152"/>
      <c r="B501" s="153"/>
      <c r="C501" s="153"/>
      <c r="D501" s="153"/>
      <c r="E501" s="156"/>
      <c r="F501" s="155"/>
      <c r="G501" s="156"/>
      <c r="H501" s="155"/>
      <c r="I501" s="156"/>
      <c r="J501" s="155"/>
      <c r="K501" s="156"/>
      <c r="L501" s="155"/>
      <c r="M501" s="156"/>
      <c r="N501" s="157"/>
    </row>
    <row r="502" spans="1:14" ht="24" customHeight="1" thickBot="1" x14ac:dyDescent="0.4">
      <c r="A502" s="152"/>
      <c r="B502" s="153"/>
      <c r="C502" s="153"/>
      <c r="D502" s="153"/>
      <c r="E502" s="156"/>
      <c r="F502" s="155"/>
      <c r="G502" s="156"/>
      <c r="H502" s="155"/>
      <c r="I502" s="156"/>
      <c r="J502" s="155"/>
      <c r="K502" s="156"/>
      <c r="L502" s="155"/>
      <c r="M502" s="156"/>
      <c r="N502" s="157"/>
    </row>
    <row r="503" spans="1:14" ht="24" customHeight="1" thickBot="1" x14ac:dyDescent="0.4">
      <c r="A503" s="152"/>
      <c r="B503" s="153"/>
      <c r="C503" s="153"/>
      <c r="D503" s="153"/>
      <c r="E503" s="156"/>
      <c r="F503" s="155"/>
      <c r="G503" s="156"/>
      <c r="H503" s="155"/>
      <c r="I503" s="156"/>
      <c r="J503" s="155"/>
      <c r="K503" s="156"/>
      <c r="L503" s="155"/>
      <c r="M503" s="156"/>
      <c r="N503" s="157"/>
    </row>
    <row r="504" spans="1:14" ht="24" customHeight="1" thickBot="1" x14ac:dyDescent="0.4">
      <c r="A504" s="152"/>
      <c r="B504" s="153"/>
      <c r="C504" s="153"/>
      <c r="D504" s="153"/>
      <c r="E504" s="156"/>
      <c r="F504" s="155"/>
      <c r="G504" s="156"/>
      <c r="H504" s="155"/>
      <c r="I504" s="156"/>
      <c r="J504" s="155"/>
      <c r="K504" s="156"/>
      <c r="L504" s="155"/>
      <c r="M504" s="156"/>
      <c r="N504" s="157"/>
    </row>
    <row r="505" spans="1:14" ht="24" customHeight="1" thickBot="1" x14ac:dyDescent="0.4">
      <c r="A505" s="152"/>
      <c r="B505" s="153"/>
      <c r="C505" s="153"/>
      <c r="D505" s="153"/>
      <c r="E505" s="156"/>
      <c r="F505" s="155"/>
      <c r="G505" s="156"/>
      <c r="H505" s="155"/>
      <c r="I505" s="156"/>
      <c r="J505" s="155"/>
      <c r="K505" s="156"/>
      <c r="L505" s="155"/>
      <c r="M505" s="156"/>
      <c r="N505" s="157"/>
    </row>
    <row r="506" spans="1:14" ht="24" customHeight="1" thickBot="1" x14ac:dyDescent="0.4">
      <c r="A506" s="152"/>
      <c r="B506" s="153"/>
      <c r="C506" s="153"/>
      <c r="D506" s="153"/>
      <c r="E506" s="156"/>
      <c r="F506" s="155"/>
      <c r="G506" s="156"/>
      <c r="H506" s="155"/>
      <c r="I506" s="156"/>
      <c r="J506" s="155"/>
      <c r="K506" s="156"/>
      <c r="L506" s="155"/>
      <c r="M506" s="156"/>
      <c r="N506" s="157"/>
    </row>
    <row r="507" spans="1:14" ht="24" customHeight="1" thickBot="1" x14ac:dyDescent="0.4">
      <c r="A507" s="152"/>
      <c r="B507" s="153"/>
      <c r="C507" s="153"/>
      <c r="D507" s="153"/>
      <c r="E507" s="156"/>
      <c r="F507" s="155"/>
      <c r="G507" s="156"/>
      <c r="H507" s="155"/>
      <c r="I507" s="156"/>
      <c r="J507" s="155"/>
      <c r="K507" s="156"/>
      <c r="L507" s="155"/>
      <c r="M507" s="156"/>
      <c r="N507" s="157"/>
    </row>
    <row r="508" spans="1:14" ht="24" customHeight="1" thickBot="1" x14ac:dyDescent="0.4">
      <c r="A508" s="152"/>
      <c r="B508" s="153"/>
      <c r="C508" s="153"/>
      <c r="D508" s="153"/>
      <c r="E508" s="156"/>
      <c r="F508" s="155"/>
      <c r="G508" s="156"/>
      <c r="H508" s="155"/>
      <c r="I508" s="156"/>
      <c r="J508" s="155"/>
      <c r="K508" s="156"/>
      <c r="L508" s="155"/>
      <c r="M508" s="156"/>
      <c r="N508" s="157"/>
    </row>
    <row r="509" spans="1:14" ht="24" customHeight="1" thickBot="1" x14ac:dyDescent="0.4">
      <c r="A509" s="152"/>
      <c r="B509" s="153"/>
      <c r="C509" s="153"/>
      <c r="D509" s="153"/>
      <c r="E509" s="156"/>
      <c r="F509" s="155"/>
      <c r="G509" s="156"/>
      <c r="H509" s="155"/>
      <c r="I509" s="156"/>
      <c r="J509" s="155"/>
      <c r="K509" s="156"/>
      <c r="L509" s="155"/>
      <c r="M509" s="156"/>
      <c r="N509" s="157"/>
    </row>
    <row r="510" spans="1:14" ht="24" customHeight="1" thickBot="1" x14ac:dyDescent="0.4">
      <c r="A510" s="152"/>
      <c r="B510" s="153"/>
      <c r="C510" s="153"/>
      <c r="D510" s="153"/>
      <c r="E510" s="156"/>
      <c r="F510" s="155"/>
      <c r="G510" s="156"/>
      <c r="H510" s="155"/>
      <c r="I510" s="156"/>
      <c r="J510" s="155"/>
      <c r="K510" s="156"/>
      <c r="L510" s="155"/>
      <c r="M510" s="156"/>
      <c r="N510" s="157"/>
    </row>
    <row r="511" spans="1:14" ht="24" customHeight="1" thickBot="1" x14ac:dyDescent="0.4">
      <c r="A511" s="152"/>
      <c r="B511" s="153"/>
      <c r="C511" s="153"/>
      <c r="D511" s="153"/>
      <c r="E511" s="156"/>
      <c r="F511" s="155"/>
      <c r="G511" s="156"/>
      <c r="H511" s="155"/>
      <c r="I511" s="156"/>
      <c r="J511" s="155"/>
      <c r="K511" s="156"/>
      <c r="L511" s="155"/>
      <c r="M511" s="156"/>
      <c r="N511" s="157"/>
    </row>
    <row r="512" spans="1:14" ht="24" customHeight="1" thickBot="1" x14ac:dyDescent="0.4">
      <c r="A512" s="152"/>
      <c r="B512" s="153"/>
      <c r="C512" s="153"/>
      <c r="D512" s="153"/>
      <c r="E512" s="156"/>
      <c r="F512" s="155"/>
      <c r="G512" s="156"/>
      <c r="H512" s="155"/>
      <c r="I512" s="156"/>
      <c r="J512" s="155"/>
      <c r="K512" s="156"/>
      <c r="L512" s="155"/>
      <c r="M512" s="156"/>
      <c r="N512" s="157"/>
    </row>
    <row r="513" spans="1:14" ht="24" customHeight="1" thickBot="1" x14ac:dyDescent="0.4">
      <c r="A513" s="152"/>
      <c r="B513" s="153"/>
      <c r="C513" s="153"/>
      <c r="D513" s="153"/>
      <c r="E513" s="156"/>
      <c r="F513" s="155"/>
      <c r="G513" s="156"/>
      <c r="H513" s="155"/>
      <c r="I513" s="156"/>
      <c r="J513" s="155"/>
      <c r="K513" s="156"/>
      <c r="L513" s="155"/>
      <c r="M513" s="156"/>
      <c r="N513" s="157"/>
    </row>
    <row r="514" spans="1:14" ht="24" customHeight="1" thickBot="1" x14ac:dyDescent="0.4">
      <c r="A514" s="152"/>
      <c r="B514" s="153"/>
      <c r="C514" s="153"/>
      <c r="D514" s="153"/>
      <c r="E514" s="156"/>
      <c r="F514" s="155"/>
      <c r="G514" s="156"/>
      <c r="H514" s="155"/>
      <c r="I514" s="156"/>
      <c r="J514" s="155"/>
      <c r="K514" s="156"/>
      <c r="L514" s="155"/>
      <c r="M514" s="156"/>
      <c r="N514" s="157"/>
    </row>
    <row r="515" spans="1:14" ht="24" customHeight="1" thickBot="1" x14ac:dyDescent="0.4">
      <c r="A515" s="152"/>
      <c r="B515" s="153"/>
      <c r="C515" s="153"/>
      <c r="D515" s="153"/>
      <c r="E515" s="156"/>
      <c r="F515" s="155"/>
      <c r="G515" s="156"/>
      <c r="H515" s="155"/>
      <c r="I515" s="156"/>
      <c r="J515" s="155"/>
      <c r="K515" s="156"/>
      <c r="L515" s="155"/>
      <c r="M515" s="156"/>
      <c r="N515" s="157"/>
    </row>
    <row r="516" spans="1:14" ht="24" customHeight="1" thickBot="1" x14ac:dyDescent="0.4">
      <c r="A516" s="152"/>
      <c r="B516" s="153"/>
      <c r="C516" s="153"/>
      <c r="D516" s="153"/>
      <c r="E516" s="156"/>
      <c r="F516" s="155"/>
      <c r="G516" s="156"/>
      <c r="H516" s="155"/>
      <c r="I516" s="156"/>
      <c r="J516" s="155"/>
      <c r="K516" s="156"/>
      <c r="L516" s="155"/>
      <c r="M516" s="156"/>
      <c r="N516" s="157"/>
    </row>
    <row r="517" spans="1:14" ht="24" customHeight="1" thickBot="1" x14ac:dyDescent="0.4">
      <c r="A517" s="152"/>
      <c r="B517" s="153"/>
      <c r="C517" s="153"/>
      <c r="D517" s="153"/>
      <c r="E517" s="156"/>
      <c r="F517" s="155"/>
      <c r="G517" s="156"/>
      <c r="H517" s="155"/>
      <c r="I517" s="156"/>
      <c r="J517" s="155"/>
      <c r="K517" s="156"/>
      <c r="L517" s="155"/>
      <c r="M517" s="156"/>
      <c r="N517" s="157"/>
    </row>
    <row r="518" spans="1:14" ht="24" customHeight="1" thickBot="1" x14ac:dyDescent="0.4">
      <c r="A518" s="152"/>
      <c r="B518" s="153"/>
      <c r="C518" s="153"/>
      <c r="D518" s="153"/>
      <c r="E518" s="156"/>
      <c r="F518" s="155"/>
      <c r="G518" s="156"/>
      <c r="H518" s="155"/>
      <c r="I518" s="156"/>
      <c r="J518" s="155"/>
      <c r="K518" s="156"/>
      <c r="L518" s="155"/>
      <c r="M518" s="156"/>
      <c r="N518" s="157"/>
    </row>
    <row r="519" spans="1:14" ht="24" customHeight="1" thickBot="1" x14ac:dyDescent="0.4">
      <c r="A519" s="152"/>
      <c r="B519" s="153"/>
      <c r="C519" s="153"/>
      <c r="D519" s="153"/>
      <c r="E519" s="156"/>
      <c r="F519" s="155"/>
      <c r="G519" s="156"/>
      <c r="H519" s="155"/>
      <c r="I519" s="156"/>
      <c r="J519" s="155"/>
      <c r="K519" s="156"/>
      <c r="L519" s="155"/>
      <c r="M519" s="156"/>
      <c r="N519" s="157"/>
    </row>
    <row r="520" spans="1:14" ht="24" customHeight="1" thickBot="1" x14ac:dyDescent="0.4">
      <c r="A520" s="152"/>
      <c r="B520" s="153"/>
      <c r="C520" s="153"/>
      <c r="D520" s="153"/>
      <c r="E520" s="156"/>
      <c r="F520" s="155"/>
      <c r="G520" s="156"/>
      <c r="H520" s="155"/>
      <c r="I520" s="156"/>
      <c r="J520" s="155"/>
      <c r="K520" s="156"/>
      <c r="L520" s="155"/>
      <c r="M520" s="156"/>
      <c r="N520" s="157"/>
    </row>
    <row r="521" spans="1:14" ht="24" customHeight="1" thickBot="1" x14ac:dyDescent="0.4">
      <c r="A521" s="152"/>
      <c r="B521" s="153"/>
      <c r="C521" s="153"/>
      <c r="D521" s="153"/>
      <c r="E521" s="156"/>
      <c r="F521" s="155"/>
      <c r="G521" s="156"/>
      <c r="H521" s="155"/>
      <c r="I521" s="156"/>
      <c r="J521" s="155"/>
      <c r="K521" s="156"/>
      <c r="L521" s="155"/>
      <c r="M521" s="156"/>
      <c r="N521" s="157"/>
    </row>
    <row r="522" spans="1:14" ht="24" customHeight="1" thickBot="1" x14ac:dyDescent="0.4">
      <c r="A522" s="152"/>
      <c r="B522" s="153"/>
      <c r="C522" s="153"/>
      <c r="D522" s="153"/>
      <c r="E522" s="156"/>
      <c r="F522" s="155"/>
      <c r="G522" s="156"/>
      <c r="H522" s="155"/>
      <c r="I522" s="156"/>
      <c r="J522" s="155"/>
      <c r="K522" s="156"/>
      <c r="L522" s="155"/>
      <c r="M522" s="156"/>
      <c r="N522" s="157"/>
    </row>
    <row r="523" spans="1:14" ht="24" customHeight="1" thickBot="1" x14ac:dyDescent="0.4">
      <c r="A523" s="152"/>
      <c r="B523" s="153"/>
      <c r="C523" s="153"/>
      <c r="D523" s="153"/>
      <c r="E523" s="156"/>
      <c r="F523" s="155"/>
      <c r="G523" s="156"/>
      <c r="H523" s="155"/>
      <c r="I523" s="156"/>
      <c r="J523" s="155"/>
      <c r="K523" s="156"/>
      <c r="L523" s="155"/>
      <c r="M523" s="156"/>
      <c r="N523" s="157"/>
    </row>
    <row r="524" spans="1:14" ht="24" customHeight="1" thickBot="1" x14ac:dyDescent="0.4">
      <c r="A524" s="152"/>
      <c r="B524" s="153"/>
      <c r="C524" s="153"/>
      <c r="D524" s="153"/>
      <c r="E524" s="156"/>
      <c r="F524" s="155"/>
      <c r="G524" s="156"/>
      <c r="H524" s="155"/>
      <c r="I524" s="156"/>
      <c r="J524" s="155"/>
      <c r="K524" s="156"/>
      <c r="L524" s="155"/>
      <c r="M524" s="156"/>
      <c r="N524" s="157"/>
    </row>
    <row r="525" spans="1:14" ht="24" customHeight="1" thickBot="1" x14ac:dyDescent="0.4">
      <c r="A525" s="152"/>
      <c r="B525" s="153"/>
      <c r="C525" s="153"/>
      <c r="D525" s="153"/>
      <c r="E525" s="156"/>
      <c r="F525" s="155"/>
      <c r="G525" s="156"/>
      <c r="H525" s="155"/>
      <c r="I525" s="156"/>
      <c r="J525" s="155"/>
      <c r="K525" s="156"/>
      <c r="L525" s="155"/>
      <c r="M525" s="156"/>
      <c r="N525" s="157"/>
    </row>
    <row r="526" spans="1:14" ht="24" customHeight="1" thickBot="1" x14ac:dyDescent="0.4">
      <c r="A526" s="152"/>
      <c r="B526" s="153"/>
      <c r="C526" s="153"/>
      <c r="D526" s="153"/>
      <c r="E526" s="156"/>
      <c r="F526" s="155"/>
      <c r="G526" s="156"/>
      <c r="H526" s="155"/>
      <c r="I526" s="156"/>
      <c r="J526" s="155"/>
      <c r="K526" s="156"/>
      <c r="L526" s="155"/>
      <c r="M526" s="156"/>
      <c r="N526" s="157"/>
    </row>
    <row r="527" spans="1:14" ht="24" customHeight="1" thickBot="1" x14ac:dyDescent="0.4">
      <c r="A527" s="152"/>
      <c r="B527" s="153"/>
      <c r="C527" s="153"/>
      <c r="D527" s="153"/>
      <c r="E527" s="156"/>
      <c r="F527" s="155"/>
      <c r="G527" s="156"/>
      <c r="H527" s="155"/>
      <c r="I527" s="156"/>
      <c r="J527" s="155"/>
      <c r="K527" s="156"/>
      <c r="L527" s="155"/>
      <c r="M527" s="156"/>
      <c r="N527" s="157"/>
    </row>
    <row r="528" spans="1:14" ht="24" customHeight="1" thickBot="1" x14ac:dyDescent="0.4">
      <c r="A528" s="152"/>
      <c r="B528" s="153"/>
      <c r="C528" s="153"/>
      <c r="D528" s="153"/>
      <c r="E528" s="156"/>
      <c r="F528" s="155"/>
      <c r="G528" s="156"/>
      <c r="H528" s="155"/>
      <c r="I528" s="156"/>
      <c r="J528" s="155"/>
      <c r="K528" s="156"/>
      <c r="L528" s="155"/>
      <c r="M528" s="156"/>
      <c r="N528" s="157"/>
    </row>
    <row r="529" spans="1:14" ht="24" customHeight="1" thickBot="1" x14ac:dyDescent="0.4">
      <c r="A529" s="152"/>
      <c r="B529" s="153"/>
      <c r="C529" s="153"/>
      <c r="D529" s="153"/>
      <c r="E529" s="156"/>
      <c r="F529" s="155"/>
      <c r="G529" s="156"/>
      <c r="H529" s="155"/>
      <c r="I529" s="156"/>
      <c r="J529" s="155"/>
      <c r="K529" s="156"/>
      <c r="L529" s="155"/>
      <c r="M529" s="156"/>
      <c r="N529" s="157"/>
    </row>
    <row r="530" spans="1:14" ht="24" customHeight="1" thickBot="1" x14ac:dyDescent="0.4">
      <c r="A530" s="152"/>
      <c r="B530" s="153"/>
      <c r="C530" s="153"/>
      <c r="D530" s="153"/>
      <c r="E530" s="156"/>
      <c r="F530" s="155"/>
      <c r="G530" s="156"/>
      <c r="H530" s="155"/>
      <c r="I530" s="156"/>
      <c r="J530" s="155"/>
      <c r="K530" s="156"/>
      <c r="L530" s="155"/>
      <c r="M530" s="156"/>
      <c r="N530" s="157"/>
    </row>
    <row r="531" spans="1:14" ht="24" customHeight="1" thickBot="1" x14ac:dyDescent="0.4">
      <c r="A531" s="152"/>
      <c r="B531" s="153"/>
      <c r="C531" s="153"/>
      <c r="D531" s="153"/>
      <c r="E531" s="156"/>
      <c r="F531" s="155"/>
      <c r="G531" s="156"/>
      <c r="H531" s="155"/>
      <c r="I531" s="156"/>
      <c r="J531" s="155"/>
      <c r="K531" s="156"/>
      <c r="L531" s="155"/>
      <c r="M531" s="156"/>
      <c r="N531" s="157"/>
    </row>
    <row r="532" spans="1:14" ht="24" customHeight="1" thickBot="1" x14ac:dyDescent="0.4">
      <c r="A532" s="152"/>
      <c r="B532" s="153"/>
      <c r="C532" s="153"/>
      <c r="D532" s="153"/>
      <c r="E532" s="156"/>
      <c r="F532" s="155"/>
      <c r="G532" s="156"/>
      <c r="H532" s="155"/>
      <c r="I532" s="156"/>
      <c r="J532" s="155"/>
      <c r="K532" s="156"/>
      <c r="L532" s="155"/>
      <c r="M532" s="156"/>
      <c r="N532" s="157"/>
    </row>
    <row r="533" spans="1:14" ht="24" customHeight="1" thickBot="1" x14ac:dyDescent="0.4">
      <c r="A533" s="152"/>
      <c r="B533" s="153"/>
      <c r="C533" s="153"/>
      <c r="D533" s="153"/>
      <c r="E533" s="156"/>
      <c r="F533" s="155"/>
      <c r="G533" s="156"/>
      <c r="H533" s="155"/>
      <c r="I533" s="156"/>
      <c r="J533" s="155"/>
      <c r="K533" s="156"/>
      <c r="L533" s="155"/>
      <c r="M533" s="156"/>
      <c r="N533" s="157"/>
    </row>
    <row r="534" spans="1:14" ht="24" customHeight="1" thickBot="1" x14ac:dyDescent="0.4">
      <c r="A534" s="152"/>
      <c r="B534" s="153"/>
      <c r="C534" s="153"/>
      <c r="D534" s="153"/>
      <c r="E534" s="156"/>
      <c r="F534" s="155"/>
      <c r="G534" s="156"/>
      <c r="H534" s="155"/>
      <c r="I534" s="156"/>
      <c r="J534" s="155"/>
      <c r="K534" s="156"/>
      <c r="L534" s="155"/>
      <c r="M534" s="156"/>
      <c r="N534" s="157"/>
    </row>
    <row r="535" spans="1:14" ht="24" customHeight="1" thickBot="1" x14ac:dyDescent="0.4">
      <c r="A535" s="152"/>
      <c r="B535" s="153"/>
      <c r="C535" s="153"/>
      <c r="D535" s="153"/>
      <c r="E535" s="156"/>
      <c r="F535" s="155"/>
      <c r="G535" s="156"/>
      <c r="H535" s="155"/>
      <c r="I535" s="156"/>
      <c r="J535" s="155"/>
      <c r="K535" s="156"/>
      <c r="L535" s="155"/>
      <c r="M535" s="156"/>
      <c r="N535" s="157"/>
    </row>
    <row r="536" spans="1:14" ht="24" customHeight="1" thickBot="1" x14ac:dyDescent="0.4">
      <c r="A536" s="152"/>
      <c r="B536" s="153"/>
      <c r="C536" s="153"/>
      <c r="D536" s="153"/>
      <c r="E536" s="156"/>
      <c r="F536" s="155"/>
      <c r="G536" s="156"/>
      <c r="H536" s="155"/>
      <c r="I536" s="156"/>
      <c r="J536" s="155"/>
      <c r="K536" s="156"/>
      <c r="L536" s="155"/>
      <c r="M536" s="156"/>
      <c r="N536" s="157"/>
    </row>
    <row r="537" spans="1:14" ht="24" customHeight="1" thickBot="1" x14ac:dyDescent="0.4">
      <c r="A537" s="152"/>
      <c r="B537" s="153"/>
      <c r="C537" s="153"/>
      <c r="D537" s="153"/>
      <c r="E537" s="156"/>
      <c r="F537" s="155"/>
      <c r="G537" s="156"/>
      <c r="H537" s="155"/>
      <c r="I537" s="156"/>
      <c r="J537" s="155"/>
      <c r="K537" s="156"/>
      <c r="L537" s="155"/>
      <c r="M537" s="156"/>
      <c r="N537" s="157"/>
    </row>
    <row r="538" spans="1:14" ht="24" customHeight="1" thickBot="1" x14ac:dyDescent="0.4">
      <c r="A538" s="152"/>
      <c r="B538" s="153"/>
      <c r="C538" s="153"/>
      <c r="D538" s="153"/>
      <c r="E538" s="156"/>
      <c r="F538" s="155"/>
      <c r="G538" s="156"/>
      <c r="H538" s="155"/>
      <c r="I538" s="156"/>
      <c r="J538" s="155"/>
      <c r="K538" s="156"/>
      <c r="L538" s="155"/>
      <c r="M538" s="156"/>
      <c r="N538" s="157"/>
    </row>
    <row r="539" spans="1:14" ht="24" customHeight="1" thickBot="1" x14ac:dyDescent="0.4">
      <c r="A539" s="152"/>
      <c r="B539" s="153"/>
      <c r="C539" s="153"/>
      <c r="D539" s="153"/>
      <c r="E539" s="156"/>
      <c r="F539" s="155"/>
      <c r="G539" s="156"/>
      <c r="H539" s="155"/>
      <c r="I539" s="156"/>
      <c r="J539" s="155"/>
      <c r="K539" s="156"/>
      <c r="L539" s="155"/>
      <c r="M539" s="156"/>
      <c r="N539" s="157"/>
    </row>
    <row r="540" spans="1:14" ht="24" customHeight="1" thickBot="1" x14ac:dyDescent="0.4">
      <c r="A540" s="152"/>
      <c r="B540" s="153"/>
      <c r="C540" s="153"/>
      <c r="D540" s="153"/>
      <c r="E540" s="156"/>
      <c r="F540" s="155"/>
      <c r="G540" s="156"/>
      <c r="H540" s="155"/>
      <c r="I540" s="156"/>
      <c r="J540" s="155"/>
      <c r="K540" s="156"/>
      <c r="L540" s="155"/>
      <c r="M540" s="156"/>
      <c r="N540" s="157"/>
    </row>
    <row r="541" spans="1:14" ht="24" customHeight="1" thickBot="1" x14ac:dyDescent="0.4">
      <c r="A541" s="152"/>
      <c r="B541" s="153"/>
      <c r="C541" s="153"/>
      <c r="D541" s="153"/>
      <c r="E541" s="156"/>
      <c r="F541" s="155"/>
      <c r="G541" s="156"/>
      <c r="H541" s="155"/>
      <c r="I541" s="156"/>
      <c r="J541" s="155"/>
      <c r="K541" s="156"/>
      <c r="L541" s="155"/>
      <c r="M541" s="156"/>
      <c r="N541" s="157"/>
    </row>
    <row r="542" spans="1:14" ht="24" customHeight="1" thickBot="1" x14ac:dyDescent="0.4">
      <c r="A542" s="152"/>
      <c r="B542" s="153"/>
      <c r="C542" s="153"/>
      <c r="D542" s="153"/>
      <c r="E542" s="156"/>
      <c r="F542" s="155"/>
      <c r="G542" s="156"/>
      <c r="H542" s="155"/>
      <c r="I542" s="156"/>
      <c r="J542" s="155"/>
      <c r="K542" s="156"/>
      <c r="L542" s="155"/>
      <c r="M542" s="156"/>
      <c r="N542" s="157"/>
    </row>
    <row r="543" spans="1:14" ht="24" customHeight="1" thickBot="1" x14ac:dyDescent="0.4">
      <c r="A543" s="152"/>
      <c r="B543" s="153"/>
      <c r="C543" s="153"/>
      <c r="D543" s="153"/>
      <c r="E543" s="156"/>
      <c r="F543" s="155"/>
      <c r="G543" s="156"/>
      <c r="H543" s="155"/>
      <c r="I543" s="156"/>
      <c r="J543" s="155"/>
      <c r="K543" s="156"/>
      <c r="L543" s="155"/>
      <c r="M543" s="156"/>
      <c r="N543" s="157"/>
    </row>
    <row r="544" spans="1:14" ht="24" customHeight="1" thickBot="1" x14ac:dyDescent="0.4">
      <c r="A544" s="152"/>
      <c r="B544" s="153"/>
      <c r="C544" s="153"/>
      <c r="D544" s="153"/>
      <c r="E544" s="156"/>
      <c r="F544" s="155"/>
      <c r="G544" s="156"/>
      <c r="H544" s="155"/>
      <c r="I544" s="156"/>
      <c r="J544" s="155"/>
      <c r="K544" s="156"/>
      <c r="L544" s="155"/>
      <c r="M544" s="156"/>
      <c r="N544" s="157"/>
    </row>
    <row r="545" spans="1:14" ht="24" customHeight="1" thickBot="1" x14ac:dyDescent="0.4">
      <c r="A545" s="152"/>
      <c r="B545" s="153"/>
      <c r="C545" s="153"/>
      <c r="D545" s="153"/>
      <c r="E545" s="156"/>
      <c r="F545" s="155"/>
      <c r="G545" s="156"/>
      <c r="H545" s="155"/>
      <c r="I545" s="156"/>
      <c r="J545" s="155"/>
      <c r="K545" s="156"/>
      <c r="L545" s="155"/>
      <c r="M545" s="156"/>
      <c r="N545" s="157"/>
    </row>
    <row r="546" spans="1:14" ht="24" customHeight="1" thickBot="1" x14ac:dyDescent="0.4">
      <c r="A546" s="152"/>
      <c r="B546" s="153"/>
      <c r="C546" s="153"/>
      <c r="D546" s="153"/>
      <c r="E546" s="156"/>
      <c r="F546" s="155"/>
      <c r="G546" s="156"/>
      <c r="H546" s="155"/>
      <c r="I546" s="156"/>
      <c r="J546" s="155"/>
      <c r="K546" s="156"/>
      <c r="L546" s="155"/>
      <c r="M546" s="156"/>
      <c r="N546" s="157"/>
    </row>
    <row r="547" spans="1:14" ht="24" customHeight="1" thickBot="1" x14ac:dyDescent="0.4">
      <c r="A547" s="152"/>
      <c r="B547" s="153"/>
      <c r="C547" s="153"/>
      <c r="D547" s="153"/>
      <c r="E547" s="156"/>
      <c r="F547" s="155"/>
      <c r="G547" s="156"/>
      <c r="H547" s="155"/>
      <c r="I547" s="156"/>
      <c r="J547" s="155"/>
      <c r="K547" s="156"/>
      <c r="L547" s="155"/>
      <c r="M547" s="156"/>
      <c r="N547" s="157"/>
    </row>
    <row r="548" spans="1:14" ht="24" customHeight="1" thickBot="1" x14ac:dyDescent="0.4">
      <c r="A548" s="152"/>
      <c r="B548" s="153"/>
      <c r="C548" s="153"/>
      <c r="D548" s="153"/>
      <c r="E548" s="156"/>
      <c r="F548" s="155"/>
      <c r="G548" s="156"/>
      <c r="H548" s="155"/>
      <c r="I548" s="156"/>
      <c r="J548" s="155"/>
      <c r="K548" s="156"/>
      <c r="L548" s="155"/>
      <c r="M548" s="156"/>
      <c r="N548" s="157"/>
    </row>
    <row r="549" spans="1:14" ht="24" customHeight="1" thickBot="1" x14ac:dyDescent="0.4">
      <c r="A549" s="152"/>
      <c r="B549" s="153"/>
      <c r="C549" s="153"/>
      <c r="D549" s="153"/>
      <c r="E549" s="156"/>
      <c r="F549" s="155"/>
      <c r="G549" s="156"/>
      <c r="H549" s="155"/>
      <c r="I549" s="156"/>
      <c r="J549" s="155"/>
      <c r="K549" s="156"/>
      <c r="L549" s="155"/>
      <c r="M549" s="156"/>
      <c r="N549" s="157"/>
    </row>
    <row r="550" spans="1:14" ht="24" customHeight="1" thickBot="1" x14ac:dyDescent="0.4">
      <c r="A550" s="152"/>
      <c r="B550" s="153"/>
      <c r="C550" s="153"/>
      <c r="D550" s="153"/>
      <c r="E550" s="156"/>
      <c r="F550" s="155"/>
      <c r="G550" s="156"/>
      <c r="H550" s="155"/>
      <c r="I550" s="156"/>
      <c r="J550" s="155"/>
      <c r="K550" s="156"/>
      <c r="L550" s="155"/>
      <c r="M550" s="156"/>
      <c r="N550" s="157"/>
    </row>
    <row r="551" spans="1:14" ht="24" customHeight="1" thickBot="1" x14ac:dyDescent="0.4">
      <c r="A551" s="152"/>
      <c r="B551" s="153"/>
      <c r="C551" s="153"/>
      <c r="D551" s="153"/>
      <c r="E551" s="156"/>
      <c r="F551" s="155"/>
      <c r="G551" s="156"/>
      <c r="H551" s="155"/>
      <c r="I551" s="156"/>
      <c r="J551" s="155"/>
      <c r="K551" s="156"/>
      <c r="L551" s="155"/>
      <c r="M551" s="156"/>
      <c r="N551" s="157"/>
    </row>
    <row r="552" spans="1:14" ht="24" customHeight="1" thickBot="1" x14ac:dyDescent="0.4">
      <c r="A552" s="152"/>
      <c r="B552" s="153"/>
      <c r="C552" s="153"/>
      <c r="D552" s="153"/>
      <c r="E552" s="156"/>
      <c r="F552" s="155"/>
      <c r="G552" s="156"/>
      <c r="H552" s="155"/>
      <c r="I552" s="156"/>
      <c r="J552" s="155"/>
      <c r="K552" s="156"/>
      <c r="L552" s="155"/>
      <c r="M552" s="156"/>
      <c r="N552" s="157"/>
    </row>
    <row r="553" spans="1:14" ht="24" customHeight="1" thickBot="1" x14ac:dyDescent="0.4">
      <c r="A553" s="152"/>
      <c r="B553" s="153"/>
      <c r="C553" s="153"/>
      <c r="D553" s="153"/>
      <c r="E553" s="156"/>
      <c r="F553" s="155"/>
      <c r="G553" s="156"/>
      <c r="H553" s="155"/>
      <c r="I553" s="156"/>
      <c r="J553" s="155"/>
      <c r="K553" s="156"/>
      <c r="L553" s="155"/>
      <c r="M553" s="156"/>
      <c r="N553" s="157"/>
    </row>
    <row r="554" spans="1:14" ht="24" customHeight="1" thickBot="1" x14ac:dyDescent="0.4">
      <c r="A554" s="152"/>
      <c r="B554" s="153"/>
      <c r="C554" s="153"/>
      <c r="D554" s="153"/>
      <c r="E554" s="156"/>
      <c r="F554" s="155"/>
      <c r="G554" s="156"/>
      <c r="H554" s="155"/>
      <c r="I554" s="156"/>
      <c r="J554" s="155"/>
      <c r="K554" s="156"/>
      <c r="L554" s="155"/>
      <c r="M554" s="156"/>
      <c r="N554" s="157"/>
    </row>
    <row r="555" spans="1:14" ht="24" customHeight="1" thickBot="1" x14ac:dyDescent="0.4">
      <c r="A555" s="152"/>
      <c r="B555" s="153"/>
      <c r="C555" s="153"/>
      <c r="D555" s="153"/>
      <c r="E555" s="156"/>
      <c r="F555" s="155"/>
      <c r="G555" s="156"/>
      <c r="H555" s="155"/>
      <c r="I555" s="156"/>
      <c r="J555" s="155"/>
      <c r="K555" s="156"/>
      <c r="L555" s="155"/>
      <c r="M555" s="156"/>
      <c r="N555" s="157"/>
    </row>
    <row r="556" spans="1:14" ht="24" customHeight="1" thickBot="1" x14ac:dyDescent="0.4">
      <c r="A556" s="152"/>
      <c r="B556" s="153"/>
      <c r="C556" s="153"/>
      <c r="D556" s="153"/>
      <c r="E556" s="156"/>
      <c r="F556" s="155"/>
      <c r="G556" s="156"/>
      <c r="H556" s="155"/>
      <c r="I556" s="156"/>
      <c r="J556" s="155"/>
      <c r="K556" s="156"/>
      <c r="L556" s="155"/>
      <c r="M556" s="156"/>
      <c r="N556" s="157"/>
    </row>
    <row r="557" spans="1:14" ht="24" customHeight="1" thickBot="1" x14ac:dyDescent="0.4">
      <c r="A557" s="152"/>
      <c r="B557" s="153"/>
      <c r="C557" s="153"/>
      <c r="D557" s="153"/>
      <c r="E557" s="156"/>
      <c r="F557" s="155"/>
      <c r="G557" s="156"/>
      <c r="H557" s="155"/>
      <c r="I557" s="156"/>
      <c r="J557" s="155"/>
      <c r="K557" s="156"/>
      <c r="L557" s="155"/>
      <c r="M557" s="156"/>
      <c r="N557" s="157"/>
    </row>
    <row r="558" spans="1:14" ht="24" customHeight="1" thickBot="1" x14ac:dyDescent="0.4">
      <c r="A558" s="152"/>
      <c r="B558" s="153"/>
      <c r="C558" s="153"/>
      <c r="D558" s="153"/>
      <c r="E558" s="156"/>
      <c r="F558" s="155"/>
      <c r="G558" s="156"/>
      <c r="H558" s="155"/>
      <c r="I558" s="156"/>
      <c r="J558" s="155"/>
      <c r="K558" s="156"/>
      <c r="L558" s="155"/>
      <c r="M558" s="156"/>
      <c r="N558" s="157"/>
    </row>
    <row r="559" spans="1:14" ht="24" customHeight="1" thickBot="1" x14ac:dyDescent="0.4">
      <c r="A559" s="152"/>
      <c r="B559" s="153"/>
      <c r="C559" s="153"/>
      <c r="D559" s="153"/>
      <c r="E559" s="156"/>
      <c r="F559" s="155"/>
      <c r="G559" s="156"/>
      <c r="H559" s="155"/>
      <c r="I559" s="156"/>
      <c r="J559" s="155"/>
      <c r="K559" s="156"/>
      <c r="L559" s="155"/>
      <c r="M559" s="156"/>
      <c r="N559" s="157"/>
    </row>
    <row r="560" spans="1:14" ht="24" customHeight="1" thickBot="1" x14ac:dyDescent="0.4">
      <c r="A560" s="152"/>
      <c r="B560" s="153"/>
      <c r="C560" s="153"/>
      <c r="D560" s="153"/>
      <c r="E560" s="156"/>
      <c r="F560" s="155"/>
      <c r="G560" s="156"/>
      <c r="H560" s="155"/>
      <c r="I560" s="156"/>
      <c r="J560" s="155"/>
      <c r="K560" s="156"/>
      <c r="L560" s="155"/>
      <c r="M560" s="156"/>
      <c r="N560" s="157"/>
    </row>
    <row r="561" spans="1:14" ht="24" customHeight="1" thickBot="1" x14ac:dyDescent="0.4">
      <c r="A561" s="152"/>
      <c r="B561" s="153"/>
      <c r="C561" s="153"/>
      <c r="D561" s="153"/>
      <c r="E561" s="156"/>
      <c r="F561" s="155"/>
      <c r="G561" s="156"/>
      <c r="H561" s="155"/>
      <c r="I561" s="156"/>
      <c r="J561" s="155"/>
      <c r="K561" s="156"/>
      <c r="L561" s="155"/>
      <c r="M561" s="156"/>
      <c r="N561" s="157"/>
    </row>
    <row r="562" spans="1:14" ht="24" customHeight="1" thickBot="1" x14ac:dyDescent="0.4">
      <c r="A562" s="152"/>
      <c r="B562" s="153"/>
      <c r="C562" s="153"/>
      <c r="D562" s="153"/>
      <c r="E562" s="156"/>
      <c r="F562" s="155"/>
      <c r="G562" s="156"/>
      <c r="H562" s="155"/>
      <c r="I562" s="156"/>
      <c r="J562" s="155"/>
      <c r="K562" s="156"/>
      <c r="L562" s="155"/>
      <c r="M562" s="156"/>
      <c r="N562" s="157"/>
    </row>
    <row r="563" spans="1:14" ht="24" customHeight="1" thickBot="1" x14ac:dyDescent="0.4">
      <c r="A563" s="152"/>
      <c r="B563" s="153"/>
      <c r="C563" s="153"/>
      <c r="D563" s="153"/>
      <c r="E563" s="156"/>
      <c r="F563" s="155"/>
      <c r="G563" s="156"/>
      <c r="H563" s="155"/>
      <c r="I563" s="156"/>
      <c r="J563" s="155"/>
      <c r="K563" s="156"/>
      <c r="L563" s="155"/>
      <c r="M563" s="156"/>
      <c r="N563" s="157"/>
    </row>
    <row r="564" spans="1:14" ht="24" customHeight="1" thickBot="1" x14ac:dyDescent="0.4">
      <c r="A564" s="152"/>
      <c r="B564" s="153"/>
      <c r="C564" s="153"/>
      <c r="D564" s="153"/>
      <c r="E564" s="156"/>
      <c r="F564" s="155"/>
      <c r="G564" s="156"/>
      <c r="H564" s="155"/>
      <c r="I564" s="156"/>
      <c r="J564" s="155"/>
      <c r="K564" s="156"/>
      <c r="L564" s="155"/>
      <c r="M564" s="156"/>
      <c r="N564" s="157"/>
    </row>
    <row r="565" spans="1:14" ht="24" customHeight="1" thickBot="1" x14ac:dyDescent="0.4">
      <c r="A565" s="152"/>
      <c r="B565" s="153"/>
      <c r="C565" s="153"/>
      <c r="D565" s="153"/>
      <c r="E565" s="156"/>
      <c r="F565" s="155"/>
      <c r="G565" s="156"/>
      <c r="H565" s="155"/>
      <c r="I565" s="156"/>
      <c r="J565" s="155"/>
      <c r="K565" s="156"/>
      <c r="L565" s="155"/>
      <c r="M565" s="156"/>
      <c r="N565" s="157"/>
    </row>
    <row r="566" spans="1:14" ht="24" customHeight="1" thickBot="1" x14ac:dyDescent="0.4">
      <c r="A566" s="152"/>
      <c r="B566" s="153"/>
      <c r="C566" s="153"/>
      <c r="D566" s="153"/>
      <c r="E566" s="156"/>
      <c r="F566" s="155"/>
      <c r="G566" s="156"/>
      <c r="H566" s="155"/>
      <c r="I566" s="156"/>
      <c r="J566" s="155"/>
      <c r="K566" s="156"/>
      <c r="L566" s="155"/>
      <c r="M566" s="156"/>
      <c r="N566" s="157"/>
    </row>
    <row r="567" spans="1:14" ht="24" customHeight="1" thickBot="1" x14ac:dyDescent="0.4">
      <c r="A567" s="152"/>
      <c r="B567" s="153"/>
      <c r="C567" s="153"/>
      <c r="D567" s="153"/>
      <c r="E567" s="156"/>
      <c r="F567" s="155"/>
      <c r="G567" s="156"/>
      <c r="H567" s="155"/>
      <c r="I567" s="156"/>
      <c r="J567" s="155"/>
      <c r="K567" s="156"/>
      <c r="L567" s="155"/>
      <c r="M567" s="156"/>
      <c r="N567" s="157"/>
    </row>
    <row r="568" spans="1:14" ht="24" customHeight="1" thickBot="1" x14ac:dyDescent="0.4">
      <c r="A568" s="152"/>
      <c r="B568" s="153"/>
      <c r="C568" s="153"/>
      <c r="D568" s="153"/>
      <c r="E568" s="156"/>
      <c r="F568" s="155"/>
      <c r="G568" s="156"/>
      <c r="H568" s="155"/>
      <c r="I568" s="156"/>
      <c r="J568" s="155"/>
      <c r="K568" s="156"/>
      <c r="L568" s="155"/>
      <c r="M568" s="156"/>
      <c r="N568" s="157"/>
    </row>
    <row r="569" spans="1:14" ht="24" customHeight="1" thickBot="1" x14ac:dyDescent="0.4">
      <c r="A569" s="152"/>
      <c r="B569" s="153"/>
      <c r="C569" s="153"/>
      <c r="D569" s="153"/>
      <c r="E569" s="156"/>
      <c r="F569" s="155"/>
      <c r="G569" s="156"/>
      <c r="H569" s="155"/>
      <c r="I569" s="156"/>
      <c r="J569" s="155"/>
      <c r="K569" s="156"/>
      <c r="L569" s="155"/>
      <c r="M569" s="156"/>
      <c r="N569" s="157"/>
    </row>
    <row r="570" spans="1:14" ht="24" customHeight="1" thickBot="1" x14ac:dyDescent="0.4">
      <c r="A570" s="152"/>
      <c r="B570" s="153"/>
      <c r="C570" s="153"/>
      <c r="D570" s="153"/>
      <c r="E570" s="156"/>
      <c r="F570" s="155"/>
      <c r="G570" s="156"/>
      <c r="H570" s="155"/>
      <c r="I570" s="156"/>
      <c r="J570" s="155"/>
      <c r="K570" s="156"/>
      <c r="L570" s="155"/>
      <c r="M570" s="156"/>
      <c r="N570" s="157"/>
    </row>
    <row r="571" spans="1:14" ht="24" customHeight="1" thickBot="1" x14ac:dyDescent="0.4">
      <c r="A571" s="152"/>
      <c r="B571" s="153"/>
      <c r="C571" s="153"/>
      <c r="D571" s="153"/>
      <c r="E571" s="156"/>
      <c r="F571" s="155"/>
      <c r="G571" s="156"/>
      <c r="H571" s="155"/>
      <c r="I571" s="156"/>
      <c r="J571" s="155"/>
      <c r="K571" s="156"/>
      <c r="L571" s="155"/>
      <c r="M571" s="156"/>
      <c r="N571" s="157"/>
    </row>
    <row r="572" spans="1:14" ht="24" customHeight="1" thickBot="1" x14ac:dyDescent="0.4">
      <c r="A572" s="152"/>
      <c r="B572" s="153"/>
      <c r="C572" s="153"/>
      <c r="D572" s="153"/>
      <c r="E572" s="156"/>
      <c r="F572" s="155"/>
      <c r="G572" s="156"/>
      <c r="H572" s="155"/>
      <c r="I572" s="156"/>
      <c r="J572" s="155"/>
      <c r="K572" s="156"/>
      <c r="L572" s="155"/>
      <c r="M572" s="156"/>
      <c r="N572" s="157"/>
    </row>
    <row r="573" spans="1:14" ht="24" customHeight="1" thickBot="1" x14ac:dyDescent="0.4">
      <c r="A573" s="152"/>
      <c r="B573" s="153"/>
      <c r="C573" s="153"/>
      <c r="D573" s="153"/>
      <c r="E573" s="156"/>
      <c r="F573" s="155"/>
      <c r="G573" s="156"/>
      <c r="H573" s="155"/>
      <c r="I573" s="156"/>
      <c r="J573" s="155"/>
      <c r="K573" s="156"/>
      <c r="L573" s="155"/>
      <c r="M573" s="156"/>
      <c r="N573" s="157"/>
    </row>
    <row r="574" spans="1:14" ht="24" customHeight="1" thickBot="1" x14ac:dyDescent="0.4">
      <c r="A574" s="152"/>
      <c r="B574" s="153"/>
      <c r="C574" s="153"/>
      <c r="D574" s="153"/>
      <c r="E574" s="156"/>
      <c r="F574" s="155"/>
      <c r="G574" s="156"/>
      <c r="H574" s="155"/>
      <c r="I574" s="156"/>
      <c r="J574" s="155"/>
      <c r="K574" s="156"/>
      <c r="L574" s="155"/>
      <c r="M574" s="156"/>
      <c r="N574" s="157"/>
    </row>
    <row r="575" spans="1:14" ht="24" customHeight="1" thickBot="1" x14ac:dyDescent="0.4">
      <c r="A575" s="152"/>
      <c r="B575" s="153"/>
      <c r="C575" s="153"/>
      <c r="D575" s="153"/>
      <c r="E575" s="156"/>
      <c r="F575" s="155"/>
      <c r="G575" s="156"/>
      <c r="H575" s="155"/>
      <c r="I575" s="156"/>
      <c r="J575" s="155"/>
      <c r="K575" s="156"/>
      <c r="L575" s="155"/>
      <c r="M575" s="156"/>
      <c r="N575" s="157"/>
    </row>
    <row r="576" spans="1:14" ht="24" customHeight="1" thickBot="1" x14ac:dyDescent="0.4">
      <c r="A576" s="152"/>
      <c r="B576" s="153"/>
      <c r="C576" s="153"/>
      <c r="D576" s="153"/>
      <c r="E576" s="156"/>
      <c r="F576" s="155"/>
      <c r="G576" s="156"/>
      <c r="H576" s="155"/>
      <c r="I576" s="156"/>
      <c r="J576" s="155"/>
      <c r="K576" s="156"/>
      <c r="L576" s="155"/>
      <c r="M576" s="156"/>
      <c r="N576" s="157"/>
    </row>
    <row r="577" spans="1:14" ht="24" customHeight="1" thickBot="1" x14ac:dyDescent="0.4">
      <c r="A577" s="152"/>
      <c r="B577" s="153"/>
      <c r="C577" s="153"/>
      <c r="D577" s="153"/>
      <c r="E577" s="156"/>
      <c r="F577" s="155"/>
      <c r="G577" s="156"/>
      <c r="H577" s="155"/>
      <c r="I577" s="156"/>
      <c r="J577" s="155"/>
      <c r="K577" s="156"/>
      <c r="L577" s="155"/>
      <c r="M577" s="156"/>
      <c r="N577" s="157"/>
    </row>
    <row r="578" spans="1:14" ht="24" customHeight="1" thickBot="1" x14ac:dyDescent="0.4">
      <c r="A578" s="152"/>
      <c r="B578" s="153"/>
      <c r="C578" s="153"/>
      <c r="D578" s="153"/>
      <c r="E578" s="156"/>
      <c r="F578" s="155"/>
      <c r="G578" s="156"/>
      <c r="H578" s="155"/>
      <c r="I578" s="156"/>
      <c r="J578" s="155"/>
      <c r="K578" s="156"/>
      <c r="L578" s="155"/>
      <c r="M578" s="156"/>
      <c r="N578" s="157"/>
    </row>
    <row r="579" spans="1:14" ht="24" customHeight="1" thickBot="1" x14ac:dyDescent="0.4">
      <c r="A579" s="152"/>
      <c r="B579" s="153"/>
      <c r="C579" s="153"/>
      <c r="D579" s="153"/>
      <c r="E579" s="156"/>
      <c r="F579" s="155"/>
      <c r="G579" s="156"/>
      <c r="H579" s="155"/>
      <c r="I579" s="156"/>
      <c r="J579" s="155"/>
      <c r="K579" s="156"/>
      <c r="L579" s="155"/>
      <c r="M579" s="156"/>
      <c r="N579" s="157"/>
    </row>
    <row r="580" spans="1:14" ht="24" customHeight="1" thickBot="1" x14ac:dyDescent="0.4">
      <c r="A580" s="152"/>
      <c r="B580" s="153"/>
      <c r="C580" s="153"/>
      <c r="D580" s="153"/>
      <c r="E580" s="156"/>
      <c r="F580" s="155"/>
      <c r="G580" s="156"/>
      <c r="H580" s="155"/>
      <c r="I580" s="156"/>
      <c r="J580" s="155"/>
      <c r="K580" s="156"/>
      <c r="L580" s="155"/>
      <c r="M580" s="156"/>
      <c r="N580" s="157"/>
    </row>
    <row r="581" spans="1:14" ht="24" customHeight="1" thickBot="1" x14ac:dyDescent="0.4">
      <c r="A581" s="152"/>
      <c r="B581" s="153"/>
      <c r="C581" s="153"/>
      <c r="D581" s="153"/>
      <c r="E581" s="156"/>
      <c r="F581" s="155"/>
      <c r="G581" s="156"/>
      <c r="H581" s="155"/>
      <c r="I581" s="156"/>
      <c r="J581" s="155"/>
      <c r="K581" s="156"/>
      <c r="L581" s="155"/>
      <c r="M581" s="156"/>
      <c r="N581" s="157"/>
    </row>
    <row r="582" spans="1:14" ht="24" customHeight="1" thickBot="1" x14ac:dyDescent="0.4">
      <c r="A582" s="152"/>
      <c r="B582" s="153"/>
      <c r="C582" s="153"/>
      <c r="D582" s="153"/>
      <c r="E582" s="156"/>
      <c r="F582" s="155"/>
      <c r="G582" s="156"/>
      <c r="H582" s="155"/>
      <c r="I582" s="156"/>
      <c r="J582" s="155"/>
      <c r="K582" s="156"/>
      <c r="L582" s="155"/>
      <c r="M582" s="156"/>
      <c r="N582" s="157"/>
    </row>
    <row r="583" spans="1:14" ht="24" customHeight="1" thickBot="1" x14ac:dyDescent="0.4">
      <c r="A583" s="152"/>
      <c r="B583" s="153"/>
      <c r="C583" s="153"/>
      <c r="D583" s="153"/>
      <c r="E583" s="156"/>
      <c r="F583" s="155"/>
      <c r="G583" s="156"/>
      <c r="H583" s="155"/>
      <c r="I583" s="156"/>
      <c r="J583" s="155"/>
      <c r="K583" s="156"/>
      <c r="L583" s="155"/>
      <c r="M583" s="156"/>
      <c r="N583" s="157"/>
    </row>
    <row r="584" spans="1:14" ht="24" customHeight="1" thickBot="1" x14ac:dyDescent="0.4">
      <c r="A584" s="152"/>
      <c r="B584" s="153"/>
      <c r="C584" s="153"/>
      <c r="D584" s="153"/>
      <c r="E584" s="156"/>
      <c r="F584" s="155"/>
      <c r="G584" s="156"/>
      <c r="H584" s="155"/>
      <c r="I584" s="156"/>
      <c r="J584" s="155"/>
      <c r="K584" s="156"/>
      <c r="L584" s="155"/>
      <c r="M584" s="156"/>
      <c r="N584" s="157"/>
    </row>
    <row r="585" spans="1:14" ht="24" customHeight="1" thickBot="1" x14ac:dyDescent="0.4">
      <c r="A585" s="152"/>
      <c r="B585" s="153"/>
      <c r="C585" s="153"/>
      <c r="D585" s="153"/>
      <c r="E585" s="156"/>
      <c r="F585" s="155"/>
      <c r="G585" s="156"/>
      <c r="H585" s="155"/>
      <c r="I585" s="156"/>
      <c r="J585" s="155"/>
      <c r="K585" s="156"/>
      <c r="L585" s="155"/>
      <c r="M585" s="156"/>
      <c r="N585" s="157"/>
    </row>
    <row r="586" spans="1:14" ht="24" customHeight="1" thickBot="1" x14ac:dyDescent="0.4">
      <c r="A586" s="152"/>
      <c r="B586" s="153"/>
      <c r="C586" s="153"/>
      <c r="D586" s="153"/>
      <c r="E586" s="156"/>
      <c r="F586" s="155"/>
      <c r="G586" s="156"/>
      <c r="H586" s="155"/>
      <c r="I586" s="156"/>
      <c r="J586" s="155"/>
      <c r="K586" s="156"/>
      <c r="L586" s="155"/>
      <c r="M586" s="156"/>
      <c r="N586" s="157"/>
    </row>
    <row r="587" spans="1:14" ht="24" customHeight="1" thickBot="1" x14ac:dyDescent="0.4">
      <c r="A587" s="152"/>
      <c r="B587" s="153"/>
      <c r="C587" s="153"/>
      <c r="D587" s="153"/>
      <c r="E587" s="156"/>
      <c r="F587" s="155"/>
      <c r="G587" s="156"/>
      <c r="H587" s="155"/>
      <c r="I587" s="156"/>
      <c r="J587" s="155"/>
      <c r="K587" s="156"/>
      <c r="L587" s="155"/>
      <c r="M587" s="156"/>
      <c r="N587" s="157"/>
    </row>
    <row r="588" spans="1:14" ht="24" customHeight="1" thickBot="1" x14ac:dyDescent="0.4">
      <c r="A588" s="152"/>
      <c r="B588" s="153"/>
      <c r="C588" s="153"/>
      <c r="D588" s="153"/>
      <c r="E588" s="156"/>
      <c r="F588" s="155"/>
      <c r="G588" s="156"/>
      <c r="H588" s="155"/>
      <c r="I588" s="156"/>
      <c r="J588" s="155"/>
      <c r="K588" s="156"/>
      <c r="L588" s="155"/>
      <c r="M588" s="156"/>
      <c r="N588" s="157"/>
    </row>
    <row r="589" spans="1:14" ht="24" customHeight="1" thickBot="1" x14ac:dyDescent="0.4">
      <c r="A589" s="152"/>
      <c r="B589" s="153"/>
      <c r="C589" s="153"/>
      <c r="D589" s="153"/>
      <c r="E589" s="156"/>
      <c r="F589" s="155"/>
      <c r="G589" s="156"/>
      <c r="H589" s="155"/>
      <c r="I589" s="156"/>
      <c r="J589" s="155"/>
      <c r="K589" s="156"/>
      <c r="L589" s="155"/>
      <c r="M589" s="156"/>
      <c r="N589" s="157"/>
    </row>
    <row r="590" spans="1:14" ht="24" customHeight="1" thickBot="1" x14ac:dyDescent="0.4">
      <c r="A590" s="152"/>
      <c r="B590" s="153"/>
      <c r="C590" s="153"/>
      <c r="D590" s="153"/>
      <c r="E590" s="156"/>
      <c r="F590" s="155"/>
      <c r="G590" s="156"/>
      <c r="H590" s="155"/>
      <c r="I590" s="156"/>
      <c r="J590" s="155"/>
      <c r="K590" s="156"/>
      <c r="L590" s="155"/>
      <c r="M590" s="156"/>
      <c r="N590" s="157"/>
    </row>
    <row r="591" spans="1:14" ht="24" customHeight="1" thickBot="1" x14ac:dyDescent="0.4">
      <c r="A591" s="152"/>
      <c r="B591" s="153"/>
      <c r="C591" s="153"/>
      <c r="D591" s="153"/>
      <c r="E591" s="156"/>
      <c r="F591" s="155"/>
      <c r="G591" s="156"/>
      <c r="H591" s="155"/>
      <c r="I591" s="156"/>
      <c r="J591" s="155"/>
      <c r="K591" s="156"/>
      <c r="L591" s="155"/>
      <c r="M591" s="156"/>
      <c r="N591" s="157"/>
    </row>
    <row r="592" spans="1:14" ht="24" customHeight="1" thickBot="1" x14ac:dyDescent="0.4">
      <c r="A592" s="152"/>
      <c r="B592" s="153"/>
      <c r="C592" s="153"/>
      <c r="D592" s="153"/>
      <c r="E592" s="156"/>
      <c r="F592" s="155"/>
      <c r="G592" s="156"/>
      <c r="H592" s="155"/>
      <c r="I592" s="156"/>
      <c r="J592" s="155"/>
      <c r="K592" s="156"/>
      <c r="L592" s="155"/>
      <c r="M592" s="156"/>
      <c r="N592" s="157"/>
    </row>
    <row r="593" spans="1:14" ht="24" customHeight="1" thickBot="1" x14ac:dyDescent="0.4">
      <c r="A593" s="152"/>
      <c r="B593" s="153"/>
      <c r="C593" s="153"/>
      <c r="D593" s="153"/>
      <c r="E593" s="156"/>
      <c r="F593" s="155"/>
      <c r="G593" s="156"/>
      <c r="H593" s="155"/>
      <c r="I593" s="156"/>
      <c r="J593" s="155"/>
      <c r="K593" s="156"/>
      <c r="L593" s="155"/>
      <c r="M593" s="156"/>
      <c r="N593" s="157"/>
    </row>
    <row r="594" spans="1:14" ht="24" customHeight="1" thickBot="1" x14ac:dyDescent="0.4">
      <c r="A594" s="152"/>
      <c r="B594" s="153"/>
      <c r="C594" s="153"/>
      <c r="D594" s="153"/>
      <c r="E594" s="156"/>
      <c r="F594" s="155"/>
      <c r="G594" s="156"/>
      <c r="H594" s="155"/>
      <c r="I594" s="156"/>
      <c r="J594" s="155"/>
      <c r="K594" s="156"/>
      <c r="L594" s="155"/>
      <c r="M594" s="156"/>
      <c r="N594" s="157"/>
    </row>
    <row r="595" spans="1:14" ht="24" customHeight="1" thickBot="1" x14ac:dyDescent="0.4">
      <c r="A595" s="152"/>
      <c r="B595" s="153"/>
      <c r="C595" s="153"/>
      <c r="D595" s="153"/>
      <c r="E595" s="156"/>
      <c r="F595" s="155"/>
      <c r="G595" s="156"/>
      <c r="H595" s="155"/>
      <c r="I595" s="156"/>
      <c r="J595" s="155"/>
      <c r="K595" s="156"/>
      <c r="L595" s="155"/>
      <c r="M595" s="156"/>
      <c r="N595" s="157"/>
    </row>
    <row r="596" spans="1:14" ht="24" customHeight="1" thickBot="1" x14ac:dyDescent="0.4">
      <c r="A596" s="152"/>
      <c r="B596" s="153"/>
      <c r="C596" s="153"/>
      <c r="D596" s="153"/>
      <c r="E596" s="156"/>
      <c r="F596" s="155"/>
      <c r="G596" s="156"/>
      <c r="H596" s="155"/>
      <c r="I596" s="156"/>
      <c r="J596" s="155"/>
      <c r="K596" s="156"/>
      <c r="L596" s="155"/>
      <c r="M596" s="156"/>
      <c r="N596" s="157"/>
    </row>
    <row r="597" spans="1:14" ht="24" customHeight="1" thickBot="1" x14ac:dyDescent="0.4">
      <c r="A597" s="152"/>
      <c r="B597" s="153"/>
      <c r="C597" s="153"/>
      <c r="D597" s="153"/>
      <c r="E597" s="156"/>
      <c r="F597" s="155"/>
      <c r="G597" s="156"/>
      <c r="H597" s="155"/>
      <c r="I597" s="156"/>
      <c r="J597" s="155"/>
      <c r="K597" s="156"/>
      <c r="L597" s="155"/>
      <c r="M597" s="156"/>
      <c r="N597" s="157"/>
    </row>
    <row r="598" spans="1:14" ht="24" customHeight="1" thickBot="1" x14ac:dyDescent="0.4">
      <c r="A598" s="152"/>
      <c r="B598" s="153"/>
      <c r="C598" s="153"/>
      <c r="D598" s="153"/>
      <c r="E598" s="156"/>
      <c r="F598" s="155"/>
      <c r="G598" s="156"/>
      <c r="H598" s="155"/>
      <c r="I598" s="156"/>
      <c r="J598" s="155"/>
      <c r="K598" s="156"/>
      <c r="L598" s="155"/>
      <c r="M598" s="156"/>
      <c r="N598" s="157"/>
    </row>
    <row r="599" spans="1:14" ht="24" customHeight="1" thickBot="1" x14ac:dyDescent="0.4">
      <c r="A599" s="152"/>
      <c r="B599" s="153"/>
      <c r="C599" s="153"/>
      <c r="D599" s="153"/>
      <c r="E599" s="156"/>
      <c r="F599" s="155"/>
      <c r="G599" s="156"/>
      <c r="H599" s="155"/>
      <c r="I599" s="156"/>
      <c r="J599" s="155"/>
      <c r="K599" s="156"/>
      <c r="L599" s="155"/>
      <c r="M599" s="156"/>
      <c r="N599" s="157"/>
    </row>
    <row r="600" spans="1:14" ht="24" customHeight="1" thickBot="1" x14ac:dyDescent="0.4">
      <c r="A600" s="152"/>
      <c r="B600" s="153"/>
      <c r="C600" s="153"/>
      <c r="D600" s="153"/>
      <c r="E600" s="156"/>
      <c r="F600" s="155"/>
      <c r="G600" s="156"/>
      <c r="H600" s="155"/>
      <c r="I600" s="156"/>
      <c r="J600" s="155"/>
      <c r="K600" s="156"/>
      <c r="L600" s="155"/>
      <c r="M600" s="156"/>
      <c r="N600" s="157"/>
    </row>
    <row r="601" spans="1:14" ht="24" customHeight="1" thickBot="1" x14ac:dyDescent="0.4">
      <c r="A601" s="152"/>
      <c r="B601" s="153"/>
      <c r="C601" s="153"/>
      <c r="D601" s="153"/>
      <c r="E601" s="156"/>
      <c r="F601" s="155"/>
      <c r="G601" s="156"/>
      <c r="H601" s="155"/>
      <c r="I601" s="156"/>
      <c r="J601" s="155"/>
      <c r="K601" s="156"/>
      <c r="L601" s="155"/>
      <c r="M601" s="156"/>
      <c r="N601" s="157"/>
    </row>
    <row r="602" spans="1:14" ht="24" customHeight="1" thickBot="1" x14ac:dyDescent="0.4">
      <c r="A602" s="152"/>
      <c r="B602" s="153"/>
      <c r="C602" s="153"/>
      <c r="D602" s="153"/>
      <c r="E602" s="156"/>
      <c r="F602" s="155"/>
      <c r="G602" s="156"/>
      <c r="H602" s="155"/>
      <c r="I602" s="156"/>
      <c r="J602" s="155"/>
      <c r="K602" s="156"/>
      <c r="L602" s="155"/>
      <c r="M602" s="156"/>
      <c r="N602" s="157"/>
    </row>
    <row r="603" spans="1:14" ht="24" customHeight="1" thickBot="1" x14ac:dyDescent="0.4">
      <c r="A603" s="152"/>
      <c r="B603" s="153"/>
      <c r="C603" s="153"/>
      <c r="D603" s="153"/>
      <c r="E603" s="156"/>
      <c r="F603" s="155"/>
      <c r="G603" s="156"/>
      <c r="H603" s="155"/>
      <c r="I603" s="156"/>
      <c r="J603" s="155"/>
      <c r="K603" s="156"/>
      <c r="L603" s="155"/>
      <c r="M603" s="156"/>
      <c r="N603" s="157"/>
    </row>
    <row r="604" spans="1:14" ht="24" customHeight="1" thickBot="1" x14ac:dyDescent="0.4">
      <c r="A604" s="152"/>
      <c r="B604" s="153"/>
      <c r="C604" s="153"/>
      <c r="D604" s="153"/>
      <c r="E604" s="156"/>
      <c r="F604" s="155"/>
      <c r="G604" s="156"/>
      <c r="H604" s="155"/>
      <c r="I604" s="156"/>
      <c r="J604" s="155"/>
      <c r="K604" s="156"/>
      <c r="L604" s="155"/>
      <c r="M604" s="156"/>
      <c r="N604" s="157"/>
    </row>
    <row r="605" spans="1:14" ht="24" customHeight="1" thickBot="1" x14ac:dyDescent="0.4">
      <c r="A605" s="152"/>
      <c r="B605" s="153"/>
      <c r="C605" s="153"/>
      <c r="D605" s="153"/>
      <c r="E605" s="156"/>
      <c r="F605" s="155"/>
      <c r="G605" s="156"/>
      <c r="H605" s="155"/>
      <c r="I605" s="156"/>
      <c r="J605" s="155"/>
      <c r="K605" s="156"/>
      <c r="L605" s="155"/>
      <c r="M605" s="156"/>
      <c r="N605" s="157"/>
    </row>
    <row r="606" spans="1:14" ht="24" customHeight="1" thickBot="1" x14ac:dyDescent="0.4">
      <c r="A606" s="152"/>
      <c r="B606" s="153"/>
      <c r="C606" s="153"/>
      <c r="D606" s="153"/>
      <c r="E606" s="156"/>
      <c r="F606" s="155"/>
      <c r="G606" s="156"/>
      <c r="H606" s="155"/>
      <c r="I606" s="156"/>
      <c r="J606" s="155"/>
      <c r="K606" s="156"/>
      <c r="L606" s="155"/>
      <c r="M606" s="156"/>
      <c r="N606" s="157"/>
    </row>
    <row r="607" spans="1:14" ht="24" customHeight="1" thickBot="1" x14ac:dyDescent="0.4">
      <c r="A607" s="152"/>
      <c r="B607" s="153"/>
      <c r="C607" s="153"/>
      <c r="D607" s="153"/>
      <c r="E607" s="156"/>
      <c r="F607" s="155"/>
      <c r="G607" s="156"/>
      <c r="H607" s="155"/>
      <c r="I607" s="156"/>
      <c r="J607" s="155"/>
      <c r="K607" s="156"/>
      <c r="L607" s="155"/>
      <c r="M607" s="156"/>
      <c r="N607" s="157"/>
    </row>
    <row r="608" spans="1:14" ht="24" customHeight="1" thickBot="1" x14ac:dyDescent="0.4">
      <c r="A608" s="152"/>
      <c r="B608" s="153"/>
      <c r="C608" s="153"/>
      <c r="D608" s="153"/>
      <c r="E608" s="156"/>
      <c r="F608" s="155"/>
      <c r="G608" s="156"/>
      <c r="H608" s="155"/>
      <c r="I608" s="156"/>
      <c r="J608" s="155"/>
      <c r="K608" s="156"/>
      <c r="L608" s="155"/>
      <c r="M608" s="156"/>
      <c r="N608" s="157"/>
    </row>
    <row r="609" spans="1:14" ht="24" customHeight="1" thickBot="1" x14ac:dyDescent="0.4">
      <c r="A609" s="152"/>
      <c r="B609" s="153"/>
      <c r="C609" s="153"/>
      <c r="D609" s="153"/>
      <c r="E609" s="156"/>
      <c r="F609" s="155"/>
      <c r="G609" s="156"/>
      <c r="H609" s="155"/>
      <c r="I609" s="156"/>
      <c r="J609" s="155"/>
      <c r="K609" s="156"/>
      <c r="L609" s="155"/>
      <c r="M609" s="156"/>
      <c r="N609" s="157"/>
    </row>
    <row r="610" spans="1:14" ht="24" customHeight="1" thickBot="1" x14ac:dyDescent="0.4">
      <c r="A610" s="152"/>
      <c r="B610" s="153"/>
      <c r="C610" s="153"/>
      <c r="D610" s="153"/>
      <c r="E610" s="156"/>
      <c r="F610" s="155"/>
      <c r="G610" s="156"/>
      <c r="H610" s="155"/>
      <c r="I610" s="156"/>
      <c r="J610" s="155"/>
      <c r="K610" s="156"/>
      <c r="L610" s="155"/>
      <c r="M610" s="156"/>
      <c r="N610" s="157"/>
    </row>
    <row r="611" spans="1:14" ht="24" customHeight="1" thickBot="1" x14ac:dyDescent="0.4">
      <c r="A611" s="152"/>
      <c r="B611" s="153"/>
      <c r="C611" s="153"/>
      <c r="D611" s="153"/>
      <c r="E611" s="156"/>
      <c r="F611" s="155"/>
      <c r="G611" s="156"/>
      <c r="H611" s="155"/>
      <c r="I611" s="156"/>
      <c r="J611" s="155"/>
      <c r="K611" s="156"/>
      <c r="L611" s="155"/>
      <c r="M611" s="156"/>
      <c r="N611" s="157"/>
    </row>
    <row r="612" spans="1:14" ht="24" customHeight="1" thickBot="1" x14ac:dyDescent="0.4">
      <c r="A612" s="152"/>
      <c r="B612" s="153"/>
      <c r="C612" s="153"/>
      <c r="D612" s="153"/>
      <c r="E612" s="156"/>
      <c r="F612" s="155"/>
      <c r="G612" s="156"/>
      <c r="H612" s="155"/>
      <c r="I612" s="156"/>
      <c r="J612" s="155"/>
      <c r="K612" s="156"/>
      <c r="L612" s="155"/>
      <c r="M612" s="156"/>
      <c r="N612" s="157"/>
    </row>
    <row r="613" spans="1:14" ht="24" customHeight="1" thickBot="1" x14ac:dyDescent="0.4">
      <c r="A613" s="152"/>
      <c r="B613" s="153"/>
      <c r="C613" s="153"/>
      <c r="D613" s="153"/>
      <c r="E613" s="156"/>
      <c r="F613" s="155"/>
      <c r="G613" s="156"/>
      <c r="H613" s="155"/>
      <c r="I613" s="156"/>
      <c r="J613" s="155"/>
      <c r="K613" s="156"/>
      <c r="L613" s="155"/>
      <c r="M613" s="156"/>
      <c r="N613" s="157"/>
    </row>
    <row r="614" spans="1:14" ht="24" customHeight="1" thickBot="1" x14ac:dyDescent="0.4">
      <c r="A614" s="152"/>
      <c r="B614" s="153"/>
      <c r="C614" s="153"/>
      <c r="D614" s="153"/>
      <c r="E614" s="156"/>
      <c r="F614" s="155"/>
      <c r="G614" s="156"/>
      <c r="H614" s="155"/>
      <c r="I614" s="156"/>
      <c r="J614" s="155"/>
      <c r="K614" s="156"/>
      <c r="L614" s="155"/>
      <c r="M614" s="156"/>
      <c r="N614" s="157"/>
    </row>
    <row r="615" spans="1:14" ht="24" customHeight="1" thickBot="1" x14ac:dyDescent="0.4">
      <c r="A615" s="152"/>
      <c r="B615" s="153"/>
      <c r="C615" s="153"/>
      <c r="D615" s="153"/>
      <c r="E615" s="156"/>
      <c r="F615" s="155"/>
      <c r="G615" s="156"/>
      <c r="H615" s="155"/>
      <c r="I615" s="156"/>
      <c r="J615" s="155"/>
      <c r="K615" s="156"/>
      <c r="L615" s="155"/>
      <c r="M615" s="156"/>
      <c r="N615" s="157"/>
    </row>
    <row r="616" spans="1:14" ht="24" customHeight="1" thickBot="1" x14ac:dyDescent="0.4">
      <c r="A616" s="152"/>
      <c r="B616" s="153"/>
      <c r="C616" s="153"/>
      <c r="D616" s="153"/>
      <c r="E616" s="156"/>
      <c r="F616" s="155"/>
      <c r="G616" s="156"/>
      <c r="H616" s="155"/>
      <c r="I616" s="156"/>
      <c r="J616" s="155"/>
      <c r="K616" s="156"/>
      <c r="L616" s="155"/>
      <c r="M616" s="156"/>
      <c r="N616" s="157"/>
    </row>
    <row r="617" spans="1:14" ht="24" customHeight="1" thickBot="1" x14ac:dyDescent="0.4">
      <c r="A617" s="152"/>
      <c r="B617" s="153"/>
      <c r="C617" s="153"/>
      <c r="D617" s="153"/>
      <c r="E617" s="156"/>
      <c r="F617" s="155"/>
      <c r="G617" s="156"/>
      <c r="H617" s="155"/>
      <c r="I617" s="156"/>
      <c r="J617" s="155"/>
      <c r="K617" s="156"/>
      <c r="L617" s="155"/>
      <c r="M617" s="156"/>
      <c r="N617" s="157"/>
    </row>
    <row r="618" spans="1:14" ht="24" customHeight="1" thickBot="1" x14ac:dyDescent="0.4">
      <c r="A618" s="152"/>
      <c r="B618" s="153"/>
      <c r="C618" s="153"/>
      <c r="D618" s="153"/>
      <c r="E618" s="156"/>
      <c r="F618" s="155"/>
      <c r="G618" s="156"/>
      <c r="H618" s="155"/>
      <c r="I618" s="156"/>
      <c r="J618" s="155"/>
      <c r="K618" s="156"/>
      <c r="L618" s="155"/>
      <c r="M618" s="156"/>
      <c r="N618" s="157"/>
    </row>
    <row r="619" spans="1:14" ht="24" customHeight="1" thickBot="1" x14ac:dyDescent="0.4">
      <c r="A619" s="152"/>
      <c r="B619" s="153"/>
      <c r="C619" s="153"/>
      <c r="D619" s="153"/>
      <c r="E619" s="156"/>
      <c r="F619" s="155"/>
      <c r="G619" s="156"/>
      <c r="H619" s="155"/>
      <c r="I619" s="156"/>
      <c r="J619" s="155"/>
      <c r="K619" s="156"/>
      <c r="L619" s="155"/>
      <c r="M619" s="156"/>
      <c r="N619" s="157"/>
    </row>
    <row r="620" spans="1:14" ht="24" customHeight="1" thickBot="1" x14ac:dyDescent="0.4">
      <c r="A620" s="152"/>
      <c r="B620" s="153"/>
      <c r="C620" s="153"/>
      <c r="D620" s="153"/>
      <c r="E620" s="156"/>
      <c r="F620" s="155"/>
      <c r="G620" s="156"/>
      <c r="H620" s="155"/>
      <c r="I620" s="156"/>
      <c r="J620" s="155"/>
      <c r="K620" s="156"/>
      <c r="L620" s="155"/>
      <c r="M620" s="156"/>
      <c r="N620" s="157"/>
    </row>
    <row r="621" spans="1:14" ht="24" customHeight="1" thickBot="1" x14ac:dyDescent="0.4">
      <c r="A621" s="152"/>
      <c r="B621" s="153"/>
      <c r="C621" s="153"/>
      <c r="D621" s="153"/>
      <c r="E621" s="156"/>
      <c r="F621" s="155"/>
      <c r="G621" s="156"/>
      <c r="H621" s="155"/>
      <c r="I621" s="156"/>
      <c r="J621" s="155"/>
      <c r="K621" s="156"/>
      <c r="L621" s="155"/>
      <c r="M621" s="156"/>
      <c r="N621" s="157"/>
    </row>
    <row r="622" spans="1:14" ht="24" customHeight="1" thickBot="1" x14ac:dyDescent="0.4">
      <c r="A622" s="152"/>
      <c r="B622" s="153"/>
      <c r="C622" s="153"/>
      <c r="D622" s="153"/>
      <c r="E622" s="156"/>
      <c r="F622" s="155"/>
      <c r="G622" s="156"/>
      <c r="H622" s="155"/>
      <c r="I622" s="156"/>
      <c r="J622" s="155"/>
      <c r="K622" s="156"/>
      <c r="L622" s="155"/>
      <c r="M622" s="156"/>
      <c r="N622" s="157"/>
    </row>
    <row r="623" spans="1:14" ht="24" customHeight="1" thickBot="1" x14ac:dyDescent="0.4">
      <c r="A623" s="152"/>
      <c r="B623" s="153"/>
      <c r="C623" s="153"/>
      <c r="D623" s="153"/>
      <c r="E623" s="156"/>
      <c r="F623" s="155"/>
      <c r="G623" s="156"/>
      <c r="H623" s="155"/>
      <c r="I623" s="156"/>
      <c r="J623" s="155"/>
      <c r="K623" s="156"/>
      <c r="L623" s="155"/>
      <c r="M623" s="156"/>
      <c r="N623" s="157"/>
    </row>
    <row r="624" spans="1:14" ht="24" customHeight="1" thickBot="1" x14ac:dyDescent="0.4">
      <c r="A624" s="152"/>
      <c r="B624" s="153"/>
      <c r="C624" s="153"/>
      <c r="D624" s="153"/>
      <c r="E624" s="156"/>
      <c r="F624" s="155"/>
      <c r="G624" s="156"/>
      <c r="H624" s="155"/>
      <c r="I624" s="156"/>
      <c r="J624" s="155"/>
      <c r="K624" s="156"/>
      <c r="L624" s="155"/>
      <c r="M624" s="156"/>
      <c r="N624" s="157"/>
    </row>
    <row r="625" spans="1:14" ht="24" customHeight="1" thickBot="1" x14ac:dyDescent="0.4">
      <c r="A625" s="152"/>
      <c r="B625" s="153"/>
      <c r="C625" s="153"/>
      <c r="D625" s="153"/>
      <c r="E625" s="156"/>
      <c r="F625" s="155"/>
      <c r="G625" s="156"/>
      <c r="H625" s="155"/>
      <c r="I625" s="156"/>
      <c r="J625" s="155"/>
      <c r="K625" s="156"/>
      <c r="L625" s="155"/>
      <c r="M625" s="156"/>
      <c r="N625" s="157"/>
    </row>
    <row r="626" spans="1:14" ht="24" customHeight="1" thickBot="1" x14ac:dyDescent="0.4">
      <c r="A626" s="152"/>
      <c r="B626" s="153"/>
      <c r="C626" s="153"/>
      <c r="D626" s="153"/>
      <c r="E626" s="156"/>
      <c r="F626" s="155"/>
      <c r="G626" s="156"/>
      <c r="H626" s="155"/>
      <c r="I626" s="156"/>
      <c r="J626" s="155"/>
      <c r="K626" s="156"/>
      <c r="L626" s="155"/>
      <c r="M626" s="156"/>
      <c r="N626" s="157"/>
    </row>
    <row r="627" spans="1:14" ht="24" customHeight="1" thickBot="1" x14ac:dyDescent="0.4">
      <c r="A627" s="152"/>
      <c r="B627" s="153"/>
      <c r="C627" s="153"/>
      <c r="D627" s="153"/>
      <c r="E627" s="156"/>
      <c r="F627" s="155"/>
      <c r="G627" s="156"/>
      <c r="H627" s="155"/>
      <c r="I627" s="156"/>
      <c r="J627" s="155"/>
      <c r="K627" s="156"/>
      <c r="L627" s="155"/>
      <c r="M627" s="156"/>
      <c r="N627" s="157"/>
    </row>
    <row r="628" spans="1:14" ht="24" customHeight="1" thickBot="1" x14ac:dyDescent="0.4">
      <c r="A628" s="152"/>
      <c r="B628" s="153"/>
      <c r="C628" s="153"/>
      <c r="D628" s="153"/>
      <c r="E628" s="156"/>
      <c r="F628" s="155"/>
      <c r="G628" s="156"/>
      <c r="H628" s="155"/>
      <c r="I628" s="156"/>
      <c r="J628" s="155"/>
      <c r="K628" s="156"/>
      <c r="L628" s="155"/>
      <c r="M628" s="156"/>
      <c r="N628" s="157"/>
    </row>
    <row r="629" spans="1:14" ht="24" customHeight="1" thickBot="1" x14ac:dyDescent="0.4">
      <c r="A629" s="152"/>
      <c r="B629" s="153"/>
      <c r="C629" s="153"/>
      <c r="D629" s="153"/>
      <c r="E629" s="156"/>
      <c r="F629" s="155"/>
      <c r="G629" s="156"/>
      <c r="H629" s="155"/>
      <c r="I629" s="156"/>
      <c r="J629" s="155"/>
      <c r="K629" s="156"/>
      <c r="L629" s="155"/>
      <c r="M629" s="156"/>
      <c r="N629" s="157"/>
    </row>
    <row r="630" spans="1:14" ht="24" customHeight="1" thickBot="1" x14ac:dyDescent="0.4">
      <c r="A630" s="152"/>
      <c r="B630" s="153"/>
      <c r="C630" s="153"/>
      <c r="D630" s="153"/>
      <c r="E630" s="156"/>
      <c r="F630" s="155"/>
      <c r="G630" s="156"/>
      <c r="H630" s="155"/>
      <c r="I630" s="156"/>
      <c r="J630" s="155"/>
      <c r="K630" s="156"/>
      <c r="L630" s="155"/>
      <c r="M630" s="156"/>
      <c r="N630" s="157"/>
    </row>
    <row r="631" spans="1:14" ht="24" customHeight="1" thickBot="1" x14ac:dyDescent="0.4">
      <c r="A631" s="152"/>
      <c r="B631" s="153"/>
      <c r="C631" s="153"/>
      <c r="D631" s="153"/>
      <c r="E631" s="156"/>
      <c r="F631" s="155"/>
      <c r="G631" s="156"/>
      <c r="H631" s="155"/>
      <c r="I631" s="156"/>
      <c r="J631" s="155"/>
      <c r="K631" s="156"/>
      <c r="L631" s="155"/>
      <c r="M631" s="156"/>
      <c r="N631" s="157"/>
    </row>
    <row r="632" spans="1:14" ht="24" customHeight="1" thickBot="1" x14ac:dyDescent="0.4">
      <c r="A632" s="152"/>
      <c r="B632" s="153"/>
      <c r="C632" s="153"/>
      <c r="D632" s="153"/>
      <c r="E632" s="156"/>
      <c r="F632" s="155"/>
      <c r="G632" s="156"/>
      <c r="H632" s="155"/>
      <c r="I632" s="156"/>
      <c r="J632" s="155"/>
      <c r="K632" s="156"/>
      <c r="L632" s="155"/>
      <c r="M632" s="156"/>
      <c r="N632" s="157"/>
    </row>
    <row r="633" spans="1:14" ht="24" customHeight="1" thickBot="1" x14ac:dyDescent="0.4">
      <c r="A633" s="152"/>
      <c r="B633" s="153"/>
      <c r="C633" s="153"/>
      <c r="D633" s="153"/>
      <c r="E633" s="156"/>
      <c r="F633" s="155"/>
      <c r="G633" s="156"/>
      <c r="H633" s="155"/>
      <c r="I633" s="156"/>
      <c r="J633" s="155"/>
      <c r="K633" s="156"/>
      <c r="L633" s="155"/>
      <c r="M633" s="156"/>
      <c r="N633" s="157"/>
    </row>
    <row r="634" spans="1:14" ht="24" customHeight="1" thickBot="1" x14ac:dyDescent="0.4">
      <c r="A634" s="152"/>
      <c r="B634" s="153"/>
      <c r="C634" s="153"/>
      <c r="D634" s="153"/>
      <c r="E634" s="156"/>
      <c r="F634" s="155"/>
      <c r="G634" s="156"/>
      <c r="H634" s="155"/>
      <c r="I634" s="156"/>
      <c r="J634" s="155"/>
      <c r="K634" s="156"/>
      <c r="L634" s="155"/>
      <c r="M634" s="156"/>
      <c r="N634" s="157"/>
    </row>
    <row r="635" spans="1:14" ht="24" customHeight="1" thickBot="1" x14ac:dyDescent="0.4">
      <c r="A635" s="152"/>
      <c r="B635" s="153"/>
      <c r="C635" s="153"/>
      <c r="D635" s="153"/>
      <c r="E635" s="156"/>
      <c r="F635" s="155"/>
      <c r="G635" s="156"/>
      <c r="H635" s="155"/>
      <c r="I635" s="156"/>
      <c r="J635" s="155"/>
      <c r="K635" s="156"/>
      <c r="L635" s="155"/>
      <c r="M635" s="156"/>
      <c r="N635" s="157"/>
    </row>
    <row r="636" spans="1:14" ht="24" customHeight="1" thickBot="1" x14ac:dyDescent="0.4">
      <c r="A636" s="152"/>
      <c r="B636" s="153"/>
      <c r="C636" s="153"/>
      <c r="D636" s="153"/>
      <c r="E636" s="156"/>
      <c r="F636" s="155"/>
      <c r="G636" s="156"/>
      <c r="H636" s="155"/>
      <c r="I636" s="156"/>
      <c r="J636" s="155"/>
      <c r="K636" s="156"/>
      <c r="L636" s="155"/>
      <c r="M636" s="156"/>
      <c r="N636" s="157"/>
    </row>
    <row r="637" spans="1:14" ht="24" customHeight="1" thickBot="1" x14ac:dyDescent="0.4">
      <c r="A637" s="152"/>
      <c r="B637" s="153"/>
      <c r="C637" s="153"/>
      <c r="D637" s="153"/>
      <c r="E637" s="156"/>
      <c r="F637" s="155"/>
      <c r="G637" s="156"/>
      <c r="H637" s="155"/>
      <c r="I637" s="156"/>
      <c r="J637" s="155"/>
      <c r="K637" s="156"/>
      <c r="L637" s="155"/>
      <c r="M637" s="156"/>
      <c r="N637" s="157"/>
    </row>
    <row r="638" spans="1:14" ht="24" customHeight="1" thickBot="1" x14ac:dyDescent="0.4">
      <c r="A638" s="152"/>
      <c r="B638" s="153"/>
      <c r="C638" s="153"/>
      <c r="D638" s="153"/>
      <c r="E638" s="156"/>
      <c r="F638" s="155"/>
      <c r="G638" s="156"/>
      <c r="H638" s="155"/>
      <c r="I638" s="156"/>
      <c r="J638" s="155"/>
      <c r="K638" s="156"/>
      <c r="L638" s="155"/>
      <c r="M638" s="156"/>
      <c r="N638" s="157"/>
    </row>
    <row r="639" spans="1:14" ht="24" customHeight="1" thickBot="1" x14ac:dyDescent="0.4">
      <c r="A639" s="152"/>
      <c r="B639" s="153"/>
      <c r="C639" s="153"/>
      <c r="D639" s="153"/>
      <c r="E639" s="156"/>
      <c r="F639" s="155"/>
      <c r="G639" s="156"/>
      <c r="H639" s="155"/>
      <c r="I639" s="156"/>
      <c r="J639" s="155"/>
      <c r="K639" s="156"/>
      <c r="L639" s="155"/>
      <c r="M639" s="156"/>
      <c r="N639" s="157"/>
    </row>
    <row r="640" spans="1:14" ht="24" customHeight="1" thickBot="1" x14ac:dyDescent="0.4">
      <c r="A640" s="152"/>
      <c r="B640" s="153"/>
      <c r="C640" s="153"/>
      <c r="D640" s="153"/>
      <c r="E640" s="156"/>
      <c r="F640" s="155"/>
      <c r="G640" s="156"/>
      <c r="H640" s="155"/>
      <c r="I640" s="156"/>
      <c r="J640" s="155"/>
      <c r="K640" s="156"/>
      <c r="L640" s="155"/>
      <c r="M640" s="156"/>
      <c r="N640" s="157"/>
    </row>
    <row r="641" spans="1:14" ht="24" customHeight="1" thickBot="1" x14ac:dyDescent="0.4">
      <c r="A641" s="152"/>
      <c r="B641" s="153"/>
      <c r="C641" s="153"/>
      <c r="D641" s="153"/>
      <c r="E641" s="156"/>
      <c r="F641" s="155"/>
      <c r="G641" s="156"/>
      <c r="H641" s="155"/>
      <c r="I641" s="156"/>
      <c r="J641" s="155"/>
      <c r="K641" s="156"/>
      <c r="L641" s="155"/>
      <c r="M641" s="156"/>
      <c r="N641" s="157"/>
    </row>
    <row r="642" spans="1:14" ht="24" customHeight="1" thickBot="1" x14ac:dyDescent="0.4">
      <c r="A642" s="152"/>
      <c r="B642" s="153"/>
      <c r="C642" s="153"/>
      <c r="D642" s="153"/>
      <c r="E642" s="156"/>
      <c r="F642" s="155"/>
      <c r="G642" s="156"/>
      <c r="H642" s="155"/>
      <c r="I642" s="156"/>
      <c r="J642" s="155"/>
      <c r="K642" s="156"/>
      <c r="L642" s="155"/>
      <c r="M642" s="156"/>
      <c r="N642" s="157"/>
    </row>
    <row r="643" spans="1:14" ht="24" customHeight="1" thickBot="1" x14ac:dyDescent="0.4">
      <c r="A643" s="152"/>
      <c r="B643" s="153"/>
      <c r="C643" s="153"/>
      <c r="D643" s="153"/>
      <c r="E643" s="156"/>
      <c r="F643" s="155"/>
      <c r="G643" s="156"/>
      <c r="H643" s="155"/>
      <c r="I643" s="156"/>
      <c r="J643" s="155"/>
      <c r="K643" s="156"/>
      <c r="L643" s="155"/>
      <c r="M643" s="156"/>
      <c r="N643" s="157"/>
    </row>
    <row r="644" spans="1:14" ht="24" customHeight="1" thickBot="1" x14ac:dyDescent="0.4">
      <c r="A644" s="152"/>
      <c r="B644" s="153"/>
      <c r="C644" s="153"/>
      <c r="D644" s="153"/>
      <c r="E644" s="156"/>
      <c r="F644" s="155"/>
      <c r="G644" s="156"/>
      <c r="H644" s="155"/>
      <c r="I644" s="156"/>
      <c r="J644" s="155"/>
      <c r="K644" s="156"/>
      <c r="L644" s="155"/>
      <c r="M644" s="156"/>
      <c r="N644" s="157"/>
    </row>
    <row r="645" spans="1:14" ht="24" customHeight="1" thickBot="1" x14ac:dyDescent="0.4">
      <c r="A645" s="152"/>
      <c r="B645" s="153"/>
      <c r="C645" s="153"/>
      <c r="D645" s="153"/>
      <c r="E645" s="156"/>
      <c r="F645" s="155"/>
      <c r="G645" s="156"/>
      <c r="H645" s="155"/>
      <c r="I645" s="156"/>
      <c r="J645" s="155"/>
      <c r="K645" s="156"/>
      <c r="L645" s="155"/>
      <c r="M645" s="156"/>
      <c r="N645" s="157"/>
    </row>
    <row r="646" spans="1:14" ht="24" customHeight="1" thickBot="1" x14ac:dyDescent="0.4">
      <c r="A646" s="152"/>
      <c r="B646" s="153"/>
      <c r="C646" s="153"/>
      <c r="D646" s="153"/>
      <c r="E646" s="156"/>
      <c r="F646" s="155"/>
      <c r="G646" s="156"/>
      <c r="H646" s="155"/>
      <c r="I646" s="156"/>
      <c r="J646" s="155"/>
      <c r="K646" s="156"/>
      <c r="L646" s="155"/>
      <c r="M646" s="156"/>
      <c r="N646" s="157"/>
    </row>
    <row r="647" spans="1:14" ht="24" customHeight="1" thickBot="1" x14ac:dyDescent="0.4">
      <c r="A647" s="152"/>
      <c r="B647" s="153"/>
      <c r="C647" s="153"/>
      <c r="D647" s="153"/>
      <c r="E647" s="156"/>
      <c r="F647" s="155"/>
      <c r="G647" s="156"/>
      <c r="H647" s="155"/>
      <c r="I647" s="156"/>
      <c r="J647" s="155"/>
      <c r="K647" s="156"/>
      <c r="L647" s="155"/>
      <c r="M647" s="156"/>
      <c r="N647" s="157"/>
    </row>
    <row r="648" spans="1:14" ht="24" customHeight="1" thickBot="1" x14ac:dyDescent="0.4">
      <c r="A648" s="152"/>
      <c r="B648" s="153"/>
      <c r="C648" s="153"/>
      <c r="D648" s="153"/>
      <c r="E648" s="156"/>
      <c r="F648" s="155"/>
      <c r="G648" s="156"/>
      <c r="H648" s="155"/>
      <c r="I648" s="156"/>
      <c r="J648" s="155"/>
      <c r="K648" s="156"/>
      <c r="L648" s="155"/>
      <c r="M648" s="156"/>
      <c r="N648" s="157"/>
    </row>
    <row r="649" spans="1:14" ht="24" customHeight="1" thickBot="1" x14ac:dyDescent="0.4">
      <c r="A649" s="152"/>
      <c r="B649" s="153"/>
      <c r="C649" s="153"/>
      <c r="D649" s="153"/>
      <c r="E649" s="156"/>
      <c r="F649" s="155"/>
      <c r="G649" s="156"/>
      <c r="H649" s="155"/>
      <c r="I649" s="156"/>
      <c r="J649" s="155"/>
      <c r="K649" s="156"/>
      <c r="L649" s="155"/>
      <c r="M649" s="156"/>
      <c r="N649" s="157"/>
    </row>
    <row r="650" spans="1:14" ht="24" customHeight="1" thickBot="1" x14ac:dyDescent="0.4">
      <c r="A650" s="152"/>
      <c r="B650" s="153"/>
      <c r="C650" s="153"/>
      <c r="D650" s="153"/>
      <c r="E650" s="156"/>
      <c r="F650" s="155"/>
      <c r="G650" s="156"/>
      <c r="H650" s="155"/>
      <c r="I650" s="156"/>
      <c r="J650" s="155"/>
      <c r="K650" s="156"/>
      <c r="L650" s="155"/>
      <c r="M650" s="156"/>
      <c r="N650" s="157"/>
    </row>
    <row r="651" spans="1:14" ht="24" customHeight="1" thickBot="1" x14ac:dyDescent="0.4">
      <c r="A651" s="152"/>
      <c r="B651" s="153"/>
      <c r="C651" s="153"/>
      <c r="D651" s="153"/>
      <c r="E651" s="156"/>
      <c r="F651" s="155"/>
      <c r="G651" s="156"/>
      <c r="H651" s="155"/>
      <c r="I651" s="156"/>
      <c r="J651" s="155"/>
      <c r="K651" s="156"/>
      <c r="L651" s="155"/>
      <c r="M651" s="156"/>
      <c r="N651" s="157"/>
    </row>
    <row r="652" spans="1:14" ht="24" customHeight="1" thickBot="1" x14ac:dyDescent="0.4">
      <c r="A652" s="152"/>
      <c r="B652" s="153"/>
      <c r="C652" s="153"/>
      <c r="D652" s="153"/>
      <c r="E652" s="156"/>
      <c r="F652" s="155"/>
      <c r="G652" s="156"/>
      <c r="H652" s="155"/>
      <c r="I652" s="156"/>
      <c r="J652" s="155"/>
      <c r="K652" s="156"/>
      <c r="L652" s="155"/>
      <c r="M652" s="156"/>
      <c r="N652" s="157"/>
    </row>
    <row r="653" spans="1:14" ht="24" customHeight="1" thickBot="1" x14ac:dyDescent="0.4">
      <c r="A653" s="152"/>
      <c r="B653" s="153"/>
      <c r="C653" s="153"/>
      <c r="D653" s="153"/>
      <c r="E653" s="156"/>
      <c r="F653" s="155"/>
      <c r="G653" s="156"/>
      <c r="H653" s="155"/>
      <c r="I653" s="156"/>
      <c r="J653" s="155"/>
      <c r="K653" s="156"/>
      <c r="L653" s="155"/>
      <c r="M653" s="156"/>
      <c r="N653" s="157"/>
    </row>
    <row r="654" spans="1:14" ht="24" customHeight="1" thickBot="1" x14ac:dyDescent="0.4">
      <c r="A654" s="152"/>
      <c r="B654" s="153"/>
      <c r="C654" s="153"/>
      <c r="D654" s="153"/>
      <c r="E654" s="156"/>
      <c r="F654" s="155"/>
      <c r="G654" s="156"/>
      <c r="H654" s="155"/>
      <c r="I654" s="156"/>
      <c r="J654" s="155"/>
      <c r="K654" s="156"/>
      <c r="L654" s="155"/>
      <c r="M654" s="156"/>
      <c r="N654" s="157"/>
    </row>
    <row r="655" spans="1:14" ht="24" customHeight="1" thickBot="1" x14ac:dyDescent="0.4">
      <c r="A655" s="152"/>
      <c r="B655" s="153"/>
      <c r="C655" s="153"/>
      <c r="D655" s="153"/>
      <c r="E655" s="156"/>
      <c r="F655" s="155"/>
      <c r="G655" s="156"/>
      <c r="H655" s="155"/>
      <c r="I655" s="156"/>
      <c r="J655" s="155"/>
      <c r="K655" s="156"/>
      <c r="L655" s="155"/>
      <c r="M655" s="156"/>
      <c r="N655" s="157"/>
    </row>
    <row r="656" spans="1:14" ht="24" customHeight="1" thickBot="1" x14ac:dyDescent="0.4">
      <c r="A656" s="152"/>
      <c r="B656" s="153"/>
      <c r="C656" s="153"/>
      <c r="D656" s="153"/>
      <c r="E656" s="156"/>
      <c r="F656" s="155"/>
      <c r="G656" s="156"/>
      <c r="H656" s="155"/>
      <c r="I656" s="156"/>
      <c r="J656" s="155"/>
      <c r="K656" s="156"/>
      <c r="L656" s="155"/>
      <c r="M656" s="156"/>
      <c r="N656" s="157"/>
    </row>
    <row r="657" spans="1:14" ht="24" customHeight="1" thickBot="1" x14ac:dyDescent="0.4">
      <c r="A657" s="152"/>
      <c r="B657" s="153"/>
      <c r="C657" s="153"/>
      <c r="D657" s="153"/>
      <c r="E657" s="156"/>
      <c r="F657" s="155"/>
      <c r="G657" s="156"/>
      <c r="H657" s="155"/>
      <c r="I657" s="156"/>
      <c r="J657" s="155"/>
      <c r="K657" s="156"/>
      <c r="L657" s="155"/>
      <c r="M657" s="156"/>
      <c r="N657" s="157"/>
    </row>
    <row r="658" spans="1:14" ht="24" customHeight="1" thickBot="1" x14ac:dyDescent="0.4">
      <c r="A658" s="152"/>
      <c r="B658" s="153"/>
      <c r="C658" s="153"/>
      <c r="D658" s="153"/>
      <c r="E658" s="156"/>
      <c r="F658" s="155"/>
      <c r="G658" s="156"/>
      <c r="H658" s="155"/>
      <c r="I658" s="156"/>
      <c r="J658" s="155"/>
      <c r="K658" s="156"/>
      <c r="L658" s="155"/>
      <c r="M658" s="156"/>
      <c r="N658" s="157"/>
    </row>
    <row r="659" spans="1:14" ht="24" customHeight="1" thickBot="1" x14ac:dyDescent="0.4">
      <c r="A659" s="152"/>
      <c r="B659" s="153"/>
      <c r="C659" s="153"/>
      <c r="D659" s="153"/>
      <c r="E659" s="156"/>
      <c r="F659" s="155"/>
      <c r="G659" s="156"/>
      <c r="H659" s="155"/>
      <c r="I659" s="156"/>
      <c r="J659" s="155"/>
      <c r="K659" s="156"/>
      <c r="L659" s="155"/>
      <c r="M659" s="156"/>
      <c r="N659" s="157"/>
    </row>
    <row r="660" spans="1:14" ht="24" customHeight="1" thickBot="1" x14ac:dyDescent="0.4">
      <c r="A660" s="152"/>
      <c r="B660" s="153"/>
      <c r="C660" s="153"/>
      <c r="D660" s="153"/>
      <c r="E660" s="156"/>
      <c r="F660" s="155"/>
      <c r="G660" s="156"/>
      <c r="H660" s="155"/>
      <c r="I660" s="156"/>
      <c r="J660" s="155"/>
      <c r="K660" s="156"/>
      <c r="L660" s="155"/>
      <c r="M660" s="156"/>
      <c r="N660" s="157"/>
    </row>
    <row r="661" spans="1:14" ht="24" customHeight="1" thickBot="1" x14ac:dyDescent="0.4">
      <c r="A661" s="152"/>
      <c r="B661" s="153"/>
      <c r="C661" s="153"/>
      <c r="D661" s="153"/>
      <c r="E661" s="156"/>
      <c r="F661" s="155"/>
      <c r="G661" s="156"/>
      <c r="H661" s="155"/>
      <c r="I661" s="156"/>
      <c r="J661" s="155"/>
      <c r="K661" s="156"/>
      <c r="L661" s="155"/>
      <c r="M661" s="156"/>
      <c r="N661" s="157"/>
    </row>
    <row r="662" spans="1:14" ht="24" customHeight="1" thickBot="1" x14ac:dyDescent="0.4">
      <c r="A662" s="152"/>
      <c r="B662" s="153"/>
      <c r="C662" s="153"/>
      <c r="D662" s="153"/>
      <c r="E662" s="156"/>
      <c r="F662" s="155"/>
      <c r="G662" s="156"/>
      <c r="H662" s="155"/>
      <c r="I662" s="156"/>
      <c r="J662" s="155"/>
      <c r="K662" s="156"/>
      <c r="L662" s="155"/>
      <c r="M662" s="156"/>
      <c r="N662" s="157"/>
    </row>
    <row r="663" spans="1:14" ht="24" customHeight="1" thickBot="1" x14ac:dyDescent="0.4">
      <c r="A663" s="152"/>
      <c r="B663" s="153"/>
      <c r="C663" s="153"/>
      <c r="D663" s="153"/>
      <c r="E663" s="156"/>
      <c r="F663" s="155"/>
      <c r="G663" s="156"/>
      <c r="H663" s="155"/>
      <c r="I663" s="156"/>
      <c r="J663" s="155"/>
      <c r="K663" s="156"/>
      <c r="L663" s="155"/>
      <c r="M663" s="156"/>
      <c r="N663" s="157"/>
    </row>
    <row r="664" spans="1:14" ht="24" customHeight="1" thickBot="1" x14ac:dyDescent="0.4">
      <c r="A664" s="152"/>
      <c r="B664" s="153"/>
      <c r="C664" s="153"/>
      <c r="D664" s="153"/>
      <c r="E664" s="156"/>
      <c r="F664" s="155"/>
      <c r="G664" s="156"/>
      <c r="H664" s="155"/>
      <c r="I664" s="156"/>
      <c r="J664" s="155"/>
      <c r="K664" s="156"/>
      <c r="L664" s="155"/>
      <c r="M664" s="156"/>
      <c r="N664" s="157"/>
    </row>
    <row r="665" spans="1:14" ht="24" customHeight="1" thickBot="1" x14ac:dyDescent="0.4">
      <c r="A665" s="152"/>
      <c r="B665" s="153"/>
      <c r="C665" s="153"/>
      <c r="D665" s="153"/>
      <c r="E665" s="156"/>
      <c r="F665" s="155"/>
      <c r="G665" s="156"/>
      <c r="H665" s="155"/>
      <c r="I665" s="156"/>
      <c r="J665" s="155"/>
      <c r="K665" s="156"/>
      <c r="L665" s="155"/>
      <c r="M665" s="156"/>
      <c r="N665" s="157"/>
    </row>
    <row r="666" spans="1:14" ht="24" customHeight="1" thickBot="1" x14ac:dyDescent="0.4">
      <c r="A666" s="152"/>
      <c r="B666" s="153"/>
      <c r="C666" s="153"/>
      <c r="D666" s="153"/>
      <c r="E666" s="156"/>
      <c r="F666" s="155"/>
      <c r="G666" s="156"/>
      <c r="H666" s="155"/>
      <c r="I666" s="156"/>
      <c r="J666" s="155"/>
      <c r="K666" s="156"/>
      <c r="L666" s="155"/>
      <c r="M666" s="156"/>
      <c r="N666" s="157"/>
    </row>
    <row r="667" spans="1:14" ht="24" customHeight="1" thickBot="1" x14ac:dyDescent="0.4">
      <c r="A667" s="152"/>
      <c r="B667" s="153"/>
      <c r="C667" s="153"/>
      <c r="D667" s="153"/>
      <c r="E667" s="156"/>
      <c r="F667" s="155"/>
      <c r="G667" s="156"/>
      <c r="H667" s="155"/>
      <c r="I667" s="156"/>
      <c r="J667" s="155"/>
      <c r="K667" s="156"/>
      <c r="L667" s="155"/>
      <c r="M667" s="156"/>
      <c r="N667" s="157"/>
    </row>
    <row r="668" spans="1:14" ht="24" customHeight="1" thickBot="1" x14ac:dyDescent="0.4">
      <c r="A668" s="152"/>
      <c r="B668" s="153"/>
      <c r="C668" s="153"/>
      <c r="D668" s="153"/>
      <c r="E668" s="156"/>
      <c r="F668" s="155"/>
      <c r="G668" s="156"/>
      <c r="H668" s="155"/>
      <c r="I668" s="156"/>
      <c r="J668" s="155"/>
      <c r="K668" s="156"/>
      <c r="L668" s="155"/>
      <c r="M668" s="156"/>
      <c r="N668" s="157"/>
    </row>
    <row r="669" spans="1:14" ht="24" customHeight="1" thickBot="1" x14ac:dyDescent="0.4">
      <c r="A669" s="152"/>
      <c r="B669" s="153"/>
      <c r="C669" s="153"/>
      <c r="D669" s="153"/>
      <c r="E669" s="156"/>
      <c r="F669" s="155"/>
      <c r="G669" s="156"/>
      <c r="H669" s="155"/>
      <c r="I669" s="156"/>
      <c r="J669" s="155"/>
      <c r="K669" s="156"/>
      <c r="L669" s="155"/>
      <c r="M669" s="156"/>
      <c r="N669" s="157"/>
    </row>
    <row r="670" spans="1:14" ht="24" customHeight="1" thickBot="1" x14ac:dyDescent="0.4">
      <c r="A670" s="152"/>
      <c r="B670" s="153"/>
      <c r="C670" s="153"/>
      <c r="D670" s="153"/>
      <c r="E670" s="156"/>
      <c r="F670" s="155"/>
      <c r="G670" s="156"/>
      <c r="H670" s="155"/>
      <c r="I670" s="156"/>
      <c r="J670" s="155"/>
      <c r="K670" s="156"/>
      <c r="L670" s="155"/>
      <c r="M670" s="156"/>
      <c r="N670" s="157"/>
    </row>
    <row r="671" spans="1:14" ht="24" customHeight="1" thickBot="1" x14ac:dyDescent="0.4">
      <c r="A671" s="152"/>
      <c r="B671" s="153"/>
      <c r="C671" s="153"/>
      <c r="D671" s="153"/>
      <c r="E671" s="156"/>
      <c r="F671" s="155"/>
      <c r="G671" s="156"/>
      <c r="H671" s="155"/>
      <c r="I671" s="156"/>
      <c r="J671" s="155"/>
      <c r="K671" s="156"/>
      <c r="L671" s="155"/>
      <c r="M671" s="156"/>
      <c r="N671" s="157"/>
    </row>
    <row r="672" spans="1:14" ht="24" customHeight="1" thickBot="1" x14ac:dyDescent="0.4">
      <c r="A672" s="152"/>
      <c r="B672" s="153"/>
      <c r="C672" s="153"/>
      <c r="D672" s="153"/>
      <c r="E672" s="156"/>
      <c r="F672" s="155"/>
      <c r="G672" s="156"/>
      <c r="H672" s="155"/>
      <c r="I672" s="156"/>
      <c r="J672" s="155"/>
      <c r="K672" s="156"/>
      <c r="L672" s="155"/>
      <c r="M672" s="156"/>
      <c r="N672" s="157"/>
    </row>
    <row r="673" spans="1:14" ht="24" customHeight="1" thickBot="1" x14ac:dyDescent="0.4">
      <c r="A673" s="152"/>
      <c r="B673" s="153"/>
      <c r="C673" s="153"/>
      <c r="D673" s="153"/>
      <c r="E673" s="156"/>
      <c r="F673" s="155"/>
      <c r="G673" s="156"/>
      <c r="H673" s="155"/>
      <c r="I673" s="156"/>
      <c r="J673" s="155"/>
      <c r="K673" s="156"/>
      <c r="L673" s="155"/>
      <c r="M673" s="156"/>
      <c r="N673" s="157"/>
    </row>
    <row r="674" spans="1:14" ht="24" customHeight="1" thickBot="1" x14ac:dyDescent="0.4">
      <c r="A674" s="152"/>
      <c r="B674" s="153"/>
      <c r="C674" s="153"/>
      <c r="D674" s="153"/>
      <c r="E674" s="156"/>
      <c r="F674" s="155"/>
      <c r="G674" s="156"/>
      <c r="H674" s="155"/>
      <c r="I674" s="156"/>
      <c r="J674" s="155"/>
      <c r="K674" s="156"/>
      <c r="L674" s="155"/>
      <c r="M674" s="156"/>
      <c r="N674" s="157"/>
    </row>
    <row r="675" spans="1:14" ht="24" customHeight="1" thickBot="1" x14ac:dyDescent="0.4">
      <c r="A675" s="152"/>
      <c r="B675" s="153"/>
      <c r="C675" s="153"/>
      <c r="D675" s="153"/>
      <c r="E675" s="156"/>
      <c r="F675" s="155"/>
      <c r="G675" s="156"/>
      <c r="H675" s="155"/>
      <c r="I675" s="156"/>
      <c r="J675" s="155"/>
      <c r="K675" s="156"/>
      <c r="L675" s="155"/>
      <c r="M675" s="156"/>
      <c r="N675" s="157"/>
    </row>
    <row r="676" spans="1:14" ht="24" customHeight="1" thickBot="1" x14ac:dyDescent="0.4">
      <c r="A676" s="152"/>
      <c r="B676" s="153"/>
      <c r="C676" s="153"/>
      <c r="D676" s="153"/>
      <c r="E676" s="156"/>
      <c r="F676" s="155"/>
      <c r="G676" s="156"/>
      <c r="H676" s="155"/>
      <c r="I676" s="156"/>
      <c r="J676" s="155"/>
      <c r="K676" s="156"/>
      <c r="L676" s="155"/>
      <c r="M676" s="156"/>
      <c r="N676" s="157"/>
    </row>
    <row r="677" spans="1:14" ht="24" customHeight="1" thickBot="1" x14ac:dyDescent="0.4">
      <c r="A677" s="152"/>
      <c r="B677" s="153"/>
      <c r="C677" s="153"/>
      <c r="D677" s="153"/>
      <c r="E677" s="156"/>
      <c r="F677" s="155"/>
      <c r="G677" s="156"/>
      <c r="H677" s="155"/>
      <c r="I677" s="156"/>
      <c r="J677" s="155"/>
      <c r="K677" s="156"/>
      <c r="L677" s="155"/>
      <c r="M677" s="156"/>
      <c r="N677" s="157"/>
    </row>
    <row r="678" spans="1:14" ht="24" customHeight="1" thickBot="1" x14ac:dyDescent="0.4">
      <c r="A678" s="152"/>
      <c r="B678" s="153"/>
      <c r="C678" s="153"/>
      <c r="D678" s="153"/>
      <c r="E678" s="156"/>
      <c r="F678" s="155"/>
      <c r="G678" s="156"/>
      <c r="H678" s="155"/>
      <c r="I678" s="156"/>
      <c r="J678" s="155"/>
      <c r="K678" s="156"/>
      <c r="L678" s="155"/>
      <c r="M678" s="156"/>
      <c r="N678" s="157"/>
    </row>
    <row r="679" spans="1:14" ht="24" customHeight="1" thickBot="1" x14ac:dyDescent="0.4">
      <c r="A679" s="152"/>
      <c r="B679" s="153"/>
      <c r="C679" s="153"/>
      <c r="D679" s="153"/>
      <c r="E679" s="156"/>
      <c r="F679" s="155"/>
      <c r="G679" s="156"/>
      <c r="H679" s="155"/>
      <c r="I679" s="156"/>
      <c r="J679" s="155"/>
      <c r="K679" s="156"/>
      <c r="L679" s="155"/>
      <c r="M679" s="156"/>
      <c r="N679" s="157"/>
    </row>
    <row r="680" spans="1:14" ht="24" customHeight="1" thickBot="1" x14ac:dyDescent="0.4">
      <c r="A680" s="152"/>
      <c r="B680" s="153"/>
      <c r="C680" s="153"/>
      <c r="D680" s="153"/>
      <c r="E680" s="156"/>
      <c r="F680" s="155"/>
      <c r="G680" s="156"/>
      <c r="H680" s="155"/>
      <c r="I680" s="156"/>
      <c r="J680" s="155"/>
      <c r="K680" s="156"/>
      <c r="L680" s="155"/>
      <c r="M680" s="156"/>
      <c r="N680" s="157"/>
    </row>
    <row r="681" spans="1:14" ht="24" customHeight="1" thickBot="1" x14ac:dyDescent="0.4">
      <c r="A681" s="152"/>
      <c r="B681" s="153"/>
      <c r="C681" s="153"/>
      <c r="D681" s="153"/>
      <c r="E681" s="156"/>
      <c r="F681" s="155"/>
      <c r="G681" s="156"/>
      <c r="H681" s="155"/>
      <c r="I681" s="156"/>
      <c r="J681" s="155"/>
      <c r="K681" s="156"/>
      <c r="L681" s="155"/>
      <c r="M681" s="156"/>
      <c r="N681" s="157"/>
    </row>
    <row r="682" spans="1:14" ht="24" customHeight="1" thickBot="1" x14ac:dyDescent="0.4">
      <c r="A682" s="152"/>
      <c r="B682" s="153"/>
      <c r="C682" s="153"/>
      <c r="D682" s="153"/>
      <c r="E682" s="156"/>
      <c r="F682" s="155"/>
      <c r="G682" s="156"/>
      <c r="H682" s="155"/>
      <c r="I682" s="156"/>
      <c r="J682" s="155"/>
      <c r="K682" s="156"/>
      <c r="L682" s="155"/>
      <c r="M682" s="156"/>
      <c r="N682" s="157"/>
    </row>
    <row r="683" spans="1:14" ht="24" customHeight="1" thickBot="1" x14ac:dyDescent="0.4">
      <c r="A683" s="152"/>
      <c r="B683" s="153"/>
      <c r="C683" s="153"/>
      <c r="D683" s="153"/>
      <c r="E683" s="156"/>
      <c r="F683" s="155"/>
      <c r="G683" s="156"/>
      <c r="H683" s="155"/>
      <c r="I683" s="156"/>
      <c r="J683" s="155"/>
      <c r="K683" s="156"/>
      <c r="L683" s="155"/>
      <c r="M683" s="156"/>
      <c r="N683" s="157"/>
    </row>
    <row r="684" spans="1:14" ht="24" customHeight="1" thickBot="1" x14ac:dyDescent="0.4">
      <c r="A684" s="152"/>
      <c r="B684" s="153"/>
      <c r="C684" s="153"/>
      <c r="D684" s="153"/>
      <c r="E684" s="156"/>
      <c r="F684" s="155"/>
      <c r="G684" s="156"/>
      <c r="H684" s="155"/>
      <c r="I684" s="156"/>
      <c r="J684" s="155"/>
      <c r="K684" s="156"/>
      <c r="L684" s="155"/>
      <c r="M684" s="156"/>
      <c r="N684" s="157"/>
    </row>
    <row r="685" spans="1:14" ht="24" customHeight="1" thickBot="1" x14ac:dyDescent="0.4">
      <c r="A685" s="152"/>
      <c r="B685" s="153"/>
      <c r="C685" s="153"/>
      <c r="D685" s="153"/>
      <c r="E685" s="156"/>
      <c r="F685" s="155"/>
      <c r="G685" s="156"/>
      <c r="H685" s="155"/>
      <c r="I685" s="156"/>
      <c r="J685" s="155"/>
      <c r="K685" s="156"/>
      <c r="L685" s="155"/>
      <c r="M685" s="156"/>
      <c r="N685" s="157"/>
    </row>
    <row r="686" spans="1:14" ht="24" customHeight="1" thickBot="1" x14ac:dyDescent="0.4">
      <c r="A686" s="152"/>
      <c r="B686" s="153"/>
      <c r="C686" s="153"/>
      <c r="D686" s="153"/>
      <c r="E686" s="156"/>
      <c r="F686" s="155"/>
      <c r="G686" s="156"/>
      <c r="H686" s="155"/>
      <c r="I686" s="156"/>
      <c r="J686" s="155"/>
      <c r="K686" s="156"/>
      <c r="L686" s="155"/>
      <c r="M686" s="156"/>
      <c r="N686" s="157"/>
    </row>
    <row r="687" spans="1:14" ht="24" customHeight="1" thickBot="1" x14ac:dyDescent="0.4">
      <c r="A687" s="152"/>
      <c r="B687" s="153"/>
      <c r="C687" s="153"/>
      <c r="D687" s="153"/>
      <c r="E687" s="156"/>
      <c r="F687" s="155"/>
      <c r="G687" s="156"/>
      <c r="H687" s="155"/>
      <c r="I687" s="156"/>
      <c r="J687" s="155"/>
      <c r="K687" s="156"/>
      <c r="L687" s="155"/>
      <c r="M687" s="156"/>
      <c r="N687" s="157"/>
    </row>
    <row r="688" spans="1:14" ht="24" customHeight="1" thickBot="1" x14ac:dyDescent="0.4">
      <c r="A688" s="152"/>
      <c r="B688" s="153"/>
      <c r="C688" s="153"/>
      <c r="D688" s="153"/>
      <c r="E688" s="156"/>
      <c r="F688" s="155"/>
      <c r="G688" s="156"/>
      <c r="H688" s="155"/>
      <c r="I688" s="156"/>
      <c r="J688" s="155"/>
      <c r="K688" s="156"/>
      <c r="L688" s="155"/>
      <c r="M688" s="156"/>
      <c r="N688" s="157"/>
    </row>
    <row r="689" spans="1:14" ht="24" customHeight="1" thickBot="1" x14ac:dyDescent="0.4">
      <c r="A689" s="152"/>
      <c r="B689" s="153"/>
      <c r="C689" s="153"/>
      <c r="D689" s="153"/>
      <c r="E689" s="156"/>
      <c r="F689" s="155"/>
      <c r="G689" s="156"/>
      <c r="H689" s="155"/>
      <c r="I689" s="156"/>
      <c r="J689" s="155"/>
      <c r="K689" s="156"/>
      <c r="L689" s="155"/>
      <c r="M689" s="156"/>
      <c r="N689" s="157"/>
    </row>
    <row r="690" spans="1:14" ht="24" customHeight="1" thickBot="1" x14ac:dyDescent="0.4">
      <c r="A690" s="152"/>
      <c r="B690" s="153"/>
      <c r="C690" s="153"/>
      <c r="D690" s="153"/>
      <c r="E690" s="156"/>
      <c r="F690" s="155"/>
      <c r="G690" s="156"/>
      <c r="H690" s="155"/>
      <c r="I690" s="156"/>
      <c r="J690" s="155"/>
      <c r="K690" s="156"/>
      <c r="L690" s="155"/>
      <c r="M690" s="156"/>
      <c r="N690" s="157"/>
    </row>
    <row r="691" spans="1:14" ht="24" customHeight="1" thickBot="1" x14ac:dyDescent="0.4">
      <c r="A691" s="152"/>
      <c r="B691" s="153"/>
      <c r="C691" s="153"/>
      <c r="D691" s="153"/>
      <c r="E691" s="156"/>
      <c r="F691" s="155"/>
      <c r="G691" s="156"/>
      <c r="H691" s="155"/>
      <c r="I691" s="156"/>
      <c r="J691" s="155"/>
      <c r="K691" s="156"/>
      <c r="L691" s="155"/>
      <c r="M691" s="156"/>
      <c r="N691" s="157"/>
    </row>
    <row r="692" spans="1:14" ht="24" customHeight="1" thickBot="1" x14ac:dyDescent="0.4">
      <c r="A692" s="152"/>
      <c r="B692" s="153"/>
      <c r="C692" s="153"/>
      <c r="D692" s="153"/>
      <c r="E692" s="156"/>
      <c r="F692" s="155"/>
      <c r="G692" s="156"/>
      <c r="H692" s="155"/>
      <c r="I692" s="156"/>
      <c r="J692" s="155"/>
      <c r="K692" s="156"/>
      <c r="L692" s="155"/>
      <c r="M692" s="156"/>
      <c r="N692" s="157"/>
    </row>
    <row r="693" spans="1:14" ht="24" customHeight="1" thickBot="1" x14ac:dyDescent="0.4">
      <c r="A693" s="152"/>
      <c r="B693" s="153"/>
      <c r="C693" s="153"/>
      <c r="D693" s="153"/>
      <c r="E693" s="156"/>
      <c r="F693" s="155"/>
      <c r="G693" s="156"/>
      <c r="H693" s="155"/>
      <c r="I693" s="156"/>
      <c r="J693" s="155"/>
      <c r="K693" s="156"/>
      <c r="L693" s="155"/>
      <c r="M693" s="156"/>
      <c r="N693" s="157"/>
    </row>
    <row r="694" spans="1:14" ht="24" customHeight="1" thickBot="1" x14ac:dyDescent="0.4">
      <c r="A694" s="152"/>
      <c r="B694" s="153"/>
      <c r="C694" s="153"/>
      <c r="D694" s="153"/>
      <c r="E694" s="156"/>
      <c r="F694" s="155"/>
      <c r="G694" s="156"/>
      <c r="H694" s="155"/>
      <c r="I694" s="156"/>
      <c r="J694" s="155"/>
      <c r="K694" s="156"/>
      <c r="L694" s="155"/>
      <c r="M694" s="156"/>
      <c r="N694" s="157"/>
    </row>
    <row r="695" spans="1:14" ht="24" customHeight="1" thickBot="1" x14ac:dyDescent="0.4">
      <c r="A695" s="152"/>
      <c r="B695" s="153"/>
      <c r="C695" s="153"/>
      <c r="D695" s="153"/>
      <c r="E695" s="156"/>
      <c r="F695" s="155"/>
      <c r="G695" s="156"/>
      <c r="H695" s="155"/>
      <c r="I695" s="156"/>
      <c r="J695" s="155"/>
      <c r="K695" s="156"/>
      <c r="L695" s="155"/>
      <c r="M695" s="156"/>
      <c r="N695" s="157"/>
    </row>
    <row r="696" spans="1:14" ht="24" customHeight="1" thickBot="1" x14ac:dyDescent="0.4">
      <c r="A696" s="152"/>
      <c r="B696" s="153"/>
      <c r="C696" s="153"/>
      <c r="D696" s="153"/>
      <c r="E696" s="156"/>
      <c r="F696" s="155"/>
      <c r="G696" s="156"/>
      <c r="H696" s="155"/>
      <c r="I696" s="156"/>
      <c r="J696" s="155"/>
      <c r="K696" s="156"/>
      <c r="L696" s="155"/>
      <c r="M696" s="156"/>
      <c r="N696" s="157"/>
    </row>
    <row r="697" spans="1:14" ht="24" customHeight="1" thickBot="1" x14ac:dyDescent="0.4">
      <c r="A697" s="152"/>
      <c r="B697" s="153"/>
      <c r="C697" s="153"/>
      <c r="D697" s="153"/>
      <c r="E697" s="156"/>
      <c r="F697" s="155"/>
      <c r="G697" s="156"/>
      <c r="H697" s="155"/>
      <c r="I697" s="156"/>
      <c r="J697" s="155"/>
      <c r="K697" s="156"/>
      <c r="L697" s="155"/>
      <c r="M697" s="156"/>
      <c r="N697" s="157"/>
    </row>
    <row r="698" spans="1:14" ht="24" customHeight="1" thickBot="1" x14ac:dyDescent="0.4">
      <c r="A698" s="152"/>
      <c r="B698" s="153"/>
      <c r="C698" s="153"/>
      <c r="D698" s="153"/>
      <c r="E698" s="156"/>
      <c r="F698" s="155"/>
      <c r="G698" s="156"/>
      <c r="H698" s="155"/>
      <c r="I698" s="156"/>
      <c r="J698" s="155"/>
      <c r="K698" s="156"/>
      <c r="L698" s="155"/>
      <c r="M698" s="156"/>
      <c r="N698" s="157"/>
    </row>
    <row r="699" spans="1:14" ht="24" customHeight="1" thickBot="1" x14ac:dyDescent="0.4">
      <c r="A699" s="152"/>
      <c r="B699" s="153"/>
      <c r="C699" s="153"/>
      <c r="D699" s="153"/>
      <c r="E699" s="156"/>
      <c r="F699" s="155"/>
      <c r="G699" s="156"/>
      <c r="H699" s="155"/>
      <c r="I699" s="156"/>
      <c r="J699" s="155"/>
      <c r="K699" s="156"/>
      <c r="L699" s="155"/>
      <c r="M699" s="156"/>
      <c r="N699" s="157"/>
    </row>
    <row r="700" spans="1:14" ht="24" customHeight="1" thickBot="1" x14ac:dyDescent="0.4">
      <c r="A700" s="152"/>
      <c r="B700" s="153"/>
      <c r="C700" s="153"/>
      <c r="D700" s="153"/>
      <c r="E700" s="156"/>
      <c r="F700" s="155"/>
      <c r="G700" s="156"/>
      <c r="H700" s="155"/>
      <c r="I700" s="156"/>
      <c r="J700" s="155"/>
      <c r="K700" s="156"/>
      <c r="L700" s="155"/>
      <c r="M700" s="156"/>
      <c r="N700" s="157"/>
    </row>
    <row r="701" spans="1:14" ht="24" customHeight="1" thickBot="1" x14ac:dyDescent="0.4">
      <c r="A701" s="152"/>
      <c r="B701" s="153"/>
      <c r="C701" s="153"/>
      <c r="D701" s="153"/>
      <c r="E701" s="156"/>
      <c r="F701" s="155"/>
      <c r="G701" s="156"/>
      <c r="H701" s="155"/>
      <c r="I701" s="156"/>
      <c r="J701" s="155"/>
      <c r="K701" s="156"/>
      <c r="L701" s="155"/>
      <c r="M701" s="156"/>
      <c r="N701" s="157"/>
    </row>
    <row r="702" spans="1:14" ht="24" customHeight="1" thickBot="1" x14ac:dyDescent="0.4">
      <c r="A702" s="152"/>
      <c r="B702" s="153"/>
      <c r="C702" s="153"/>
      <c r="D702" s="153"/>
      <c r="E702" s="156"/>
      <c r="F702" s="155"/>
      <c r="G702" s="156"/>
      <c r="H702" s="155"/>
      <c r="I702" s="156"/>
      <c r="J702" s="155"/>
      <c r="K702" s="156"/>
      <c r="L702" s="155"/>
      <c r="M702" s="156"/>
      <c r="N702" s="157"/>
    </row>
    <row r="703" spans="1:14" ht="24" customHeight="1" thickBot="1" x14ac:dyDescent="0.4">
      <c r="A703" s="152"/>
      <c r="B703" s="153"/>
      <c r="C703" s="153"/>
      <c r="D703" s="153"/>
      <c r="E703" s="156"/>
      <c r="F703" s="155"/>
      <c r="G703" s="156"/>
      <c r="H703" s="155"/>
      <c r="I703" s="156"/>
      <c r="J703" s="155"/>
      <c r="K703" s="156"/>
      <c r="L703" s="155"/>
      <c r="M703" s="156"/>
      <c r="N703" s="157"/>
    </row>
    <row r="704" spans="1:14" ht="24" customHeight="1" thickBot="1" x14ac:dyDescent="0.4">
      <c r="A704" s="152"/>
      <c r="B704" s="153"/>
      <c r="C704" s="153"/>
      <c r="D704" s="153"/>
      <c r="E704" s="156"/>
      <c r="F704" s="155"/>
      <c r="G704" s="156"/>
      <c r="H704" s="155"/>
      <c r="I704" s="156"/>
      <c r="J704" s="155"/>
      <c r="K704" s="156"/>
      <c r="L704" s="155"/>
      <c r="M704" s="156"/>
      <c r="N704" s="157"/>
    </row>
    <row r="705" spans="1:14" ht="24" customHeight="1" thickBot="1" x14ac:dyDescent="0.4">
      <c r="A705" s="152"/>
      <c r="B705" s="153"/>
      <c r="C705" s="153"/>
      <c r="D705" s="153"/>
      <c r="E705" s="156"/>
      <c r="F705" s="155"/>
      <c r="G705" s="156"/>
      <c r="H705" s="155"/>
      <c r="I705" s="156"/>
      <c r="J705" s="155"/>
      <c r="K705" s="156"/>
      <c r="L705" s="155"/>
      <c r="M705" s="156"/>
      <c r="N705" s="157"/>
    </row>
    <row r="706" spans="1:14" ht="24" customHeight="1" thickBot="1" x14ac:dyDescent="0.4">
      <c r="A706" s="152"/>
      <c r="B706" s="153"/>
      <c r="C706" s="153"/>
      <c r="D706" s="153"/>
      <c r="E706" s="156"/>
      <c r="F706" s="155"/>
      <c r="G706" s="156"/>
      <c r="H706" s="155"/>
      <c r="I706" s="156"/>
      <c r="J706" s="155"/>
      <c r="K706" s="156"/>
      <c r="L706" s="155"/>
      <c r="M706" s="156"/>
      <c r="N706" s="157"/>
    </row>
    <row r="707" spans="1:14" ht="24" customHeight="1" thickBot="1" x14ac:dyDescent="0.4">
      <c r="A707" s="152"/>
      <c r="B707" s="153"/>
      <c r="C707" s="153"/>
      <c r="D707" s="153"/>
      <c r="E707" s="156"/>
      <c r="F707" s="155"/>
      <c r="G707" s="156"/>
      <c r="H707" s="155"/>
      <c r="I707" s="156"/>
      <c r="J707" s="155"/>
      <c r="K707" s="156"/>
      <c r="L707" s="155"/>
      <c r="M707" s="156"/>
      <c r="N707" s="157"/>
    </row>
    <row r="708" spans="1:14" ht="24" customHeight="1" thickBot="1" x14ac:dyDescent="0.4">
      <c r="A708" s="152"/>
      <c r="B708" s="153"/>
      <c r="C708" s="153"/>
      <c r="D708" s="153"/>
      <c r="E708" s="156"/>
      <c r="F708" s="155"/>
      <c r="G708" s="156"/>
      <c r="H708" s="155"/>
      <c r="I708" s="156"/>
      <c r="J708" s="155"/>
      <c r="K708" s="156"/>
      <c r="L708" s="155"/>
      <c r="M708" s="156"/>
      <c r="N708" s="157"/>
    </row>
    <row r="709" spans="1:14" ht="24" customHeight="1" thickBot="1" x14ac:dyDescent="0.4">
      <c r="A709" s="152"/>
      <c r="B709" s="153"/>
      <c r="C709" s="153"/>
      <c r="D709" s="153"/>
      <c r="E709" s="156"/>
      <c r="F709" s="155"/>
      <c r="G709" s="156"/>
      <c r="H709" s="155"/>
      <c r="I709" s="156"/>
      <c r="J709" s="155"/>
      <c r="K709" s="156"/>
      <c r="L709" s="155"/>
      <c r="M709" s="156"/>
      <c r="N709" s="157"/>
    </row>
    <row r="710" spans="1:14" ht="24" customHeight="1" thickBot="1" x14ac:dyDescent="0.4">
      <c r="A710" s="152"/>
      <c r="B710" s="153"/>
      <c r="C710" s="153"/>
      <c r="D710" s="153"/>
      <c r="E710" s="156"/>
      <c r="F710" s="155"/>
      <c r="G710" s="156"/>
      <c r="H710" s="155"/>
      <c r="I710" s="156"/>
      <c r="J710" s="155"/>
      <c r="K710" s="156"/>
      <c r="L710" s="155"/>
      <c r="M710" s="156"/>
      <c r="N710" s="157"/>
    </row>
    <row r="711" spans="1:14" ht="24" customHeight="1" thickBot="1" x14ac:dyDescent="0.4">
      <c r="A711" s="152"/>
      <c r="B711" s="153"/>
      <c r="C711" s="153"/>
      <c r="D711" s="153"/>
      <c r="E711" s="156"/>
      <c r="F711" s="155"/>
      <c r="G711" s="156"/>
      <c r="H711" s="155"/>
      <c r="I711" s="156"/>
      <c r="J711" s="155"/>
      <c r="K711" s="156"/>
      <c r="L711" s="155"/>
      <c r="M711" s="156"/>
      <c r="N711" s="157"/>
    </row>
    <row r="712" spans="1:14" ht="24" customHeight="1" thickBot="1" x14ac:dyDescent="0.4">
      <c r="A712" s="152"/>
      <c r="B712" s="153"/>
      <c r="C712" s="153"/>
      <c r="D712" s="153"/>
      <c r="E712" s="156"/>
      <c r="F712" s="155"/>
      <c r="G712" s="156"/>
      <c r="H712" s="155"/>
      <c r="I712" s="156"/>
      <c r="J712" s="155"/>
      <c r="K712" s="156"/>
      <c r="L712" s="155"/>
      <c r="M712" s="156"/>
      <c r="N712" s="157"/>
    </row>
    <row r="713" spans="1:14" ht="24" customHeight="1" thickBot="1" x14ac:dyDescent="0.4">
      <c r="A713" s="152"/>
      <c r="B713" s="153"/>
      <c r="C713" s="153"/>
      <c r="D713" s="153"/>
      <c r="E713" s="156"/>
      <c r="F713" s="155"/>
      <c r="G713" s="156"/>
      <c r="H713" s="155"/>
      <c r="I713" s="156"/>
      <c r="J713" s="155"/>
      <c r="K713" s="156"/>
      <c r="L713" s="155"/>
      <c r="M713" s="156"/>
      <c r="N713" s="157"/>
    </row>
    <row r="714" spans="1:14" ht="24" customHeight="1" thickBot="1" x14ac:dyDescent="0.4">
      <c r="A714" s="152"/>
      <c r="B714" s="153"/>
      <c r="C714" s="153"/>
      <c r="D714" s="153"/>
      <c r="E714" s="156"/>
      <c r="F714" s="155"/>
      <c r="G714" s="156"/>
      <c r="H714" s="155"/>
      <c r="I714" s="156"/>
      <c r="J714" s="155"/>
      <c r="K714" s="156"/>
      <c r="L714" s="155"/>
      <c r="M714" s="156"/>
      <c r="N714" s="157"/>
    </row>
    <row r="715" spans="1:14" ht="24" customHeight="1" thickBot="1" x14ac:dyDescent="0.4">
      <c r="A715" s="152"/>
      <c r="B715" s="153"/>
      <c r="C715" s="153"/>
      <c r="D715" s="153"/>
      <c r="E715" s="156"/>
      <c r="F715" s="155"/>
      <c r="G715" s="156"/>
      <c r="H715" s="155"/>
      <c r="I715" s="156"/>
      <c r="J715" s="155"/>
      <c r="K715" s="156"/>
      <c r="L715" s="155"/>
      <c r="M715" s="156"/>
      <c r="N715" s="157"/>
    </row>
    <row r="716" spans="1:14" ht="24" customHeight="1" thickBot="1" x14ac:dyDescent="0.4">
      <c r="A716" s="152"/>
      <c r="B716" s="153"/>
      <c r="C716" s="153"/>
      <c r="D716" s="153"/>
      <c r="E716" s="156"/>
      <c r="F716" s="155"/>
      <c r="G716" s="156"/>
      <c r="H716" s="155"/>
      <c r="I716" s="156"/>
      <c r="J716" s="155"/>
      <c r="K716" s="156"/>
      <c r="L716" s="155"/>
      <c r="M716" s="156"/>
      <c r="N716" s="157"/>
    </row>
    <row r="717" spans="1:14" ht="24" customHeight="1" thickBot="1" x14ac:dyDescent="0.4">
      <c r="A717" s="152"/>
      <c r="B717" s="153"/>
      <c r="C717" s="153"/>
      <c r="D717" s="153"/>
      <c r="E717" s="156"/>
      <c r="F717" s="155"/>
      <c r="G717" s="156"/>
      <c r="H717" s="155"/>
      <c r="I717" s="156"/>
      <c r="J717" s="155"/>
      <c r="K717" s="156"/>
      <c r="L717" s="155"/>
      <c r="M717" s="156"/>
      <c r="N717" s="157"/>
    </row>
    <row r="718" spans="1:14" ht="24" customHeight="1" thickBot="1" x14ac:dyDescent="0.4">
      <c r="A718" s="152"/>
      <c r="B718" s="153"/>
      <c r="C718" s="153"/>
      <c r="D718" s="153"/>
      <c r="E718" s="156"/>
      <c r="F718" s="155"/>
      <c r="G718" s="156"/>
      <c r="H718" s="155"/>
      <c r="I718" s="156"/>
      <c r="J718" s="155"/>
      <c r="K718" s="156"/>
      <c r="L718" s="155"/>
      <c r="M718" s="156"/>
      <c r="N718" s="157"/>
    </row>
    <row r="719" spans="1:14" ht="24" customHeight="1" thickBot="1" x14ac:dyDescent="0.4">
      <c r="A719" s="152"/>
      <c r="B719" s="153"/>
      <c r="C719" s="153"/>
      <c r="D719" s="153"/>
      <c r="E719" s="156"/>
      <c r="F719" s="155"/>
      <c r="G719" s="156"/>
      <c r="H719" s="155"/>
      <c r="I719" s="156"/>
      <c r="J719" s="155"/>
      <c r="K719" s="156"/>
      <c r="L719" s="155"/>
      <c r="M719" s="156"/>
      <c r="N719" s="157"/>
    </row>
    <row r="720" spans="1:14" ht="24" customHeight="1" thickBot="1" x14ac:dyDescent="0.4">
      <c r="A720" s="152"/>
      <c r="B720" s="153"/>
      <c r="C720" s="153"/>
      <c r="D720" s="153"/>
      <c r="E720" s="156"/>
      <c r="F720" s="155"/>
      <c r="G720" s="156"/>
      <c r="H720" s="155"/>
      <c r="I720" s="156"/>
      <c r="J720" s="155"/>
      <c r="K720" s="156"/>
      <c r="L720" s="155"/>
      <c r="M720" s="156"/>
      <c r="N720" s="157"/>
    </row>
    <row r="721" spans="1:14" ht="24" customHeight="1" thickBot="1" x14ac:dyDescent="0.4">
      <c r="A721" s="152"/>
      <c r="B721" s="153"/>
      <c r="C721" s="153"/>
      <c r="D721" s="153"/>
      <c r="E721" s="156"/>
      <c r="F721" s="155"/>
      <c r="G721" s="156"/>
      <c r="H721" s="155"/>
      <c r="I721" s="156"/>
      <c r="J721" s="155"/>
      <c r="K721" s="156"/>
      <c r="L721" s="155"/>
      <c r="M721" s="156"/>
      <c r="N721" s="157"/>
    </row>
    <row r="722" spans="1:14" ht="24" customHeight="1" thickBot="1" x14ac:dyDescent="0.4">
      <c r="A722" s="152"/>
      <c r="B722" s="153"/>
      <c r="C722" s="153"/>
      <c r="D722" s="153"/>
      <c r="E722" s="156"/>
      <c r="F722" s="155"/>
      <c r="G722" s="156"/>
      <c r="H722" s="155"/>
      <c r="I722" s="156"/>
      <c r="J722" s="155"/>
      <c r="K722" s="156"/>
      <c r="L722" s="155"/>
      <c r="M722" s="156"/>
      <c r="N722" s="157"/>
    </row>
    <row r="723" spans="1:14" ht="24" customHeight="1" thickBot="1" x14ac:dyDescent="0.4">
      <c r="A723" s="152"/>
      <c r="B723" s="153"/>
      <c r="C723" s="153"/>
      <c r="D723" s="153"/>
      <c r="E723" s="156"/>
      <c r="F723" s="155"/>
      <c r="G723" s="156"/>
      <c r="H723" s="155"/>
      <c r="I723" s="156"/>
      <c r="J723" s="155"/>
      <c r="K723" s="156"/>
      <c r="L723" s="155"/>
      <c r="M723" s="156"/>
      <c r="N723" s="157"/>
    </row>
    <row r="724" spans="1:14" ht="24" customHeight="1" thickBot="1" x14ac:dyDescent="0.4">
      <c r="A724" s="152"/>
      <c r="B724" s="153"/>
      <c r="C724" s="153"/>
      <c r="D724" s="153"/>
      <c r="E724" s="156"/>
      <c r="F724" s="155"/>
      <c r="G724" s="156"/>
      <c r="H724" s="155"/>
      <c r="I724" s="156"/>
      <c r="J724" s="155"/>
      <c r="K724" s="156"/>
      <c r="L724" s="155"/>
      <c r="M724" s="156"/>
      <c r="N724" s="157"/>
    </row>
    <row r="725" spans="1:14" ht="24" customHeight="1" thickBot="1" x14ac:dyDescent="0.4">
      <c r="A725" s="152"/>
      <c r="B725" s="153"/>
      <c r="C725" s="153"/>
      <c r="D725" s="153"/>
      <c r="E725" s="156"/>
      <c r="F725" s="155"/>
      <c r="G725" s="156"/>
      <c r="H725" s="155"/>
      <c r="I725" s="156"/>
      <c r="J725" s="155"/>
      <c r="K725" s="156"/>
      <c r="L725" s="155"/>
      <c r="M725" s="156"/>
      <c r="N725" s="157"/>
    </row>
    <row r="726" spans="1:14" ht="24" customHeight="1" thickBot="1" x14ac:dyDescent="0.4">
      <c r="A726" s="152"/>
      <c r="B726" s="153"/>
      <c r="C726" s="153"/>
      <c r="D726" s="153"/>
      <c r="E726" s="156"/>
      <c r="F726" s="155"/>
      <c r="G726" s="156"/>
      <c r="H726" s="155"/>
      <c r="I726" s="156"/>
      <c r="J726" s="155"/>
      <c r="K726" s="156"/>
      <c r="L726" s="155"/>
      <c r="M726" s="156"/>
      <c r="N726" s="157"/>
    </row>
    <row r="727" spans="1:14" ht="24" customHeight="1" thickBot="1" x14ac:dyDescent="0.4">
      <c r="A727" s="152"/>
      <c r="B727" s="153"/>
      <c r="C727" s="153"/>
      <c r="D727" s="153"/>
      <c r="E727" s="156"/>
      <c r="F727" s="155"/>
      <c r="G727" s="156"/>
      <c r="H727" s="155"/>
      <c r="I727" s="156"/>
      <c r="J727" s="155"/>
      <c r="K727" s="156"/>
      <c r="L727" s="155"/>
      <c r="M727" s="156"/>
      <c r="N727" s="157"/>
    </row>
    <row r="728" spans="1:14" ht="24" customHeight="1" thickBot="1" x14ac:dyDescent="0.4">
      <c r="A728" s="152"/>
      <c r="B728" s="153"/>
      <c r="C728" s="153"/>
      <c r="D728" s="153"/>
      <c r="E728" s="156"/>
      <c r="F728" s="155"/>
      <c r="G728" s="156"/>
      <c r="H728" s="155"/>
      <c r="I728" s="156"/>
      <c r="J728" s="155"/>
      <c r="K728" s="156"/>
      <c r="L728" s="155"/>
      <c r="M728" s="156"/>
      <c r="N728" s="157"/>
    </row>
    <row r="729" spans="1:14" ht="24" customHeight="1" thickBot="1" x14ac:dyDescent="0.4">
      <c r="A729" s="152"/>
      <c r="B729" s="153"/>
      <c r="C729" s="153"/>
      <c r="D729" s="153"/>
      <c r="E729" s="156"/>
      <c r="F729" s="155"/>
      <c r="G729" s="156"/>
      <c r="H729" s="155"/>
      <c r="I729" s="156"/>
      <c r="J729" s="155"/>
      <c r="K729" s="156"/>
      <c r="L729" s="155"/>
      <c r="M729" s="156"/>
      <c r="N729" s="157"/>
    </row>
    <row r="730" spans="1:14" ht="24" customHeight="1" thickBot="1" x14ac:dyDescent="0.4">
      <c r="A730" s="152"/>
      <c r="B730" s="153"/>
      <c r="C730" s="153"/>
      <c r="D730" s="153"/>
      <c r="E730" s="156"/>
      <c r="F730" s="155"/>
      <c r="G730" s="156"/>
      <c r="H730" s="155"/>
      <c r="I730" s="156"/>
      <c r="J730" s="155"/>
      <c r="K730" s="156"/>
      <c r="L730" s="155"/>
      <c r="M730" s="156"/>
      <c r="N730" s="157"/>
    </row>
    <row r="731" spans="1:14" ht="24" customHeight="1" thickBot="1" x14ac:dyDescent="0.4">
      <c r="A731" s="152"/>
      <c r="B731" s="153"/>
      <c r="C731" s="153"/>
      <c r="D731" s="153"/>
      <c r="E731" s="156"/>
      <c r="F731" s="155"/>
      <c r="G731" s="156"/>
      <c r="H731" s="155"/>
      <c r="I731" s="156"/>
      <c r="J731" s="155"/>
      <c r="K731" s="156"/>
      <c r="L731" s="155"/>
      <c r="M731" s="156"/>
      <c r="N731" s="157"/>
    </row>
    <row r="732" spans="1:14" ht="24" customHeight="1" thickBot="1" x14ac:dyDescent="0.4">
      <c r="A732" s="152"/>
      <c r="B732" s="153"/>
      <c r="C732" s="153"/>
      <c r="D732" s="153"/>
      <c r="E732" s="156"/>
      <c r="F732" s="155"/>
      <c r="G732" s="156"/>
      <c r="H732" s="155"/>
      <c r="I732" s="156"/>
      <c r="J732" s="155"/>
      <c r="K732" s="156"/>
      <c r="L732" s="155"/>
      <c r="M732" s="156"/>
      <c r="N732" s="157"/>
    </row>
    <row r="733" spans="1:14" ht="24" customHeight="1" thickBot="1" x14ac:dyDescent="0.4">
      <c r="A733" s="152"/>
      <c r="B733" s="153"/>
      <c r="C733" s="153"/>
      <c r="D733" s="153"/>
      <c r="E733" s="156"/>
      <c r="F733" s="155"/>
      <c r="G733" s="156"/>
      <c r="H733" s="155"/>
      <c r="I733" s="156"/>
      <c r="J733" s="155"/>
      <c r="K733" s="156"/>
      <c r="L733" s="155"/>
      <c r="M733" s="156"/>
      <c r="N733" s="157"/>
    </row>
    <row r="734" spans="1:14" ht="24" customHeight="1" thickBot="1" x14ac:dyDescent="0.4">
      <c r="A734" s="152"/>
      <c r="B734" s="153"/>
      <c r="C734" s="153"/>
      <c r="D734" s="153"/>
      <c r="E734" s="156"/>
      <c r="F734" s="155"/>
      <c r="G734" s="156"/>
      <c r="H734" s="155"/>
      <c r="I734" s="156"/>
      <c r="J734" s="155"/>
      <c r="K734" s="156"/>
      <c r="L734" s="155"/>
      <c r="M734" s="156"/>
      <c r="N734" s="157"/>
    </row>
    <row r="735" spans="1:14" ht="24" customHeight="1" thickBot="1" x14ac:dyDescent="0.4">
      <c r="A735" s="152"/>
      <c r="B735" s="153"/>
      <c r="C735" s="153"/>
      <c r="D735" s="153"/>
      <c r="E735" s="156"/>
      <c r="F735" s="155"/>
      <c r="G735" s="156"/>
      <c r="H735" s="155"/>
      <c r="I735" s="156"/>
      <c r="J735" s="155"/>
      <c r="K735" s="156"/>
      <c r="L735" s="155"/>
      <c r="M735" s="156"/>
      <c r="N735" s="157"/>
    </row>
    <row r="736" spans="1:14" ht="24" customHeight="1" thickBot="1" x14ac:dyDescent="0.4">
      <c r="A736" s="152"/>
      <c r="B736" s="153"/>
      <c r="C736" s="153"/>
      <c r="D736" s="153"/>
      <c r="E736" s="156"/>
      <c r="F736" s="155"/>
      <c r="G736" s="156"/>
      <c r="H736" s="155"/>
      <c r="I736" s="156"/>
      <c r="J736" s="155"/>
      <c r="K736" s="156"/>
      <c r="L736" s="155"/>
      <c r="M736" s="156"/>
      <c r="N736" s="157"/>
    </row>
    <row r="737" spans="1:14" ht="24" customHeight="1" thickBot="1" x14ac:dyDescent="0.4">
      <c r="A737" s="152"/>
      <c r="B737" s="153"/>
      <c r="C737" s="153"/>
      <c r="D737" s="153"/>
      <c r="E737" s="156"/>
      <c r="F737" s="155"/>
      <c r="G737" s="156"/>
      <c r="H737" s="155"/>
      <c r="I737" s="156"/>
      <c r="J737" s="155"/>
      <c r="K737" s="156"/>
      <c r="L737" s="155"/>
      <c r="M737" s="156"/>
      <c r="N737" s="157"/>
    </row>
    <row r="738" spans="1:14" ht="24" customHeight="1" thickBot="1" x14ac:dyDescent="0.4">
      <c r="A738" s="152"/>
      <c r="B738" s="153"/>
      <c r="C738" s="153"/>
      <c r="D738" s="153"/>
      <c r="E738" s="156"/>
      <c r="F738" s="155"/>
      <c r="G738" s="156"/>
      <c r="H738" s="155"/>
      <c r="I738" s="156"/>
      <c r="J738" s="155"/>
      <c r="K738" s="156"/>
      <c r="L738" s="155"/>
      <c r="M738" s="156"/>
      <c r="N738" s="157"/>
    </row>
    <row r="739" spans="1:14" ht="24" customHeight="1" thickBot="1" x14ac:dyDescent="0.4">
      <c r="A739" s="152"/>
      <c r="B739" s="153"/>
      <c r="C739" s="153"/>
      <c r="D739" s="153"/>
      <c r="E739" s="156"/>
      <c r="F739" s="155"/>
      <c r="G739" s="156"/>
      <c r="H739" s="155"/>
      <c r="I739" s="156"/>
      <c r="J739" s="155"/>
      <c r="K739" s="156"/>
      <c r="L739" s="155"/>
      <c r="M739" s="156"/>
      <c r="N739" s="157"/>
    </row>
    <row r="740" spans="1:14" ht="24" customHeight="1" thickBot="1" x14ac:dyDescent="0.4">
      <c r="A740" s="152"/>
      <c r="B740" s="153"/>
      <c r="C740" s="153"/>
      <c r="D740" s="153"/>
      <c r="E740" s="156"/>
      <c r="F740" s="155"/>
      <c r="G740" s="156"/>
      <c r="H740" s="155"/>
      <c r="I740" s="156"/>
      <c r="J740" s="155"/>
      <c r="K740" s="156"/>
      <c r="L740" s="155"/>
      <c r="M740" s="156"/>
      <c r="N740" s="157"/>
    </row>
    <row r="741" spans="1:14" ht="24" customHeight="1" thickBot="1" x14ac:dyDescent="0.4">
      <c r="A741" s="152"/>
      <c r="B741" s="153"/>
      <c r="C741" s="153"/>
      <c r="D741" s="153"/>
      <c r="E741" s="156"/>
      <c r="F741" s="155"/>
      <c r="G741" s="156"/>
      <c r="H741" s="155"/>
      <c r="I741" s="156"/>
      <c r="J741" s="155"/>
      <c r="K741" s="156"/>
      <c r="L741" s="155"/>
      <c r="M741" s="156"/>
      <c r="N741" s="157"/>
    </row>
    <row r="742" spans="1:14" ht="24" customHeight="1" thickBot="1" x14ac:dyDescent="0.4">
      <c r="A742" s="152"/>
      <c r="B742" s="153"/>
      <c r="C742" s="153"/>
      <c r="D742" s="153"/>
      <c r="E742" s="156"/>
      <c r="F742" s="155"/>
      <c r="G742" s="156"/>
      <c r="H742" s="155"/>
      <c r="I742" s="156"/>
      <c r="J742" s="155"/>
      <c r="K742" s="156"/>
      <c r="L742" s="155"/>
      <c r="M742" s="156"/>
      <c r="N742" s="157"/>
    </row>
    <row r="743" spans="1:14" ht="24" customHeight="1" thickBot="1" x14ac:dyDescent="0.4">
      <c r="A743" s="152"/>
      <c r="B743" s="153"/>
      <c r="C743" s="153"/>
      <c r="D743" s="153"/>
      <c r="E743" s="156"/>
      <c r="F743" s="155"/>
      <c r="G743" s="156"/>
      <c r="H743" s="155"/>
      <c r="I743" s="156"/>
      <c r="J743" s="155"/>
      <c r="K743" s="156"/>
      <c r="L743" s="155"/>
      <c r="M743" s="156"/>
      <c r="N743" s="157"/>
    </row>
    <row r="744" spans="1:14" ht="24" customHeight="1" thickBot="1" x14ac:dyDescent="0.4">
      <c r="A744" s="152"/>
      <c r="B744" s="153"/>
      <c r="C744" s="153"/>
      <c r="D744" s="153"/>
      <c r="E744" s="156"/>
      <c r="F744" s="155"/>
      <c r="G744" s="156"/>
      <c r="H744" s="155"/>
      <c r="I744" s="156"/>
      <c r="J744" s="155"/>
      <c r="K744" s="156"/>
      <c r="L744" s="155"/>
      <c r="M744" s="156"/>
      <c r="N744" s="157"/>
    </row>
    <row r="745" spans="1:14" ht="24" customHeight="1" thickBot="1" x14ac:dyDescent="0.4">
      <c r="A745" s="152"/>
      <c r="B745" s="153"/>
      <c r="C745" s="153"/>
      <c r="D745" s="153"/>
      <c r="E745" s="156"/>
      <c r="F745" s="155"/>
      <c r="G745" s="156"/>
      <c r="H745" s="155"/>
      <c r="I745" s="156"/>
      <c r="J745" s="155"/>
      <c r="K745" s="156"/>
      <c r="L745" s="155"/>
      <c r="M745" s="156"/>
      <c r="N745" s="157"/>
    </row>
    <row r="746" spans="1:14" ht="24" customHeight="1" thickBot="1" x14ac:dyDescent="0.4">
      <c r="A746" s="152"/>
      <c r="B746" s="153"/>
      <c r="C746" s="153"/>
      <c r="D746" s="153"/>
      <c r="E746" s="156"/>
      <c r="F746" s="155"/>
      <c r="G746" s="156"/>
      <c r="H746" s="155"/>
      <c r="I746" s="156"/>
      <c r="J746" s="155"/>
      <c r="K746" s="156"/>
      <c r="L746" s="155"/>
      <c r="M746" s="156"/>
      <c r="N746" s="157"/>
    </row>
    <row r="747" spans="1:14" ht="24" customHeight="1" thickBot="1" x14ac:dyDescent="0.4">
      <c r="A747" s="152"/>
      <c r="B747" s="153"/>
      <c r="C747" s="153"/>
      <c r="D747" s="153"/>
      <c r="E747" s="156"/>
      <c r="F747" s="155"/>
      <c r="G747" s="156"/>
      <c r="H747" s="155"/>
      <c r="I747" s="156"/>
      <c r="J747" s="155"/>
      <c r="K747" s="156"/>
      <c r="L747" s="155"/>
      <c r="M747" s="156"/>
      <c r="N747" s="157"/>
    </row>
    <row r="748" spans="1:14" ht="24" customHeight="1" thickBot="1" x14ac:dyDescent="0.4">
      <c r="A748" s="152"/>
      <c r="B748" s="153"/>
      <c r="C748" s="153"/>
      <c r="D748" s="153"/>
      <c r="E748" s="156"/>
      <c r="F748" s="155"/>
      <c r="G748" s="156"/>
      <c r="H748" s="155"/>
      <c r="I748" s="156"/>
      <c r="J748" s="155"/>
      <c r="K748" s="156"/>
      <c r="L748" s="155"/>
      <c r="M748" s="156"/>
      <c r="N748" s="157"/>
    </row>
    <row r="749" spans="1:14" ht="24" customHeight="1" thickBot="1" x14ac:dyDescent="0.4">
      <c r="A749" s="152"/>
      <c r="B749" s="153"/>
      <c r="C749" s="153"/>
      <c r="D749" s="153"/>
      <c r="E749" s="156"/>
      <c r="F749" s="155"/>
      <c r="G749" s="156"/>
      <c r="H749" s="155"/>
      <c r="I749" s="156"/>
      <c r="J749" s="155"/>
      <c r="K749" s="156"/>
      <c r="L749" s="155"/>
      <c r="M749" s="156"/>
      <c r="N749" s="157"/>
    </row>
    <row r="750" spans="1:14" ht="24" customHeight="1" thickBot="1" x14ac:dyDescent="0.4">
      <c r="A750" s="152"/>
      <c r="B750" s="153"/>
      <c r="C750" s="153"/>
      <c r="D750" s="153"/>
      <c r="E750" s="156"/>
      <c r="F750" s="155"/>
      <c r="G750" s="156"/>
      <c r="H750" s="155"/>
      <c r="I750" s="156"/>
      <c r="J750" s="155"/>
      <c r="K750" s="156"/>
      <c r="L750" s="155"/>
      <c r="M750" s="156"/>
      <c r="N750" s="157"/>
    </row>
    <row r="751" spans="1:14" ht="24" customHeight="1" thickBot="1" x14ac:dyDescent="0.4">
      <c r="A751" s="152"/>
      <c r="B751" s="153"/>
      <c r="C751" s="153"/>
      <c r="D751" s="153"/>
      <c r="E751" s="156"/>
      <c r="F751" s="155"/>
      <c r="G751" s="156"/>
      <c r="H751" s="155"/>
      <c r="I751" s="156"/>
      <c r="J751" s="155"/>
      <c r="K751" s="156"/>
      <c r="L751" s="155"/>
      <c r="M751" s="156"/>
      <c r="N751" s="157"/>
    </row>
    <row r="752" spans="1:14" ht="24" customHeight="1" thickBot="1" x14ac:dyDescent="0.4">
      <c r="A752" s="152"/>
      <c r="B752" s="153"/>
      <c r="C752" s="153"/>
      <c r="D752" s="153"/>
      <c r="E752" s="156"/>
      <c r="F752" s="155"/>
      <c r="G752" s="156"/>
      <c r="H752" s="155"/>
      <c r="I752" s="156"/>
      <c r="J752" s="155"/>
      <c r="K752" s="156"/>
      <c r="L752" s="155"/>
      <c r="M752" s="156"/>
      <c r="N752" s="157"/>
    </row>
    <row r="753" spans="1:14" ht="24" customHeight="1" thickBot="1" x14ac:dyDescent="0.4">
      <c r="A753" s="152"/>
      <c r="B753" s="153"/>
      <c r="C753" s="153"/>
      <c r="D753" s="153"/>
      <c r="E753" s="156"/>
      <c r="F753" s="155"/>
      <c r="G753" s="156"/>
      <c r="H753" s="155"/>
      <c r="I753" s="156"/>
      <c r="J753" s="155"/>
      <c r="K753" s="156"/>
      <c r="L753" s="155"/>
      <c r="M753" s="156"/>
      <c r="N753" s="157"/>
    </row>
    <row r="754" spans="1:14" ht="24" customHeight="1" thickBot="1" x14ac:dyDescent="0.4">
      <c r="A754" s="152"/>
      <c r="B754" s="153"/>
      <c r="C754" s="153"/>
      <c r="D754" s="153"/>
      <c r="E754" s="156"/>
      <c r="F754" s="155"/>
      <c r="G754" s="156"/>
      <c r="H754" s="155"/>
      <c r="I754" s="156"/>
      <c r="J754" s="155"/>
      <c r="K754" s="156"/>
      <c r="L754" s="155"/>
      <c r="M754" s="156"/>
      <c r="N754" s="157"/>
    </row>
    <row r="755" spans="1:14" ht="24" customHeight="1" thickBot="1" x14ac:dyDescent="0.4">
      <c r="A755" s="152"/>
      <c r="B755" s="153"/>
      <c r="C755" s="153"/>
      <c r="D755" s="153"/>
      <c r="E755" s="156"/>
      <c r="F755" s="155"/>
      <c r="G755" s="156"/>
      <c r="H755" s="155"/>
      <c r="I755" s="156"/>
      <c r="J755" s="155"/>
      <c r="K755" s="156"/>
      <c r="L755" s="155"/>
      <c r="M755" s="156"/>
      <c r="N755" s="157"/>
    </row>
    <row r="756" spans="1:14" ht="24" customHeight="1" thickBot="1" x14ac:dyDescent="0.4">
      <c r="A756" s="152"/>
      <c r="B756" s="153"/>
      <c r="C756" s="153"/>
      <c r="D756" s="153"/>
      <c r="E756" s="156"/>
      <c r="F756" s="155"/>
      <c r="G756" s="156"/>
      <c r="H756" s="155"/>
      <c r="I756" s="156"/>
      <c r="J756" s="155"/>
      <c r="K756" s="156"/>
      <c r="L756" s="155"/>
      <c r="M756" s="156"/>
      <c r="N756" s="157"/>
    </row>
    <row r="757" spans="1:14" ht="24" customHeight="1" thickBot="1" x14ac:dyDescent="0.4">
      <c r="A757" s="152"/>
      <c r="B757" s="153"/>
      <c r="C757" s="153"/>
      <c r="D757" s="153"/>
      <c r="E757" s="156"/>
      <c r="F757" s="155"/>
      <c r="G757" s="156"/>
      <c r="H757" s="155"/>
      <c r="I757" s="156"/>
      <c r="J757" s="155"/>
      <c r="K757" s="156"/>
      <c r="L757" s="155"/>
      <c r="M757" s="156"/>
      <c r="N757" s="157"/>
    </row>
    <row r="758" spans="1:14" ht="24" customHeight="1" thickBot="1" x14ac:dyDescent="0.4">
      <c r="A758" s="152"/>
      <c r="B758" s="153"/>
      <c r="C758" s="153"/>
      <c r="D758" s="153"/>
      <c r="E758" s="156"/>
      <c r="F758" s="155"/>
      <c r="G758" s="156"/>
      <c r="H758" s="155"/>
      <c r="I758" s="156"/>
      <c r="J758" s="155"/>
      <c r="K758" s="156"/>
      <c r="L758" s="155"/>
      <c r="M758" s="156"/>
      <c r="N758" s="157"/>
    </row>
    <row r="759" spans="1:14" ht="24" customHeight="1" thickBot="1" x14ac:dyDescent="0.4">
      <c r="A759" s="152"/>
      <c r="B759" s="153"/>
      <c r="C759" s="153"/>
      <c r="D759" s="153"/>
      <c r="E759" s="156"/>
      <c r="F759" s="155"/>
      <c r="G759" s="156"/>
      <c r="H759" s="155"/>
      <c r="I759" s="156"/>
      <c r="J759" s="155"/>
      <c r="K759" s="156"/>
      <c r="L759" s="155"/>
      <c r="M759" s="156"/>
      <c r="N759" s="157"/>
    </row>
    <row r="760" spans="1:14" ht="24" customHeight="1" thickBot="1" x14ac:dyDescent="0.4">
      <c r="A760" s="152"/>
      <c r="B760" s="153"/>
      <c r="C760" s="153"/>
      <c r="D760" s="153"/>
      <c r="E760" s="156"/>
      <c r="F760" s="155"/>
      <c r="G760" s="156"/>
      <c r="H760" s="155"/>
      <c r="I760" s="156"/>
      <c r="J760" s="155"/>
      <c r="K760" s="156"/>
      <c r="L760" s="155"/>
      <c r="M760" s="156"/>
      <c r="N760" s="157"/>
    </row>
    <row r="761" spans="1:14" ht="24" customHeight="1" thickBot="1" x14ac:dyDescent="0.4">
      <c r="A761" s="152"/>
      <c r="B761" s="153"/>
      <c r="C761" s="153"/>
      <c r="D761" s="153"/>
      <c r="E761" s="156"/>
      <c r="F761" s="155"/>
      <c r="G761" s="156"/>
      <c r="H761" s="155"/>
      <c r="I761" s="156"/>
      <c r="J761" s="155"/>
      <c r="K761" s="156"/>
      <c r="L761" s="155"/>
      <c r="M761" s="156"/>
      <c r="N761" s="157"/>
    </row>
    <row r="762" spans="1:14" ht="24" customHeight="1" thickBot="1" x14ac:dyDescent="0.4">
      <c r="A762" s="152"/>
      <c r="B762" s="153"/>
      <c r="C762" s="153"/>
      <c r="D762" s="153"/>
      <c r="E762" s="156"/>
      <c r="F762" s="155"/>
      <c r="G762" s="156"/>
      <c r="H762" s="155"/>
      <c r="I762" s="156"/>
      <c r="J762" s="155"/>
      <c r="K762" s="156"/>
      <c r="L762" s="155"/>
      <c r="M762" s="156"/>
      <c r="N762" s="157"/>
    </row>
    <row r="763" spans="1:14" ht="24" customHeight="1" thickBot="1" x14ac:dyDescent="0.4">
      <c r="A763" s="152"/>
      <c r="B763" s="153"/>
      <c r="C763" s="153"/>
      <c r="D763" s="153"/>
      <c r="E763" s="156"/>
      <c r="F763" s="155"/>
      <c r="G763" s="156"/>
      <c r="H763" s="155"/>
      <c r="I763" s="156"/>
      <c r="J763" s="155"/>
      <c r="K763" s="156"/>
      <c r="L763" s="155"/>
      <c r="M763" s="156"/>
      <c r="N763" s="157"/>
    </row>
    <row r="764" spans="1:14" ht="24" customHeight="1" thickBot="1" x14ac:dyDescent="0.4">
      <c r="A764" s="152"/>
      <c r="B764" s="153"/>
      <c r="C764" s="153"/>
      <c r="D764" s="153"/>
      <c r="E764" s="156"/>
      <c r="F764" s="155"/>
      <c r="G764" s="156"/>
      <c r="H764" s="155"/>
      <c r="I764" s="156"/>
      <c r="J764" s="155"/>
      <c r="K764" s="156"/>
      <c r="L764" s="155"/>
      <c r="M764" s="156"/>
      <c r="N764" s="157"/>
    </row>
    <row r="765" spans="1:14" ht="24" customHeight="1" thickBot="1" x14ac:dyDescent="0.4">
      <c r="A765" s="152"/>
      <c r="B765" s="153"/>
      <c r="C765" s="153"/>
      <c r="D765" s="153"/>
      <c r="E765" s="156"/>
      <c r="F765" s="155"/>
      <c r="G765" s="156"/>
      <c r="H765" s="155"/>
      <c r="I765" s="156"/>
      <c r="J765" s="155"/>
      <c r="K765" s="156"/>
      <c r="L765" s="155"/>
      <c r="M765" s="156"/>
      <c r="N765" s="157"/>
    </row>
    <row r="766" spans="1:14" ht="24" customHeight="1" thickBot="1" x14ac:dyDescent="0.4">
      <c r="A766" s="152"/>
      <c r="B766" s="153"/>
      <c r="C766" s="153"/>
      <c r="D766" s="153"/>
      <c r="E766" s="156"/>
      <c r="F766" s="155"/>
      <c r="G766" s="156"/>
      <c r="H766" s="155"/>
      <c r="I766" s="156"/>
      <c r="J766" s="155"/>
      <c r="K766" s="156"/>
      <c r="L766" s="155"/>
      <c r="M766" s="156"/>
      <c r="N766" s="157"/>
    </row>
    <row r="767" spans="1:14" ht="24" customHeight="1" thickBot="1" x14ac:dyDescent="0.4">
      <c r="A767" s="152"/>
      <c r="B767" s="153"/>
      <c r="C767" s="153"/>
      <c r="D767" s="153"/>
      <c r="E767" s="156"/>
      <c r="F767" s="155"/>
      <c r="G767" s="156"/>
      <c r="H767" s="155"/>
      <c r="I767" s="156"/>
      <c r="J767" s="155"/>
      <c r="K767" s="156"/>
      <c r="L767" s="155"/>
      <c r="M767" s="156"/>
      <c r="N767" s="157"/>
    </row>
    <row r="768" spans="1:14" ht="24" customHeight="1" thickBot="1" x14ac:dyDescent="0.4">
      <c r="A768" s="152"/>
      <c r="B768" s="153"/>
      <c r="C768" s="153"/>
      <c r="D768" s="153"/>
      <c r="E768" s="156"/>
      <c r="F768" s="155"/>
      <c r="G768" s="156"/>
      <c r="H768" s="155"/>
      <c r="I768" s="156"/>
      <c r="J768" s="155"/>
      <c r="K768" s="156"/>
      <c r="L768" s="155"/>
      <c r="M768" s="156"/>
      <c r="N768" s="157"/>
    </row>
    <row r="769" spans="1:14" ht="24" customHeight="1" thickBot="1" x14ac:dyDescent="0.4">
      <c r="A769" s="152"/>
      <c r="B769" s="153"/>
      <c r="C769" s="153"/>
      <c r="D769" s="153"/>
      <c r="E769" s="156"/>
      <c r="F769" s="155"/>
      <c r="G769" s="156"/>
      <c r="H769" s="155"/>
      <c r="I769" s="156"/>
      <c r="J769" s="155"/>
      <c r="K769" s="156"/>
      <c r="L769" s="155"/>
      <c r="M769" s="156"/>
      <c r="N769" s="157"/>
    </row>
    <row r="770" spans="1:14" ht="24" customHeight="1" thickBot="1" x14ac:dyDescent="0.4">
      <c r="A770" s="152"/>
      <c r="B770" s="153"/>
      <c r="C770" s="153"/>
      <c r="D770" s="153"/>
      <c r="E770" s="156"/>
      <c r="F770" s="155"/>
      <c r="G770" s="156"/>
      <c r="H770" s="155"/>
      <c r="I770" s="156"/>
      <c r="J770" s="155"/>
      <c r="K770" s="156"/>
      <c r="L770" s="155"/>
      <c r="M770" s="156"/>
      <c r="N770" s="157"/>
    </row>
    <row r="771" spans="1:14" ht="24" customHeight="1" thickBot="1" x14ac:dyDescent="0.4">
      <c r="A771" s="152"/>
      <c r="B771" s="153"/>
      <c r="C771" s="153"/>
      <c r="D771" s="153"/>
      <c r="E771" s="156"/>
      <c r="F771" s="155"/>
      <c r="G771" s="156"/>
      <c r="H771" s="155"/>
      <c r="I771" s="156"/>
      <c r="J771" s="155"/>
      <c r="K771" s="156"/>
      <c r="L771" s="155"/>
      <c r="M771" s="156"/>
      <c r="N771" s="157"/>
    </row>
    <row r="772" spans="1:14" ht="24" customHeight="1" thickBot="1" x14ac:dyDescent="0.4">
      <c r="A772" s="152"/>
      <c r="B772" s="153"/>
      <c r="C772" s="153"/>
      <c r="D772" s="153"/>
      <c r="E772" s="156"/>
      <c r="F772" s="155"/>
      <c r="G772" s="156"/>
      <c r="H772" s="155"/>
      <c r="I772" s="156"/>
      <c r="J772" s="155"/>
      <c r="K772" s="156"/>
      <c r="L772" s="155"/>
      <c r="M772" s="156"/>
      <c r="N772" s="157"/>
    </row>
    <row r="773" spans="1:14" ht="24" customHeight="1" thickBot="1" x14ac:dyDescent="0.4">
      <c r="A773" s="152"/>
      <c r="B773" s="153"/>
      <c r="C773" s="153"/>
      <c r="D773" s="153"/>
      <c r="E773" s="156"/>
      <c r="F773" s="155"/>
      <c r="G773" s="156"/>
      <c r="H773" s="155"/>
      <c r="I773" s="156"/>
      <c r="J773" s="155"/>
      <c r="K773" s="156"/>
      <c r="L773" s="155"/>
      <c r="M773" s="156"/>
      <c r="N773" s="157"/>
    </row>
    <row r="774" spans="1:14" ht="24" customHeight="1" thickBot="1" x14ac:dyDescent="0.4">
      <c r="A774" s="152"/>
      <c r="B774" s="153"/>
      <c r="C774" s="153"/>
      <c r="D774" s="153"/>
      <c r="E774" s="156"/>
      <c r="F774" s="155"/>
      <c r="G774" s="156"/>
      <c r="H774" s="155"/>
      <c r="I774" s="156"/>
      <c r="J774" s="155"/>
      <c r="K774" s="156"/>
      <c r="L774" s="155"/>
      <c r="M774" s="156"/>
      <c r="N774" s="157"/>
    </row>
    <row r="775" spans="1:14" ht="24" customHeight="1" thickBot="1" x14ac:dyDescent="0.4">
      <c r="A775" s="152"/>
      <c r="B775" s="153"/>
      <c r="C775" s="153"/>
      <c r="D775" s="153"/>
      <c r="E775" s="156"/>
      <c r="F775" s="155"/>
      <c r="G775" s="156"/>
      <c r="H775" s="155"/>
      <c r="I775" s="156"/>
      <c r="J775" s="155"/>
      <c r="K775" s="156"/>
      <c r="L775" s="155"/>
      <c r="M775" s="156"/>
      <c r="N775" s="157"/>
    </row>
    <row r="776" spans="1:14" ht="24" customHeight="1" thickBot="1" x14ac:dyDescent="0.4">
      <c r="A776" s="152"/>
      <c r="B776" s="153"/>
      <c r="C776" s="153"/>
      <c r="D776" s="153"/>
      <c r="E776" s="156"/>
      <c r="F776" s="155"/>
      <c r="G776" s="156"/>
      <c r="H776" s="155"/>
      <c r="I776" s="156"/>
      <c r="J776" s="155"/>
      <c r="K776" s="156"/>
      <c r="L776" s="155"/>
      <c r="M776" s="156"/>
      <c r="N776" s="157"/>
    </row>
    <row r="777" spans="1:14" ht="24" customHeight="1" thickBot="1" x14ac:dyDescent="0.4">
      <c r="A777" s="152"/>
      <c r="B777" s="153"/>
      <c r="C777" s="153"/>
      <c r="D777" s="153"/>
      <c r="E777" s="156"/>
      <c r="F777" s="155"/>
      <c r="G777" s="156"/>
      <c r="H777" s="155"/>
      <c r="I777" s="156"/>
      <c r="J777" s="155"/>
      <c r="K777" s="156"/>
      <c r="L777" s="155"/>
      <c r="M777" s="156"/>
      <c r="N777" s="157"/>
    </row>
    <row r="778" spans="1:14" ht="24" customHeight="1" thickBot="1" x14ac:dyDescent="0.4">
      <c r="A778" s="152"/>
      <c r="B778" s="153"/>
      <c r="C778" s="153"/>
      <c r="D778" s="153"/>
      <c r="E778" s="156"/>
      <c r="F778" s="155"/>
      <c r="G778" s="156"/>
      <c r="H778" s="155"/>
      <c r="I778" s="156"/>
      <c r="J778" s="155"/>
      <c r="K778" s="156"/>
      <c r="L778" s="155"/>
      <c r="M778" s="156"/>
      <c r="N778" s="157"/>
    </row>
    <row r="779" spans="1:14" ht="24" customHeight="1" thickBot="1" x14ac:dyDescent="0.4">
      <c r="A779" s="152"/>
      <c r="B779" s="153"/>
      <c r="C779" s="153"/>
      <c r="D779" s="153"/>
      <c r="E779" s="156"/>
      <c r="F779" s="155"/>
      <c r="G779" s="156"/>
      <c r="H779" s="155"/>
      <c r="I779" s="156"/>
      <c r="J779" s="155"/>
      <c r="K779" s="156"/>
      <c r="L779" s="155"/>
      <c r="M779" s="156"/>
      <c r="N779" s="157"/>
    </row>
    <row r="780" spans="1:14" ht="24" customHeight="1" thickBot="1" x14ac:dyDescent="0.4">
      <c r="A780" s="152"/>
      <c r="B780" s="153"/>
      <c r="C780" s="153"/>
      <c r="D780" s="153"/>
      <c r="E780" s="156"/>
      <c r="F780" s="155"/>
      <c r="G780" s="156"/>
      <c r="H780" s="155"/>
      <c r="I780" s="156"/>
      <c r="J780" s="155"/>
      <c r="K780" s="156"/>
      <c r="L780" s="155"/>
      <c r="M780" s="156"/>
      <c r="N780" s="157"/>
    </row>
    <row r="781" spans="1:14" ht="24" customHeight="1" thickBot="1" x14ac:dyDescent="0.4">
      <c r="A781" s="152"/>
      <c r="B781" s="153"/>
      <c r="C781" s="153"/>
      <c r="D781" s="153"/>
      <c r="E781" s="156"/>
      <c r="F781" s="155"/>
      <c r="G781" s="156"/>
      <c r="H781" s="155"/>
      <c r="I781" s="156"/>
      <c r="J781" s="155"/>
      <c r="K781" s="156"/>
      <c r="L781" s="155"/>
      <c r="M781" s="156"/>
      <c r="N781" s="157"/>
    </row>
    <row r="782" spans="1:14" ht="24" customHeight="1" thickBot="1" x14ac:dyDescent="0.4">
      <c r="A782" s="152"/>
      <c r="B782" s="153"/>
      <c r="C782" s="153"/>
      <c r="D782" s="153"/>
      <c r="E782" s="156"/>
      <c r="F782" s="155"/>
      <c r="G782" s="156"/>
      <c r="H782" s="155"/>
      <c r="I782" s="156"/>
      <c r="J782" s="155"/>
      <c r="K782" s="156"/>
      <c r="L782" s="155"/>
      <c r="M782" s="156"/>
      <c r="N782" s="157"/>
    </row>
    <row r="783" spans="1:14" ht="24" customHeight="1" thickBot="1" x14ac:dyDescent="0.4">
      <c r="A783" s="152"/>
      <c r="B783" s="153"/>
      <c r="C783" s="153"/>
      <c r="D783" s="153"/>
      <c r="E783" s="156"/>
      <c r="F783" s="155"/>
      <c r="G783" s="156"/>
      <c r="H783" s="155"/>
      <c r="I783" s="156"/>
      <c r="J783" s="155"/>
      <c r="K783" s="156"/>
      <c r="L783" s="155"/>
      <c r="M783" s="156"/>
      <c r="N783" s="157"/>
    </row>
    <row r="784" spans="1:14" ht="24" customHeight="1" thickBot="1" x14ac:dyDescent="0.4">
      <c r="A784" s="152"/>
      <c r="B784" s="153"/>
      <c r="C784" s="153"/>
      <c r="D784" s="153"/>
      <c r="E784" s="156"/>
      <c r="F784" s="155"/>
      <c r="G784" s="156"/>
      <c r="H784" s="155"/>
      <c r="I784" s="156"/>
      <c r="J784" s="155"/>
      <c r="K784" s="156"/>
      <c r="L784" s="155"/>
      <c r="M784" s="156"/>
      <c r="N784" s="157"/>
    </row>
    <row r="785" spans="1:14" ht="24" customHeight="1" thickBot="1" x14ac:dyDescent="0.4">
      <c r="A785" s="152"/>
      <c r="B785" s="153"/>
      <c r="C785" s="153"/>
      <c r="D785" s="153"/>
      <c r="E785" s="156"/>
      <c r="F785" s="155"/>
      <c r="G785" s="156"/>
      <c r="H785" s="155"/>
      <c r="I785" s="156"/>
      <c r="J785" s="155"/>
      <c r="K785" s="156"/>
      <c r="L785" s="155"/>
      <c r="M785" s="156"/>
      <c r="N785" s="157"/>
    </row>
    <row r="786" spans="1:14" ht="24" customHeight="1" thickBot="1" x14ac:dyDescent="0.4">
      <c r="A786" s="152"/>
      <c r="B786" s="153"/>
      <c r="C786" s="153"/>
      <c r="D786" s="153"/>
      <c r="E786" s="156"/>
      <c r="F786" s="155"/>
      <c r="G786" s="156"/>
      <c r="H786" s="155"/>
      <c r="I786" s="156"/>
      <c r="J786" s="155"/>
      <c r="K786" s="156"/>
      <c r="L786" s="155"/>
      <c r="M786" s="156"/>
      <c r="N786" s="157"/>
    </row>
    <row r="787" spans="1:14" ht="24" customHeight="1" thickBot="1" x14ac:dyDescent="0.4">
      <c r="A787" s="152"/>
      <c r="B787" s="153"/>
      <c r="C787" s="153"/>
      <c r="D787" s="153"/>
      <c r="E787" s="156"/>
      <c r="F787" s="155"/>
      <c r="G787" s="156"/>
      <c r="H787" s="155"/>
      <c r="I787" s="156"/>
      <c r="J787" s="155"/>
      <c r="K787" s="156"/>
      <c r="L787" s="155"/>
      <c r="M787" s="156"/>
      <c r="N787" s="157"/>
    </row>
    <row r="788" spans="1:14" ht="24" customHeight="1" thickBot="1" x14ac:dyDescent="0.4">
      <c r="A788" s="152"/>
      <c r="B788" s="153"/>
      <c r="C788" s="153"/>
      <c r="D788" s="153"/>
      <c r="E788" s="156"/>
      <c r="F788" s="155"/>
      <c r="G788" s="156"/>
      <c r="H788" s="155"/>
      <c r="I788" s="156"/>
      <c r="J788" s="155"/>
      <c r="K788" s="156"/>
      <c r="L788" s="155"/>
      <c r="M788" s="156"/>
      <c r="N788" s="157"/>
    </row>
    <row r="789" spans="1:14" ht="24" customHeight="1" thickBot="1" x14ac:dyDescent="0.4">
      <c r="A789" s="152"/>
      <c r="B789" s="153"/>
      <c r="C789" s="153"/>
      <c r="D789" s="153"/>
      <c r="E789" s="156"/>
      <c r="F789" s="155"/>
      <c r="G789" s="156"/>
      <c r="H789" s="155"/>
      <c r="I789" s="156"/>
      <c r="J789" s="155"/>
      <c r="K789" s="156"/>
      <c r="L789" s="155"/>
      <c r="M789" s="156"/>
      <c r="N789" s="157"/>
    </row>
    <row r="790" spans="1:14" ht="24" customHeight="1" thickBot="1" x14ac:dyDescent="0.4">
      <c r="A790" s="152"/>
      <c r="B790" s="153"/>
      <c r="C790" s="153"/>
      <c r="D790" s="153"/>
      <c r="E790" s="156"/>
      <c r="F790" s="155"/>
      <c r="G790" s="156"/>
      <c r="H790" s="155"/>
      <c r="I790" s="156"/>
      <c r="J790" s="155"/>
      <c r="K790" s="156"/>
      <c r="L790" s="155"/>
      <c r="M790" s="156"/>
      <c r="N790" s="157"/>
    </row>
    <row r="791" spans="1:14" ht="24" customHeight="1" thickBot="1" x14ac:dyDescent="0.4">
      <c r="A791" s="152"/>
      <c r="B791" s="153"/>
      <c r="C791" s="153"/>
      <c r="D791" s="153"/>
      <c r="E791" s="156"/>
      <c r="F791" s="155"/>
      <c r="G791" s="156"/>
      <c r="H791" s="155"/>
      <c r="I791" s="156"/>
      <c r="J791" s="155"/>
      <c r="K791" s="156"/>
      <c r="L791" s="155"/>
      <c r="M791" s="156"/>
      <c r="N791" s="157"/>
    </row>
    <row r="792" spans="1:14" ht="24" customHeight="1" thickBot="1" x14ac:dyDescent="0.4">
      <c r="A792" s="152"/>
      <c r="B792" s="153"/>
      <c r="C792" s="153"/>
      <c r="D792" s="153"/>
      <c r="E792" s="156"/>
      <c r="F792" s="155"/>
      <c r="G792" s="156"/>
      <c r="H792" s="155"/>
      <c r="I792" s="156"/>
      <c r="J792" s="155"/>
      <c r="K792" s="156"/>
      <c r="L792" s="155"/>
      <c r="M792" s="156"/>
      <c r="N792" s="157"/>
    </row>
    <row r="793" spans="1:14" ht="24" customHeight="1" thickBot="1" x14ac:dyDescent="0.4">
      <c r="A793" s="152"/>
      <c r="B793" s="153"/>
      <c r="C793" s="153"/>
      <c r="D793" s="153"/>
      <c r="E793" s="156"/>
      <c r="F793" s="155"/>
      <c r="G793" s="156"/>
      <c r="H793" s="155"/>
      <c r="I793" s="156"/>
      <c r="J793" s="155"/>
      <c r="K793" s="156"/>
      <c r="L793" s="155"/>
      <c r="M793" s="156"/>
      <c r="N793" s="157"/>
    </row>
    <row r="794" spans="1:14" ht="24" customHeight="1" thickBot="1" x14ac:dyDescent="0.4">
      <c r="A794" s="152"/>
      <c r="B794" s="153"/>
      <c r="C794" s="153"/>
      <c r="D794" s="153"/>
      <c r="E794" s="156"/>
      <c r="F794" s="155"/>
      <c r="G794" s="156"/>
      <c r="H794" s="155"/>
      <c r="I794" s="156"/>
      <c r="J794" s="155"/>
      <c r="K794" s="156"/>
      <c r="L794" s="155"/>
      <c r="M794" s="156"/>
      <c r="N794" s="157"/>
    </row>
    <row r="795" spans="1:14" ht="24" customHeight="1" thickBot="1" x14ac:dyDescent="0.4">
      <c r="A795" s="152"/>
      <c r="B795" s="153"/>
      <c r="C795" s="153"/>
      <c r="D795" s="153"/>
      <c r="E795" s="156"/>
      <c r="F795" s="155"/>
      <c r="G795" s="156"/>
      <c r="H795" s="155"/>
      <c r="I795" s="156"/>
      <c r="J795" s="155"/>
      <c r="K795" s="156"/>
      <c r="L795" s="155"/>
      <c r="M795" s="156"/>
      <c r="N795" s="157"/>
    </row>
    <row r="796" spans="1:14" ht="24" customHeight="1" thickBot="1" x14ac:dyDescent="0.4">
      <c r="A796" s="152"/>
      <c r="B796" s="153"/>
      <c r="C796" s="153"/>
      <c r="D796" s="153"/>
      <c r="E796" s="156"/>
      <c r="F796" s="155"/>
      <c r="G796" s="156"/>
      <c r="H796" s="155"/>
      <c r="I796" s="156"/>
      <c r="J796" s="155"/>
      <c r="K796" s="156"/>
      <c r="L796" s="155"/>
      <c r="M796" s="156"/>
      <c r="N796" s="157"/>
    </row>
    <row r="797" spans="1:14" ht="24" customHeight="1" thickBot="1" x14ac:dyDescent="0.4">
      <c r="A797" s="152"/>
      <c r="B797" s="153"/>
      <c r="C797" s="153"/>
      <c r="D797" s="153"/>
      <c r="E797" s="156"/>
      <c r="F797" s="155"/>
      <c r="G797" s="156"/>
      <c r="H797" s="155"/>
      <c r="I797" s="156"/>
      <c r="J797" s="155"/>
      <c r="K797" s="156"/>
      <c r="L797" s="155"/>
      <c r="M797" s="156"/>
      <c r="N797" s="157"/>
    </row>
    <row r="798" spans="1:14" ht="24" customHeight="1" thickBot="1" x14ac:dyDescent="0.4">
      <c r="A798" s="152"/>
      <c r="B798" s="153"/>
      <c r="C798" s="153"/>
      <c r="D798" s="153"/>
      <c r="E798" s="156"/>
      <c r="F798" s="155"/>
      <c r="G798" s="156"/>
      <c r="H798" s="155"/>
      <c r="I798" s="156"/>
      <c r="J798" s="155"/>
      <c r="K798" s="156"/>
      <c r="L798" s="155"/>
      <c r="M798" s="156"/>
      <c r="N798" s="157"/>
    </row>
    <row r="799" spans="1:14" ht="24" customHeight="1" thickBot="1" x14ac:dyDescent="0.4">
      <c r="A799" s="152"/>
      <c r="B799" s="153"/>
      <c r="C799" s="153"/>
      <c r="D799" s="153"/>
      <c r="E799" s="156"/>
      <c r="F799" s="155"/>
      <c r="G799" s="156"/>
      <c r="H799" s="155"/>
      <c r="I799" s="156"/>
      <c r="J799" s="155"/>
      <c r="K799" s="156"/>
      <c r="L799" s="155"/>
      <c r="M799" s="156"/>
      <c r="N799" s="157"/>
    </row>
    <row r="800" spans="1:14" ht="24" customHeight="1" thickBot="1" x14ac:dyDescent="0.4">
      <c r="A800" s="152"/>
      <c r="B800" s="153"/>
      <c r="C800" s="153"/>
      <c r="D800" s="153"/>
      <c r="E800" s="156"/>
      <c r="F800" s="155"/>
      <c r="G800" s="156"/>
      <c r="H800" s="155"/>
      <c r="I800" s="156"/>
      <c r="J800" s="155"/>
      <c r="K800" s="156"/>
      <c r="L800" s="155"/>
      <c r="M800" s="156"/>
      <c r="N800" s="157"/>
    </row>
    <row r="801" spans="1:14" ht="24" customHeight="1" thickBot="1" x14ac:dyDescent="0.4">
      <c r="A801" s="152"/>
      <c r="B801" s="153"/>
      <c r="C801" s="153"/>
      <c r="D801" s="153"/>
      <c r="E801" s="156"/>
      <c r="F801" s="155"/>
      <c r="G801" s="156"/>
      <c r="H801" s="155"/>
      <c r="I801" s="156"/>
      <c r="J801" s="155"/>
      <c r="K801" s="156"/>
      <c r="L801" s="155"/>
      <c r="M801" s="156"/>
      <c r="N801" s="157"/>
    </row>
    <row r="802" spans="1:14" ht="24" customHeight="1" thickBot="1" x14ac:dyDescent="0.4">
      <c r="A802" s="152"/>
      <c r="B802" s="153"/>
      <c r="C802" s="153"/>
      <c r="D802" s="153"/>
      <c r="E802" s="156"/>
      <c r="F802" s="155"/>
      <c r="G802" s="156"/>
      <c r="H802" s="155"/>
      <c r="I802" s="156"/>
      <c r="J802" s="155"/>
      <c r="K802" s="156"/>
      <c r="L802" s="155"/>
      <c r="M802" s="156"/>
      <c r="N802" s="157"/>
    </row>
    <row r="803" spans="1:14" ht="24" customHeight="1" thickBot="1" x14ac:dyDescent="0.4">
      <c r="A803" s="152"/>
      <c r="B803" s="153"/>
      <c r="C803" s="153"/>
      <c r="D803" s="153"/>
      <c r="E803" s="156"/>
      <c r="F803" s="155"/>
      <c r="G803" s="156"/>
      <c r="H803" s="155"/>
      <c r="I803" s="156"/>
      <c r="J803" s="155"/>
      <c r="K803" s="156"/>
      <c r="L803" s="155"/>
      <c r="M803" s="156"/>
      <c r="N803" s="157"/>
    </row>
    <row r="804" spans="1:14" ht="24" customHeight="1" thickBot="1" x14ac:dyDescent="0.4">
      <c r="A804" s="152"/>
      <c r="B804" s="153"/>
      <c r="C804" s="153"/>
      <c r="D804" s="153"/>
      <c r="E804" s="156"/>
      <c r="F804" s="155"/>
      <c r="G804" s="156"/>
      <c r="H804" s="155"/>
      <c r="I804" s="156"/>
      <c r="J804" s="155"/>
      <c r="K804" s="156"/>
      <c r="L804" s="155"/>
      <c r="M804" s="156"/>
      <c r="N804" s="157"/>
    </row>
    <row r="805" spans="1:14" ht="24" customHeight="1" thickBot="1" x14ac:dyDescent="0.4">
      <c r="A805" s="152"/>
      <c r="B805" s="153"/>
      <c r="C805" s="153"/>
      <c r="D805" s="153"/>
      <c r="E805" s="156"/>
      <c r="F805" s="155"/>
      <c r="G805" s="156"/>
      <c r="H805" s="155"/>
      <c r="I805" s="156"/>
      <c r="J805" s="155"/>
      <c r="K805" s="156"/>
      <c r="L805" s="155"/>
      <c r="M805" s="156"/>
      <c r="N805" s="157"/>
    </row>
    <row r="806" spans="1:14" ht="24" customHeight="1" thickBot="1" x14ac:dyDescent="0.4">
      <c r="A806" s="152"/>
      <c r="B806" s="153"/>
      <c r="C806" s="153"/>
      <c r="D806" s="153"/>
      <c r="E806" s="156"/>
      <c r="F806" s="155"/>
      <c r="G806" s="156"/>
      <c r="H806" s="155"/>
      <c r="I806" s="156"/>
      <c r="J806" s="155"/>
      <c r="K806" s="156"/>
      <c r="L806" s="155"/>
      <c r="M806" s="156"/>
      <c r="N806" s="157"/>
    </row>
    <row r="807" spans="1:14" ht="24" customHeight="1" thickBot="1" x14ac:dyDescent="0.4">
      <c r="A807" s="152"/>
      <c r="B807" s="153"/>
      <c r="C807" s="153"/>
      <c r="D807" s="153"/>
      <c r="E807" s="156"/>
      <c r="F807" s="155"/>
      <c r="G807" s="156"/>
      <c r="H807" s="155"/>
      <c r="I807" s="156"/>
      <c r="J807" s="155"/>
      <c r="K807" s="156"/>
      <c r="L807" s="155"/>
      <c r="M807" s="156"/>
      <c r="N807" s="157"/>
    </row>
    <row r="808" spans="1:14" ht="24" customHeight="1" thickBot="1" x14ac:dyDescent="0.4">
      <c r="A808" s="152"/>
      <c r="B808" s="153"/>
      <c r="C808" s="153"/>
      <c r="D808" s="153"/>
      <c r="E808" s="156"/>
      <c r="F808" s="155"/>
      <c r="G808" s="156"/>
      <c r="H808" s="155"/>
      <c r="I808" s="156"/>
      <c r="J808" s="155"/>
      <c r="K808" s="156"/>
      <c r="L808" s="155"/>
      <c r="M808" s="156"/>
      <c r="N808" s="157"/>
    </row>
    <row r="809" spans="1:14" ht="24" customHeight="1" thickBot="1" x14ac:dyDescent="0.4">
      <c r="A809" s="152"/>
      <c r="B809" s="153"/>
      <c r="C809" s="153"/>
      <c r="D809" s="153"/>
      <c r="E809" s="156"/>
      <c r="F809" s="155"/>
      <c r="G809" s="156"/>
      <c r="H809" s="155"/>
      <c r="I809" s="156"/>
      <c r="J809" s="155"/>
      <c r="K809" s="156"/>
      <c r="L809" s="155"/>
      <c r="M809" s="156"/>
      <c r="N809" s="157"/>
    </row>
    <row r="810" spans="1:14" ht="24" customHeight="1" thickBot="1" x14ac:dyDescent="0.4">
      <c r="A810" s="152"/>
      <c r="B810" s="153"/>
      <c r="C810" s="153"/>
      <c r="D810" s="153"/>
      <c r="E810" s="156"/>
      <c r="F810" s="155"/>
      <c r="G810" s="156"/>
      <c r="H810" s="155"/>
      <c r="I810" s="156"/>
      <c r="J810" s="155"/>
      <c r="K810" s="156"/>
      <c r="L810" s="155"/>
      <c r="M810" s="156"/>
      <c r="N810" s="157"/>
    </row>
    <row r="811" spans="1:14" ht="24" customHeight="1" thickBot="1" x14ac:dyDescent="0.4">
      <c r="A811" s="152"/>
      <c r="B811" s="153"/>
      <c r="C811" s="153"/>
      <c r="D811" s="153"/>
      <c r="E811" s="156"/>
      <c r="F811" s="155"/>
      <c r="G811" s="156"/>
      <c r="H811" s="155"/>
      <c r="I811" s="156"/>
      <c r="J811" s="155"/>
      <c r="K811" s="156"/>
      <c r="L811" s="155"/>
      <c r="M811" s="156"/>
      <c r="N811" s="157"/>
    </row>
    <row r="812" spans="1:14" ht="24" customHeight="1" thickBot="1" x14ac:dyDescent="0.4">
      <c r="A812" s="152"/>
      <c r="B812" s="153"/>
      <c r="C812" s="153"/>
      <c r="D812" s="153"/>
      <c r="E812" s="156"/>
      <c r="F812" s="155"/>
      <c r="G812" s="156"/>
      <c r="H812" s="155"/>
      <c r="I812" s="156"/>
      <c r="J812" s="155"/>
      <c r="K812" s="156"/>
      <c r="L812" s="155"/>
      <c r="M812" s="156"/>
      <c r="N812" s="157"/>
    </row>
    <row r="813" spans="1:14" ht="24" customHeight="1" thickBot="1" x14ac:dyDescent="0.4">
      <c r="A813" s="152"/>
      <c r="B813" s="153"/>
      <c r="C813" s="153"/>
      <c r="D813" s="153"/>
      <c r="E813" s="156"/>
      <c r="F813" s="155"/>
      <c r="G813" s="156"/>
      <c r="H813" s="155"/>
      <c r="I813" s="156"/>
      <c r="J813" s="155"/>
      <c r="K813" s="156"/>
      <c r="L813" s="155"/>
      <c r="M813" s="156"/>
      <c r="N813" s="157"/>
    </row>
    <row r="814" spans="1:14" ht="24" customHeight="1" thickBot="1" x14ac:dyDescent="0.4">
      <c r="A814" s="152"/>
      <c r="B814" s="153"/>
      <c r="C814" s="153"/>
      <c r="D814" s="153"/>
      <c r="E814" s="156"/>
      <c r="F814" s="155"/>
      <c r="G814" s="156"/>
      <c r="H814" s="155"/>
      <c r="I814" s="156"/>
      <c r="J814" s="155"/>
      <c r="K814" s="156"/>
      <c r="L814" s="155"/>
      <c r="M814" s="156"/>
      <c r="N814" s="157"/>
    </row>
    <row r="815" spans="1:14" ht="24" customHeight="1" thickBot="1" x14ac:dyDescent="0.4">
      <c r="A815" s="152"/>
      <c r="B815" s="153"/>
      <c r="C815" s="153"/>
      <c r="D815" s="153"/>
      <c r="E815" s="156"/>
      <c r="F815" s="155"/>
      <c r="G815" s="156"/>
      <c r="H815" s="155"/>
      <c r="I815" s="156"/>
      <c r="J815" s="155"/>
      <c r="K815" s="156"/>
      <c r="L815" s="155"/>
      <c r="M815" s="156"/>
      <c r="N815" s="157"/>
    </row>
    <row r="816" spans="1:14" ht="24" customHeight="1" thickBot="1" x14ac:dyDescent="0.4">
      <c r="A816" s="152"/>
      <c r="B816" s="153"/>
      <c r="C816" s="153"/>
      <c r="D816" s="153"/>
      <c r="E816" s="156"/>
      <c r="F816" s="155"/>
      <c r="G816" s="156"/>
      <c r="H816" s="155"/>
      <c r="I816" s="156"/>
      <c r="J816" s="155"/>
      <c r="K816" s="156"/>
      <c r="L816" s="155"/>
      <c r="M816" s="156"/>
      <c r="N816" s="157"/>
    </row>
    <row r="817" spans="1:14" ht="24" customHeight="1" thickBot="1" x14ac:dyDescent="0.4">
      <c r="A817" s="152"/>
      <c r="B817" s="153"/>
      <c r="C817" s="153"/>
      <c r="D817" s="153"/>
      <c r="E817" s="156"/>
      <c r="F817" s="155"/>
      <c r="G817" s="156"/>
      <c r="H817" s="155"/>
      <c r="I817" s="156"/>
      <c r="J817" s="155"/>
      <c r="K817" s="156"/>
      <c r="L817" s="155"/>
      <c r="M817" s="156"/>
      <c r="N817" s="157"/>
    </row>
    <row r="818" spans="1:14" ht="24" customHeight="1" thickBot="1" x14ac:dyDescent="0.4">
      <c r="A818" s="152"/>
      <c r="B818" s="153"/>
      <c r="C818" s="153"/>
      <c r="D818" s="153"/>
      <c r="E818" s="156"/>
      <c r="F818" s="155"/>
      <c r="G818" s="156"/>
      <c r="H818" s="155"/>
      <c r="I818" s="156"/>
      <c r="J818" s="155"/>
      <c r="K818" s="156"/>
      <c r="L818" s="155"/>
      <c r="M818" s="156"/>
      <c r="N818" s="157"/>
    </row>
    <row r="819" spans="1:14" ht="24" customHeight="1" thickBot="1" x14ac:dyDescent="0.4">
      <c r="A819" s="152"/>
      <c r="B819" s="153"/>
      <c r="C819" s="153"/>
      <c r="D819" s="153"/>
      <c r="E819" s="156"/>
      <c r="F819" s="155"/>
      <c r="G819" s="156"/>
      <c r="H819" s="155"/>
      <c r="I819" s="156"/>
      <c r="J819" s="155"/>
      <c r="K819" s="156"/>
      <c r="L819" s="155"/>
      <c r="M819" s="156"/>
      <c r="N819" s="157"/>
    </row>
    <row r="820" spans="1:14" ht="24" customHeight="1" thickBot="1" x14ac:dyDescent="0.4">
      <c r="A820" s="152"/>
      <c r="B820" s="153"/>
      <c r="C820" s="153"/>
      <c r="D820" s="153"/>
      <c r="E820" s="156"/>
      <c r="F820" s="155"/>
      <c r="G820" s="156"/>
      <c r="H820" s="155"/>
      <c r="I820" s="156"/>
      <c r="J820" s="155"/>
      <c r="K820" s="156"/>
      <c r="L820" s="155"/>
      <c r="M820" s="156"/>
      <c r="N820" s="157"/>
    </row>
    <row r="821" spans="1:14" ht="24" customHeight="1" thickBot="1" x14ac:dyDescent="0.4">
      <c r="A821" s="152"/>
      <c r="B821" s="153"/>
      <c r="C821" s="153"/>
      <c r="D821" s="153"/>
      <c r="E821" s="156"/>
      <c r="F821" s="155"/>
      <c r="G821" s="156"/>
      <c r="H821" s="155"/>
      <c r="I821" s="156"/>
      <c r="J821" s="155"/>
      <c r="K821" s="156"/>
      <c r="L821" s="155"/>
      <c r="M821" s="156"/>
      <c r="N821" s="157"/>
    </row>
    <row r="822" spans="1:14" ht="24" customHeight="1" thickBot="1" x14ac:dyDescent="0.4">
      <c r="A822" s="152"/>
      <c r="B822" s="153"/>
      <c r="C822" s="153"/>
      <c r="D822" s="153"/>
      <c r="E822" s="156"/>
      <c r="F822" s="155"/>
      <c r="G822" s="156"/>
      <c r="H822" s="155"/>
      <c r="I822" s="156"/>
      <c r="J822" s="155"/>
      <c r="K822" s="156"/>
      <c r="L822" s="155"/>
      <c r="M822" s="156"/>
      <c r="N822" s="157"/>
    </row>
    <row r="823" spans="1:14" ht="24" customHeight="1" thickBot="1" x14ac:dyDescent="0.4">
      <c r="A823" s="152"/>
      <c r="B823" s="153"/>
      <c r="C823" s="153"/>
      <c r="D823" s="153"/>
      <c r="E823" s="156"/>
      <c r="F823" s="155"/>
      <c r="G823" s="156"/>
      <c r="H823" s="155"/>
      <c r="I823" s="156"/>
      <c r="J823" s="155"/>
      <c r="K823" s="156"/>
      <c r="L823" s="155"/>
      <c r="M823" s="156"/>
      <c r="N823" s="157"/>
    </row>
    <row r="824" spans="1:14" ht="24" customHeight="1" thickBot="1" x14ac:dyDescent="0.4">
      <c r="A824" s="152"/>
      <c r="B824" s="153"/>
      <c r="C824" s="153"/>
      <c r="D824" s="153"/>
      <c r="E824" s="156"/>
      <c r="F824" s="155"/>
      <c r="G824" s="156"/>
      <c r="H824" s="155"/>
      <c r="I824" s="156"/>
      <c r="J824" s="155"/>
      <c r="K824" s="156"/>
      <c r="L824" s="155"/>
      <c r="M824" s="156"/>
      <c r="N824" s="157"/>
    </row>
    <row r="825" spans="1:14" ht="24" customHeight="1" thickBot="1" x14ac:dyDescent="0.4">
      <c r="A825" s="152"/>
      <c r="B825" s="153"/>
      <c r="C825" s="153"/>
      <c r="D825" s="153"/>
      <c r="E825" s="156"/>
      <c r="F825" s="155"/>
      <c r="G825" s="156"/>
      <c r="H825" s="155"/>
      <c r="I825" s="156"/>
      <c r="J825" s="155"/>
      <c r="K825" s="156"/>
      <c r="L825" s="155"/>
      <c r="M825" s="156"/>
      <c r="N825" s="157"/>
    </row>
    <row r="826" spans="1:14" ht="24" customHeight="1" thickBot="1" x14ac:dyDescent="0.4">
      <c r="A826" s="152"/>
      <c r="B826" s="153"/>
      <c r="C826" s="153"/>
      <c r="D826" s="153"/>
      <c r="E826" s="156"/>
      <c r="F826" s="155"/>
      <c r="G826" s="156"/>
      <c r="H826" s="155"/>
      <c r="I826" s="156"/>
      <c r="J826" s="155"/>
      <c r="K826" s="156"/>
      <c r="L826" s="155"/>
      <c r="M826" s="156"/>
      <c r="N826" s="157"/>
    </row>
    <row r="827" spans="1:14" ht="24" customHeight="1" thickBot="1" x14ac:dyDescent="0.4">
      <c r="A827" s="152"/>
      <c r="B827" s="153"/>
      <c r="C827" s="153"/>
      <c r="D827" s="153"/>
      <c r="E827" s="156"/>
      <c r="F827" s="155"/>
      <c r="G827" s="156"/>
      <c r="H827" s="155"/>
      <c r="I827" s="156"/>
      <c r="J827" s="155"/>
      <c r="K827" s="156"/>
      <c r="L827" s="155"/>
      <c r="M827" s="156"/>
      <c r="N827" s="157"/>
    </row>
    <row r="828" spans="1:14" ht="24" customHeight="1" thickBot="1" x14ac:dyDescent="0.4">
      <c r="A828" s="152"/>
      <c r="B828" s="153"/>
      <c r="C828" s="153"/>
      <c r="D828" s="153"/>
      <c r="E828" s="156"/>
      <c r="F828" s="155"/>
      <c r="G828" s="156"/>
      <c r="H828" s="155"/>
      <c r="I828" s="156"/>
      <c r="J828" s="155"/>
      <c r="K828" s="156"/>
      <c r="L828" s="155"/>
      <c r="M828" s="156"/>
      <c r="N828" s="157"/>
    </row>
    <row r="829" spans="1:14" ht="24" customHeight="1" thickBot="1" x14ac:dyDescent="0.4">
      <c r="A829" s="152"/>
      <c r="B829" s="153"/>
      <c r="C829" s="153"/>
      <c r="D829" s="153"/>
      <c r="E829" s="156"/>
      <c r="F829" s="155"/>
      <c r="G829" s="156"/>
      <c r="H829" s="155"/>
      <c r="I829" s="156"/>
      <c r="J829" s="155"/>
      <c r="K829" s="156"/>
      <c r="L829" s="155"/>
      <c r="M829" s="156"/>
      <c r="N829" s="157"/>
    </row>
    <row r="830" spans="1:14" ht="24" customHeight="1" thickBot="1" x14ac:dyDescent="0.4">
      <c r="A830" s="152"/>
      <c r="B830" s="153"/>
      <c r="C830" s="153"/>
      <c r="D830" s="153"/>
      <c r="E830" s="156"/>
      <c r="F830" s="155"/>
      <c r="G830" s="156"/>
      <c r="H830" s="155"/>
      <c r="I830" s="156"/>
      <c r="J830" s="155"/>
      <c r="K830" s="156"/>
      <c r="L830" s="155"/>
      <c r="M830" s="156"/>
      <c r="N830" s="157"/>
    </row>
    <row r="831" spans="1:14" ht="24" customHeight="1" thickBot="1" x14ac:dyDescent="0.4">
      <c r="A831" s="152"/>
      <c r="B831" s="153"/>
      <c r="C831" s="153"/>
      <c r="D831" s="153"/>
      <c r="E831" s="156"/>
      <c r="F831" s="155"/>
      <c r="G831" s="156"/>
      <c r="H831" s="155"/>
      <c r="I831" s="156"/>
      <c r="J831" s="155"/>
      <c r="K831" s="156"/>
      <c r="L831" s="155"/>
      <c r="M831" s="156"/>
      <c r="N831" s="157"/>
    </row>
    <row r="832" spans="1:14" ht="24" customHeight="1" thickBot="1" x14ac:dyDescent="0.4">
      <c r="A832" s="152"/>
      <c r="B832" s="153"/>
      <c r="C832" s="153"/>
      <c r="D832" s="153"/>
      <c r="E832" s="156"/>
      <c r="F832" s="155"/>
      <c r="G832" s="156"/>
      <c r="H832" s="155"/>
      <c r="I832" s="156"/>
      <c r="J832" s="155"/>
      <c r="K832" s="156"/>
      <c r="L832" s="155"/>
      <c r="M832" s="156"/>
      <c r="N832" s="157"/>
    </row>
    <row r="833" spans="1:14" ht="24" customHeight="1" thickBot="1" x14ac:dyDescent="0.4">
      <c r="A833" s="152"/>
      <c r="B833" s="153"/>
      <c r="C833" s="153"/>
      <c r="D833" s="153"/>
      <c r="E833" s="156"/>
      <c r="F833" s="155"/>
      <c r="G833" s="156"/>
      <c r="H833" s="155"/>
      <c r="I833" s="156"/>
      <c r="J833" s="155"/>
      <c r="K833" s="156"/>
      <c r="L833" s="155"/>
      <c r="M833" s="156"/>
      <c r="N833" s="157"/>
    </row>
    <row r="834" spans="1:14" ht="24" customHeight="1" thickBot="1" x14ac:dyDescent="0.4">
      <c r="A834" s="152"/>
      <c r="B834" s="153"/>
      <c r="C834" s="153"/>
      <c r="D834" s="153"/>
      <c r="E834" s="156"/>
      <c r="F834" s="155"/>
      <c r="G834" s="156"/>
      <c r="H834" s="155"/>
      <c r="I834" s="156"/>
      <c r="J834" s="155"/>
      <c r="K834" s="156"/>
      <c r="L834" s="155"/>
      <c r="M834" s="156"/>
      <c r="N834" s="157"/>
    </row>
    <row r="835" spans="1:14" ht="24" customHeight="1" thickBot="1" x14ac:dyDescent="0.4">
      <c r="A835" s="152"/>
      <c r="B835" s="153"/>
      <c r="C835" s="153"/>
      <c r="D835" s="153"/>
      <c r="E835" s="156"/>
      <c r="F835" s="155"/>
      <c r="G835" s="156"/>
      <c r="H835" s="155"/>
      <c r="I835" s="156"/>
      <c r="J835" s="155"/>
      <c r="K835" s="156"/>
      <c r="L835" s="155"/>
      <c r="M835" s="156"/>
      <c r="N835" s="157"/>
    </row>
    <row r="836" spans="1:14" ht="24" customHeight="1" thickBot="1" x14ac:dyDescent="0.4">
      <c r="A836" s="152"/>
      <c r="B836" s="153"/>
      <c r="C836" s="153"/>
      <c r="D836" s="153"/>
      <c r="E836" s="156"/>
      <c r="F836" s="155"/>
      <c r="G836" s="156"/>
      <c r="H836" s="155"/>
      <c r="I836" s="156"/>
      <c r="J836" s="155"/>
      <c r="K836" s="156"/>
      <c r="L836" s="155"/>
      <c r="M836" s="156"/>
      <c r="N836" s="157"/>
    </row>
    <row r="837" spans="1:14" ht="24" customHeight="1" thickBot="1" x14ac:dyDescent="0.4">
      <c r="A837" s="152"/>
      <c r="B837" s="153"/>
      <c r="C837" s="153"/>
      <c r="D837" s="153"/>
      <c r="E837" s="156"/>
      <c r="F837" s="155"/>
      <c r="G837" s="156"/>
      <c r="H837" s="155"/>
      <c r="I837" s="156"/>
      <c r="J837" s="155"/>
      <c r="K837" s="156"/>
      <c r="L837" s="155"/>
      <c r="M837" s="156"/>
      <c r="N837" s="157"/>
    </row>
    <row r="838" spans="1:14" ht="24" customHeight="1" thickBot="1" x14ac:dyDescent="0.4">
      <c r="A838" s="152"/>
      <c r="B838" s="153"/>
      <c r="C838" s="153"/>
      <c r="D838" s="153"/>
      <c r="E838" s="156"/>
      <c r="F838" s="155"/>
      <c r="G838" s="156"/>
      <c r="H838" s="155"/>
      <c r="I838" s="156"/>
      <c r="J838" s="155"/>
      <c r="K838" s="156"/>
      <c r="L838" s="155"/>
      <c r="M838" s="156"/>
      <c r="N838" s="157"/>
    </row>
    <row r="839" spans="1:14" ht="24" customHeight="1" thickBot="1" x14ac:dyDescent="0.4">
      <c r="A839" s="152"/>
      <c r="B839" s="153"/>
      <c r="C839" s="153"/>
      <c r="D839" s="153"/>
      <c r="E839" s="156"/>
      <c r="F839" s="155"/>
      <c r="G839" s="156"/>
      <c r="H839" s="155"/>
      <c r="I839" s="156"/>
      <c r="J839" s="155"/>
      <c r="K839" s="156"/>
      <c r="L839" s="155"/>
      <c r="M839" s="156"/>
      <c r="N839" s="157"/>
    </row>
    <row r="840" spans="1:14" ht="24" customHeight="1" thickBot="1" x14ac:dyDescent="0.4">
      <c r="A840" s="152"/>
      <c r="B840" s="153"/>
      <c r="C840" s="153"/>
      <c r="D840" s="153"/>
      <c r="E840" s="156"/>
      <c r="F840" s="155"/>
      <c r="G840" s="156"/>
      <c r="H840" s="155"/>
      <c r="I840" s="156"/>
      <c r="J840" s="155"/>
      <c r="K840" s="156"/>
      <c r="L840" s="155"/>
      <c r="M840" s="156"/>
      <c r="N840" s="157"/>
    </row>
    <row r="841" spans="1:14" ht="24" customHeight="1" thickBot="1" x14ac:dyDescent="0.4">
      <c r="A841" s="152"/>
      <c r="B841" s="153"/>
      <c r="C841" s="153"/>
      <c r="D841" s="153"/>
      <c r="E841" s="156"/>
      <c r="F841" s="155"/>
      <c r="G841" s="156"/>
      <c r="H841" s="155"/>
      <c r="I841" s="156"/>
      <c r="J841" s="155"/>
      <c r="K841" s="156"/>
      <c r="L841" s="155"/>
      <c r="M841" s="156"/>
      <c r="N841" s="157"/>
    </row>
    <row r="842" spans="1:14" ht="24" customHeight="1" thickBot="1" x14ac:dyDescent="0.4">
      <c r="A842" s="152"/>
      <c r="B842" s="153"/>
      <c r="C842" s="153"/>
      <c r="D842" s="153"/>
      <c r="E842" s="156"/>
      <c r="F842" s="155"/>
      <c r="G842" s="156"/>
      <c r="H842" s="155"/>
      <c r="I842" s="156"/>
      <c r="J842" s="155"/>
      <c r="K842" s="156"/>
      <c r="L842" s="155"/>
      <c r="M842" s="156"/>
      <c r="N842" s="157"/>
    </row>
    <row r="843" spans="1:14" ht="24" customHeight="1" thickBot="1" x14ac:dyDescent="0.4">
      <c r="A843" s="152"/>
      <c r="B843" s="153"/>
      <c r="C843" s="153"/>
      <c r="D843" s="153"/>
      <c r="E843" s="156"/>
      <c r="F843" s="155"/>
      <c r="G843" s="156"/>
      <c r="H843" s="155"/>
      <c r="I843" s="156"/>
      <c r="J843" s="155"/>
      <c r="K843" s="156"/>
      <c r="L843" s="155"/>
      <c r="M843" s="156"/>
      <c r="N843" s="157"/>
    </row>
    <row r="844" spans="1:14" ht="24" customHeight="1" thickBot="1" x14ac:dyDescent="0.4">
      <c r="A844" s="152"/>
      <c r="B844" s="153"/>
      <c r="C844" s="153"/>
      <c r="D844" s="153"/>
      <c r="E844" s="156"/>
      <c r="F844" s="155"/>
      <c r="G844" s="156"/>
      <c r="H844" s="155"/>
      <c r="I844" s="156"/>
      <c r="J844" s="155"/>
      <c r="K844" s="156"/>
      <c r="L844" s="155"/>
      <c r="M844" s="156"/>
      <c r="N844" s="157"/>
    </row>
    <row r="845" spans="1:14" ht="24" customHeight="1" thickBot="1" x14ac:dyDescent="0.4">
      <c r="A845" s="152"/>
      <c r="B845" s="153"/>
      <c r="C845" s="153"/>
      <c r="D845" s="153"/>
      <c r="E845" s="156"/>
      <c r="F845" s="155"/>
      <c r="G845" s="156"/>
      <c r="H845" s="155"/>
      <c r="I845" s="156"/>
      <c r="J845" s="155"/>
      <c r="K845" s="156"/>
      <c r="L845" s="155"/>
      <c r="M845" s="156"/>
      <c r="N845" s="157"/>
    </row>
    <row r="846" spans="1:14" ht="24" customHeight="1" thickBot="1" x14ac:dyDescent="0.4">
      <c r="A846" s="152"/>
      <c r="B846" s="153"/>
      <c r="C846" s="153"/>
      <c r="D846" s="153"/>
      <c r="E846" s="156"/>
      <c r="F846" s="155"/>
      <c r="G846" s="156"/>
      <c r="H846" s="155"/>
      <c r="I846" s="156"/>
      <c r="J846" s="155"/>
      <c r="K846" s="156"/>
      <c r="L846" s="155"/>
      <c r="M846" s="156"/>
      <c r="N846" s="157"/>
    </row>
    <row r="847" spans="1:14" ht="24" customHeight="1" thickBot="1" x14ac:dyDescent="0.4">
      <c r="A847" s="152"/>
      <c r="B847" s="153"/>
      <c r="C847" s="153"/>
      <c r="D847" s="153"/>
      <c r="E847" s="156"/>
      <c r="F847" s="155"/>
      <c r="G847" s="156"/>
      <c r="H847" s="155"/>
      <c r="I847" s="156"/>
      <c r="J847" s="155"/>
      <c r="K847" s="156"/>
      <c r="L847" s="155"/>
      <c r="M847" s="156"/>
      <c r="N847" s="157"/>
    </row>
    <row r="848" spans="1:14" ht="24" customHeight="1" thickBot="1" x14ac:dyDescent="0.4">
      <c r="A848" s="152"/>
      <c r="B848" s="153"/>
      <c r="C848" s="153"/>
      <c r="D848" s="153"/>
      <c r="E848" s="156"/>
      <c r="F848" s="155"/>
      <c r="G848" s="156"/>
      <c r="H848" s="155"/>
      <c r="I848" s="156"/>
      <c r="J848" s="155"/>
      <c r="K848" s="156"/>
      <c r="L848" s="155"/>
      <c r="M848" s="156"/>
      <c r="N848" s="157"/>
    </row>
    <row r="849" spans="1:14" ht="24" customHeight="1" thickBot="1" x14ac:dyDescent="0.4">
      <c r="A849" s="152"/>
      <c r="B849" s="153"/>
      <c r="C849" s="153"/>
      <c r="D849" s="153"/>
      <c r="E849" s="156"/>
      <c r="F849" s="155"/>
      <c r="G849" s="156"/>
      <c r="H849" s="155"/>
      <c r="I849" s="156"/>
      <c r="J849" s="155"/>
      <c r="K849" s="156"/>
      <c r="L849" s="155"/>
      <c r="M849" s="156"/>
      <c r="N849" s="157"/>
    </row>
    <row r="850" spans="1:14" ht="24" customHeight="1" thickBot="1" x14ac:dyDescent="0.4">
      <c r="A850" s="152"/>
      <c r="B850" s="153"/>
      <c r="C850" s="153"/>
      <c r="D850" s="153"/>
      <c r="E850" s="156"/>
      <c r="F850" s="155"/>
      <c r="G850" s="156"/>
      <c r="H850" s="155"/>
      <c r="I850" s="156"/>
      <c r="J850" s="155"/>
      <c r="K850" s="156"/>
      <c r="L850" s="155"/>
      <c r="M850" s="156"/>
      <c r="N850" s="157"/>
    </row>
    <row r="851" spans="1:14" ht="24" customHeight="1" thickBot="1" x14ac:dyDescent="0.4">
      <c r="A851" s="152"/>
      <c r="B851" s="153"/>
      <c r="C851" s="153"/>
      <c r="D851" s="153"/>
      <c r="E851" s="156"/>
      <c r="F851" s="155"/>
      <c r="G851" s="156"/>
      <c r="H851" s="155"/>
      <c r="I851" s="156"/>
      <c r="J851" s="155"/>
      <c r="K851" s="156"/>
      <c r="L851" s="155"/>
      <c r="M851" s="156"/>
      <c r="N851" s="157"/>
    </row>
    <row r="852" spans="1:14" ht="24" customHeight="1" thickBot="1" x14ac:dyDescent="0.4">
      <c r="A852" s="152"/>
      <c r="B852" s="153"/>
      <c r="C852" s="153"/>
      <c r="D852" s="153"/>
      <c r="E852" s="156"/>
      <c r="F852" s="155"/>
      <c r="G852" s="156"/>
      <c r="H852" s="155"/>
      <c r="I852" s="156"/>
      <c r="J852" s="155"/>
      <c r="K852" s="156"/>
      <c r="L852" s="155"/>
      <c r="M852" s="156"/>
      <c r="N852" s="157"/>
    </row>
    <row r="853" spans="1:14" ht="24" customHeight="1" thickBot="1" x14ac:dyDescent="0.4">
      <c r="A853" s="152"/>
      <c r="B853" s="153"/>
      <c r="C853" s="153"/>
      <c r="D853" s="153"/>
      <c r="E853" s="156"/>
      <c r="F853" s="155"/>
      <c r="G853" s="156"/>
      <c r="H853" s="155"/>
      <c r="I853" s="156"/>
      <c r="J853" s="155"/>
      <c r="K853" s="156"/>
      <c r="L853" s="155"/>
      <c r="M853" s="156"/>
      <c r="N853" s="157"/>
    </row>
    <row r="854" spans="1:14" ht="24" customHeight="1" thickBot="1" x14ac:dyDescent="0.4">
      <c r="A854" s="152"/>
      <c r="B854" s="153"/>
      <c r="C854" s="153"/>
      <c r="D854" s="153"/>
      <c r="E854" s="156"/>
      <c r="F854" s="155"/>
      <c r="G854" s="156"/>
      <c r="H854" s="155"/>
      <c r="I854" s="156"/>
      <c r="J854" s="155"/>
      <c r="K854" s="156"/>
      <c r="L854" s="155"/>
      <c r="M854" s="156"/>
      <c r="N854" s="157"/>
    </row>
    <row r="855" spans="1:14" ht="24" customHeight="1" thickBot="1" x14ac:dyDescent="0.4">
      <c r="A855" s="152"/>
      <c r="B855" s="153"/>
      <c r="C855" s="153"/>
      <c r="D855" s="153"/>
      <c r="E855" s="156"/>
      <c r="F855" s="155"/>
      <c r="G855" s="156"/>
      <c r="H855" s="155"/>
      <c r="I855" s="156"/>
      <c r="J855" s="155"/>
      <c r="K855" s="156"/>
      <c r="L855" s="155"/>
      <c r="M855" s="156"/>
      <c r="N855" s="157"/>
    </row>
    <row r="856" spans="1:14" ht="24" customHeight="1" thickBot="1" x14ac:dyDescent="0.4">
      <c r="A856" s="152"/>
      <c r="B856" s="153"/>
      <c r="C856" s="153"/>
      <c r="D856" s="153"/>
      <c r="E856" s="156"/>
      <c r="F856" s="155"/>
      <c r="G856" s="156"/>
      <c r="H856" s="155"/>
      <c r="I856" s="156"/>
      <c r="J856" s="155"/>
      <c r="K856" s="156"/>
      <c r="L856" s="155"/>
      <c r="M856" s="156"/>
      <c r="N856" s="157"/>
    </row>
    <row r="857" spans="1:14" ht="24" customHeight="1" thickBot="1" x14ac:dyDescent="0.4">
      <c r="A857" s="152"/>
      <c r="B857" s="153"/>
      <c r="C857" s="153"/>
      <c r="D857" s="153"/>
      <c r="E857" s="156"/>
      <c r="F857" s="155"/>
      <c r="G857" s="156"/>
      <c r="H857" s="155"/>
      <c r="I857" s="156"/>
      <c r="J857" s="155"/>
      <c r="K857" s="156"/>
      <c r="L857" s="155"/>
      <c r="M857" s="156"/>
      <c r="N857" s="157"/>
    </row>
    <row r="858" spans="1:14" ht="24" customHeight="1" thickBot="1" x14ac:dyDescent="0.4">
      <c r="A858" s="152"/>
      <c r="B858" s="153"/>
      <c r="C858" s="153"/>
      <c r="D858" s="153"/>
      <c r="E858" s="156"/>
      <c r="F858" s="155"/>
      <c r="G858" s="156"/>
      <c r="H858" s="155"/>
      <c r="I858" s="156"/>
      <c r="J858" s="155"/>
      <c r="K858" s="156"/>
      <c r="L858" s="155"/>
      <c r="M858" s="156"/>
      <c r="N858" s="157"/>
    </row>
    <row r="859" spans="1:14" ht="24" customHeight="1" thickBot="1" x14ac:dyDescent="0.4">
      <c r="A859" s="152"/>
      <c r="B859" s="153"/>
      <c r="C859" s="153"/>
      <c r="D859" s="153"/>
      <c r="E859" s="156"/>
      <c r="F859" s="155"/>
      <c r="G859" s="156"/>
      <c r="H859" s="155"/>
      <c r="I859" s="156"/>
      <c r="J859" s="155"/>
      <c r="K859" s="156"/>
      <c r="L859" s="155"/>
      <c r="M859" s="156"/>
      <c r="N859" s="157"/>
    </row>
    <row r="860" spans="1:14" ht="24" customHeight="1" thickBot="1" x14ac:dyDescent="0.4">
      <c r="A860" s="152"/>
      <c r="B860" s="153"/>
      <c r="C860" s="153"/>
      <c r="D860" s="153"/>
      <c r="E860" s="156"/>
      <c r="F860" s="155"/>
      <c r="G860" s="156"/>
      <c r="H860" s="155"/>
      <c r="I860" s="156"/>
      <c r="J860" s="155"/>
      <c r="K860" s="156"/>
      <c r="L860" s="155"/>
      <c r="M860" s="156"/>
      <c r="N860" s="157"/>
    </row>
    <row r="861" spans="1:14" ht="24" customHeight="1" thickBot="1" x14ac:dyDescent="0.4">
      <c r="A861" s="152"/>
      <c r="B861" s="153"/>
      <c r="C861" s="153"/>
      <c r="D861" s="153"/>
      <c r="E861" s="156"/>
      <c r="F861" s="155"/>
      <c r="G861" s="156"/>
      <c r="H861" s="155"/>
      <c r="I861" s="156"/>
      <c r="J861" s="155"/>
      <c r="K861" s="156"/>
      <c r="L861" s="155"/>
      <c r="M861" s="156"/>
      <c r="N861" s="157"/>
    </row>
    <row r="862" spans="1:14" ht="24" customHeight="1" thickBot="1" x14ac:dyDescent="0.4">
      <c r="A862" s="152"/>
      <c r="B862" s="153"/>
      <c r="C862" s="153"/>
      <c r="D862" s="153"/>
      <c r="E862" s="156"/>
      <c r="F862" s="155"/>
      <c r="G862" s="156"/>
      <c r="H862" s="155"/>
      <c r="I862" s="156"/>
      <c r="J862" s="155"/>
      <c r="K862" s="156"/>
      <c r="L862" s="155"/>
      <c r="M862" s="156"/>
      <c r="N862" s="157"/>
    </row>
    <row r="863" spans="1:14" ht="24" customHeight="1" thickBot="1" x14ac:dyDescent="0.4">
      <c r="A863" s="152"/>
      <c r="B863" s="153"/>
      <c r="C863" s="153"/>
      <c r="D863" s="153"/>
      <c r="E863" s="156"/>
      <c r="F863" s="155"/>
      <c r="G863" s="156"/>
      <c r="H863" s="155"/>
      <c r="I863" s="156"/>
      <c r="J863" s="155"/>
      <c r="K863" s="156"/>
      <c r="L863" s="155"/>
      <c r="M863" s="156"/>
      <c r="N863" s="157"/>
    </row>
    <row r="864" spans="1:14" ht="24" customHeight="1" thickBot="1" x14ac:dyDescent="0.4">
      <c r="A864" s="152"/>
      <c r="B864" s="153"/>
      <c r="C864" s="153"/>
      <c r="D864" s="153"/>
      <c r="E864" s="156"/>
      <c r="F864" s="155"/>
      <c r="G864" s="156"/>
      <c r="H864" s="155"/>
      <c r="I864" s="156"/>
      <c r="J864" s="155"/>
      <c r="K864" s="156"/>
      <c r="L864" s="155"/>
      <c r="M864" s="156"/>
      <c r="N864" s="157"/>
    </row>
    <row r="865" spans="1:14" ht="24" customHeight="1" thickBot="1" x14ac:dyDescent="0.4">
      <c r="A865" s="152"/>
      <c r="B865" s="153"/>
      <c r="C865" s="153"/>
      <c r="D865" s="153"/>
      <c r="E865" s="156"/>
      <c r="F865" s="155"/>
      <c r="G865" s="156"/>
      <c r="H865" s="155"/>
      <c r="I865" s="156"/>
      <c r="J865" s="155"/>
      <c r="K865" s="156"/>
      <c r="L865" s="155"/>
      <c r="M865" s="156"/>
      <c r="N865" s="157"/>
    </row>
    <row r="866" spans="1:14" ht="24" customHeight="1" thickBot="1" x14ac:dyDescent="0.4">
      <c r="A866" s="152"/>
      <c r="B866" s="153"/>
      <c r="C866" s="153"/>
      <c r="D866" s="153"/>
      <c r="E866" s="156"/>
      <c r="F866" s="155"/>
      <c r="G866" s="156"/>
      <c r="H866" s="155"/>
      <c r="I866" s="156"/>
      <c r="J866" s="155"/>
      <c r="K866" s="156"/>
      <c r="L866" s="155"/>
      <c r="M866" s="156"/>
      <c r="N866" s="157"/>
    </row>
    <row r="867" spans="1:14" ht="24" customHeight="1" thickBot="1" x14ac:dyDescent="0.4">
      <c r="A867" s="152"/>
      <c r="B867" s="153"/>
      <c r="C867" s="153"/>
      <c r="D867" s="153"/>
      <c r="E867" s="156"/>
      <c r="F867" s="155"/>
      <c r="G867" s="156"/>
      <c r="H867" s="155"/>
      <c r="I867" s="156"/>
      <c r="J867" s="155"/>
      <c r="K867" s="156"/>
      <c r="L867" s="155"/>
      <c r="M867" s="156"/>
      <c r="N867" s="157"/>
    </row>
    <row r="868" spans="1:14" ht="24" customHeight="1" thickBot="1" x14ac:dyDescent="0.4">
      <c r="A868" s="152"/>
      <c r="B868" s="153"/>
      <c r="C868" s="153"/>
      <c r="D868" s="153"/>
      <c r="E868" s="156"/>
      <c r="F868" s="155"/>
      <c r="G868" s="156"/>
      <c r="H868" s="155"/>
      <c r="I868" s="156"/>
      <c r="J868" s="155"/>
      <c r="K868" s="156"/>
      <c r="L868" s="155"/>
      <c r="M868" s="156"/>
      <c r="N868" s="157"/>
    </row>
    <row r="869" spans="1:14" ht="24" customHeight="1" thickBot="1" x14ac:dyDescent="0.4">
      <c r="A869" s="152"/>
      <c r="B869" s="153"/>
      <c r="C869" s="153"/>
      <c r="D869" s="153"/>
      <c r="E869" s="156"/>
      <c r="F869" s="155"/>
      <c r="G869" s="156"/>
      <c r="H869" s="155"/>
      <c r="I869" s="156"/>
      <c r="J869" s="155"/>
      <c r="K869" s="156"/>
      <c r="L869" s="155"/>
      <c r="M869" s="156"/>
      <c r="N869" s="157"/>
    </row>
    <row r="870" spans="1:14" ht="24" customHeight="1" thickBot="1" x14ac:dyDescent="0.4">
      <c r="A870" s="152"/>
      <c r="B870" s="153"/>
      <c r="C870" s="153"/>
      <c r="D870" s="153"/>
      <c r="E870" s="156"/>
      <c r="F870" s="155"/>
      <c r="G870" s="156"/>
      <c r="H870" s="155"/>
      <c r="I870" s="156"/>
      <c r="J870" s="155"/>
      <c r="K870" s="156"/>
      <c r="L870" s="155"/>
      <c r="M870" s="156"/>
      <c r="N870" s="157"/>
    </row>
    <row r="871" spans="1:14" ht="24" customHeight="1" thickBot="1" x14ac:dyDescent="0.4">
      <c r="A871" s="152"/>
      <c r="B871" s="153"/>
      <c r="C871" s="153"/>
      <c r="D871" s="153"/>
      <c r="E871" s="156"/>
      <c r="F871" s="155"/>
      <c r="G871" s="156"/>
      <c r="H871" s="155"/>
      <c r="I871" s="156"/>
      <c r="J871" s="155"/>
      <c r="K871" s="156"/>
      <c r="L871" s="155"/>
      <c r="M871" s="156"/>
      <c r="N871" s="157"/>
    </row>
    <row r="872" spans="1:14" ht="24" customHeight="1" thickBot="1" x14ac:dyDescent="0.4">
      <c r="A872" s="152"/>
      <c r="B872" s="153"/>
      <c r="C872" s="153"/>
      <c r="D872" s="153"/>
      <c r="E872" s="156"/>
      <c r="F872" s="155"/>
      <c r="G872" s="156"/>
      <c r="H872" s="155"/>
      <c r="I872" s="156"/>
      <c r="J872" s="155"/>
      <c r="K872" s="156"/>
      <c r="L872" s="155"/>
      <c r="M872" s="156"/>
      <c r="N872" s="157"/>
    </row>
    <row r="873" spans="1:14" ht="24" customHeight="1" thickBot="1" x14ac:dyDescent="0.4">
      <c r="A873" s="152"/>
      <c r="B873" s="153"/>
      <c r="C873" s="153"/>
      <c r="D873" s="153"/>
      <c r="E873" s="156"/>
      <c r="F873" s="155"/>
      <c r="G873" s="156"/>
      <c r="H873" s="155"/>
      <c r="I873" s="156"/>
      <c r="J873" s="155"/>
      <c r="K873" s="156"/>
      <c r="L873" s="155"/>
      <c r="M873" s="156"/>
      <c r="N873" s="157"/>
    </row>
    <row r="874" spans="1:14" ht="24" customHeight="1" thickBot="1" x14ac:dyDescent="0.4">
      <c r="A874" s="152"/>
      <c r="B874" s="153"/>
      <c r="C874" s="153"/>
      <c r="D874" s="153"/>
      <c r="E874" s="156"/>
      <c r="F874" s="155"/>
      <c r="G874" s="156"/>
      <c r="H874" s="155"/>
      <c r="I874" s="156"/>
      <c r="J874" s="155"/>
      <c r="K874" s="156"/>
      <c r="L874" s="155"/>
      <c r="M874" s="156"/>
      <c r="N874" s="157"/>
    </row>
    <row r="875" spans="1:14" ht="24" customHeight="1" thickBot="1" x14ac:dyDescent="0.4">
      <c r="A875" s="152"/>
      <c r="B875" s="153"/>
      <c r="C875" s="153"/>
      <c r="D875" s="153"/>
      <c r="E875" s="156"/>
      <c r="F875" s="155"/>
      <c r="G875" s="156"/>
      <c r="H875" s="155"/>
      <c r="I875" s="156"/>
      <c r="J875" s="155"/>
      <c r="K875" s="156"/>
      <c r="L875" s="155"/>
      <c r="M875" s="156"/>
      <c r="N875" s="157"/>
    </row>
    <row r="876" spans="1:14" ht="24" customHeight="1" thickBot="1" x14ac:dyDescent="0.4">
      <c r="A876" s="152"/>
      <c r="B876" s="153"/>
      <c r="C876" s="153"/>
      <c r="D876" s="153"/>
      <c r="E876" s="156"/>
      <c r="F876" s="155"/>
      <c r="G876" s="156"/>
      <c r="H876" s="155"/>
      <c r="I876" s="156"/>
      <c r="J876" s="155"/>
      <c r="K876" s="156"/>
      <c r="L876" s="155"/>
      <c r="M876" s="156"/>
      <c r="N876" s="157"/>
    </row>
    <row r="877" spans="1:14" ht="24" customHeight="1" thickBot="1" x14ac:dyDescent="0.4">
      <c r="A877" s="152"/>
      <c r="B877" s="153"/>
      <c r="C877" s="153"/>
      <c r="D877" s="153"/>
      <c r="E877" s="156"/>
      <c r="F877" s="155"/>
      <c r="G877" s="156"/>
      <c r="H877" s="155"/>
      <c r="I877" s="156"/>
      <c r="J877" s="155"/>
      <c r="K877" s="156"/>
      <c r="L877" s="155"/>
      <c r="M877" s="156"/>
      <c r="N877" s="157"/>
    </row>
    <row r="878" spans="1:14" ht="24" customHeight="1" thickBot="1" x14ac:dyDescent="0.4">
      <c r="A878" s="152"/>
      <c r="B878" s="153"/>
      <c r="C878" s="153"/>
      <c r="D878" s="153"/>
      <c r="E878" s="156"/>
      <c r="F878" s="155"/>
      <c r="G878" s="156"/>
      <c r="H878" s="155"/>
      <c r="I878" s="156"/>
      <c r="J878" s="155"/>
      <c r="K878" s="156"/>
      <c r="L878" s="155"/>
      <c r="M878" s="156"/>
      <c r="N878" s="157"/>
    </row>
    <row r="879" spans="1:14" ht="24" customHeight="1" thickBot="1" x14ac:dyDescent="0.4">
      <c r="A879" s="152"/>
      <c r="B879" s="153"/>
      <c r="C879" s="153"/>
      <c r="D879" s="153"/>
      <c r="E879" s="156"/>
      <c r="F879" s="155"/>
      <c r="G879" s="156"/>
      <c r="H879" s="155"/>
      <c r="I879" s="156"/>
      <c r="J879" s="155"/>
      <c r="K879" s="156"/>
      <c r="L879" s="155"/>
      <c r="M879" s="156"/>
      <c r="N879" s="157"/>
    </row>
    <row r="880" spans="1:14" ht="24" customHeight="1" thickBot="1" x14ac:dyDescent="0.4">
      <c r="A880" s="152"/>
      <c r="B880" s="153"/>
      <c r="C880" s="153"/>
      <c r="D880" s="153"/>
      <c r="E880" s="156"/>
      <c r="F880" s="155"/>
      <c r="G880" s="156"/>
      <c r="H880" s="155"/>
      <c r="I880" s="156"/>
      <c r="J880" s="155"/>
      <c r="K880" s="156"/>
      <c r="L880" s="155"/>
      <c r="M880" s="156"/>
      <c r="N880" s="157"/>
    </row>
    <row r="881" spans="1:14" ht="24" customHeight="1" thickBot="1" x14ac:dyDescent="0.4">
      <c r="A881" s="152"/>
      <c r="B881" s="153"/>
      <c r="C881" s="153"/>
      <c r="D881" s="153"/>
      <c r="E881" s="156"/>
      <c r="F881" s="155"/>
      <c r="G881" s="156"/>
      <c r="H881" s="155"/>
      <c r="I881" s="156"/>
      <c r="J881" s="155"/>
      <c r="K881" s="156"/>
      <c r="L881" s="155"/>
      <c r="M881" s="156"/>
      <c r="N881" s="157"/>
    </row>
    <row r="882" spans="1:14" ht="24" customHeight="1" thickBot="1" x14ac:dyDescent="0.4">
      <c r="A882" s="152"/>
      <c r="B882" s="153"/>
      <c r="C882" s="153"/>
      <c r="D882" s="153"/>
      <c r="E882" s="156"/>
      <c r="F882" s="155"/>
      <c r="G882" s="156"/>
      <c r="H882" s="155"/>
      <c r="I882" s="156"/>
      <c r="J882" s="155"/>
      <c r="K882" s="156"/>
      <c r="L882" s="155"/>
      <c r="M882" s="156"/>
      <c r="N882" s="157"/>
    </row>
    <row r="883" spans="1:14" ht="24" customHeight="1" thickBot="1" x14ac:dyDescent="0.4">
      <c r="A883" s="152"/>
      <c r="B883" s="153"/>
      <c r="C883" s="153"/>
      <c r="D883" s="153"/>
      <c r="E883" s="156"/>
      <c r="F883" s="155"/>
      <c r="G883" s="156"/>
      <c r="H883" s="155"/>
      <c r="I883" s="156"/>
      <c r="J883" s="155"/>
      <c r="K883" s="156"/>
      <c r="L883" s="155"/>
      <c r="M883" s="156"/>
      <c r="N883" s="157"/>
    </row>
    <row r="884" spans="1:14" ht="24" customHeight="1" thickBot="1" x14ac:dyDescent="0.4">
      <c r="A884" s="152"/>
      <c r="B884" s="153"/>
      <c r="C884" s="153"/>
      <c r="D884" s="153"/>
      <c r="E884" s="156"/>
      <c r="F884" s="155"/>
      <c r="G884" s="156"/>
      <c r="H884" s="155"/>
      <c r="I884" s="156"/>
      <c r="J884" s="155"/>
      <c r="K884" s="156"/>
      <c r="L884" s="155"/>
      <c r="M884" s="156"/>
      <c r="N884" s="157"/>
    </row>
    <row r="885" spans="1:14" ht="24" customHeight="1" thickBot="1" x14ac:dyDescent="0.4">
      <c r="A885" s="152"/>
      <c r="B885" s="153"/>
      <c r="C885" s="153"/>
      <c r="D885" s="153"/>
      <c r="E885" s="156"/>
      <c r="F885" s="155"/>
      <c r="G885" s="156"/>
      <c r="H885" s="155"/>
      <c r="I885" s="156"/>
      <c r="J885" s="155"/>
      <c r="K885" s="156"/>
      <c r="L885" s="155"/>
      <c r="M885" s="156"/>
      <c r="N885" s="157"/>
    </row>
    <row r="886" spans="1:14" ht="24" customHeight="1" thickBot="1" x14ac:dyDescent="0.4">
      <c r="A886" s="152"/>
      <c r="B886" s="153"/>
      <c r="C886" s="153"/>
      <c r="D886" s="153"/>
      <c r="E886" s="156"/>
      <c r="F886" s="155"/>
      <c r="G886" s="156"/>
      <c r="H886" s="155"/>
      <c r="I886" s="156"/>
      <c r="J886" s="155"/>
      <c r="K886" s="156"/>
      <c r="L886" s="155"/>
      <c r="M886" s="156"/>
      <c r="N886" s="157"/>
    </row>
    <row r="887" spans="1:14" ht="24" customHeight="1" thickBot="1" x14ac:dyDescent="0.4">
      <c r="A887" s="152"/>
      <c r="B887" s="153"/>
      <c r="C887" s="153"/>
      <c r="D887" s="153"/>
      <c r="E887" s="156"/>
      <c r="F887" s="155"/>
      <c r="G887" s="156"/>
      <c r="H887" s="155"/>
      <c r="I887" s="156"/>
      <c r="J887" s="155"/>
      <c r="K887" s="156"/>
      <c r="L887" s="155"/>
      <c r="M887" s="156"/>
      <c r="N887" s="157"/>
    </row>
    <row r="888" spans="1:14" ht="24" customHeight="1" thickBot="1" x14ac:dyDescent="0.4">
      <c r="A888" s="152"/>
      <c r="B888" s="153"/>
      <c r="C888" s="153"/>
      <c r="D888" s="153"/>
      <c r="E888" s="156"/>
      <c r="F888" s="155"/>
      <c r="G888" s="156"/>
      <c r="H888" s="155"/>
      <c r="I888" s="156"/>
      <c r="J888" s="155"/>
      <c r="K888" s="156"/>
      <c r="L888" s="155"/>
      <c r="M888" s="156"/>
      <c r="N888" s="157"/>
    </row>
    <row r="889" spans="1:14" ht="24" customHeight="1" thickBot="1" x14ac:dyDescent="0.4">
      <c r="A889" s="152"/>
      <c r="B889" s="153"/>
      <c r="C889" s="153"/>
      <c r="D889" s="153"/>
      <c r="E889" s="156"/>
      <c r="F889" s="155"/>
      <c r="G889" s="156"/>
      <c r="H889" s="155"/>
      <c r="I889" s="156"/>
      <c r="J889" s="155"/>
      <c r="K889" s="156"/>
      <c r="L889" s="155"/>
      <c r="M889" s="156"/>
      <c r="N889" s="157"/>
    </row>
    <row r="890" spans="1:14" ht="24" customHeight="1" thickBot="1" x14ac:dyDescent="0.4">
      <c r="A890" s="152"/>
      <c r="B890" s="153"/>
      <c r="C890" s="153"/>
      <c r="D890" s="153"/>
      <c r="E890" s="156"/>
      <c r="F890" s="155"/>
      <c r="G890" s="156"/>
      <c r="H890" s="155"/>
      <c r="I890" s="156"/>
      <c r="J890" s="155"/>
      <c r="K890" s="156"/>
      <c r="L890" s="155"/>
      <c r="M890" s="156"/>
      <c r="N890" s="157"/>
    </row>
    <row r="891" spans="1:14" ht="24" customHeight="1" thickBot="1" x14ac:dyDescent="0.4">
      <c r="A891" s="152"/>
      <c r="B891" s="153"/>
      <c r="C891" s="153"/>
      <c r="D891" s="153"/>
      <c r="E891" s="156"/>
      <c r="F891" s="155"/>
      <c r="G891" s="156"/>
      <c r="H891" s="155"/>
      <c r="I891" s="156"/>
      <c r="J891" s="155"/>
      <c r="K891" s="156"/>
      <c r="L891" s="155"/>
      <c r="M891" s="156"/>
      <c r="N891" s="157"/>
    </row>
    <row r="892" spans="1:14" ht="24" customHeight="1" thickBot="1" x14ac:dyDescent="0.4">
      <c r="A892" s="152"/>
      <c r="B892" s="153"/>
      <c r="C892" s="153"/>
      <c r="D892" s="153"/>
      <c r="E892" s="156"/>
      <c r="F892" s="155"/>
      <c r="G892" s="156"/>
      <c r="H892" s="155"/>
      <c r="I892" s="156"/>
      <c r="J892" s="155"/>
      <c r="K892" s="156"/>
      <c r="L892" s="155"/>
      <c r="M892" s="156"/>
      <c r="N892" s="157"/>
    </row>
    <row r="893" spans="1:14" ht="24" customHeight="1" thickBot="1" x14ac:dyDescent="0.4">
      <c r="A893" s="152"/>
      <c r="B893" s="153"/>
      <c r="C893" s="153"/>
      <c r="D893" s="153"/>
      <c r="E893" s="156"/>
      <c r="F893" s="155"/>
      <c r="G893" s="156"/>
      <c r="H893" s="155"/>
      <c r="I893" s="156"/>
      <c r="J893" s="155"/>
      <c r="K893" s="156"/>
      <c r="L893" s="155"/>
      <c r="M893" s="156"/>
      <c r="N893" s="157"/>
    </row>
    <row r="894" spans="1:14" ht="24" customHeight="1" thickBot="1" x14ac:dyDescent="0.4">
      <c r="A894" s="152"/>
      <c r="B894" s="153"/>
      <c r="C894" s="153"/>
      <c r="D894" s="153"/>
      <c r="E894" s="156"/>
      <c r="F894" s="155"/>
      <c r="G894" s="156"/>
      <c r="H894" s="155"/>
      <c r="I894" s="156"/>
      <c r="J894" s="155"/>
      <c r="K894" s="156"/>
      <c r="L894" s="155"/>
      <c r="M894" s="156"/>
      <c r="N894" s="157"/>
    </row>
    <row r="895" spans="1:14" ht="24" customHeight="1" thickBot="1" x14ac:dyDescent="0.4">
      <c r="A895" s="152"/>
      <c r="B895" s="153"/>
      <c r="C895" s="153"/>
      <c r="D895" s="153"/>
      <c r="E895" s="156"/>
      <c r="F895" s="155"/>
      <c r="G895" s="156"/>
      <c r="H895" s="155"/>
      <c r="I895" s="156"/>
      <c r="J895" s="155"/>
      <c r="K895" s="156"/>
      <c r="L895" s="155"/>
      <c r="M895" s="156"/>
      <c r="N895" s="157"/>
    </row>
    <row r="896" spans="1:14" ht="24" customHeight="1" thickBot="1" x14ac:dyDescent="0.4">
      <c r="A896" s="152"/>
      <c r="B896" s="153"/>
      <c r="C896" s="153"/>
      <c r="D896" s="153"/>
      <c r="E896" s="156"/>
      <c r="F896" s="155"/>
      <c r="G896" s="156"/>
      <c r="H896" s="155"/>
      <c r="I896" s="156"/>
      <c r="J896" s="155"/>
      <c r="K896" s="156"/>
      <c r="L896" s="155"/>
      <c r="M896" s="156"/>
      <c r="N896" s="157"/>
    </row>
    <row r="897" spans="1:14" ht="24" customHeight="1" thickBot="1" x14ac:dyDescent="0.4">
      <c r="A897" s="152"/>
      <c r="B897" s="153"/>
      <c r="C897" s="153"/>
      <c r="D897" s="153"/>
      <c r="E897" s="156"/>
      <c r="F897" s="155"/>
      <c r="G897" s="156"/>
      <c r="H897" s="155"/>
      <c r="I897" s="156"/>
      <c r="J897" s="155"/>
      <c r="K897" s="156"/>
      <c r="L897" s="155"/>
      <c r="M897" s="156"/>
      <c r="N897" s="157"/>
    </row>
    <row r="898" spans="1:14" ht="24" customHeight="1" thickBot="1" x14ac:dyDescent="0.4">
      <c r="A898" s="152"/>
      <c r="B898" s="153"/>
      <c r="C898" s="153"/>
      <c r="D898" s="153"/>
      <c r="E898" s="156"/>
      <c r="F898" s="155"/>
      <c r="G898" s="156"/>
      <c r="H898" s="155"/>
      <c r="I898" s="156"/>
      <c r="J898" s="155"/>
      <c r="K898" s="156"/>
      <c r="L898" s="155"/>
      <c r="M898" s="156"/>
      <c r="N898" s="157"/>
    </row>
    <row r="899" spans="1:14" ht="24" customHeight="1" thickBot="1" x14ac:dyDescent="0.4">
      <c r="A899" s="152"/>
      <c r="B899" s="153"/>
      <c r="C899" s="153"/>
      <c r="D899" s="153"/>
      <c r="E899" s="156"/>
      <c r="F899" s="155"/>
      <c r="G899" s="156"/>
      <c r="H899" s="155"/>
      <c r="I899" s="156"/>
      <c r="J899" s="155"/>
      <c r="K899" s="156"/>
      <c r="L899" s="155"/>
      <c r="M899" s="156"/>
      <c r="N899" s="157"/>
    </row>
    <row r="900" spans="1:14" ht="24" customHeight="1" thickBot="1" x14ac:dyDescent="0.4">
      <c r="A900" s="152"/>
      <c r="B900" s="153"/>
      <c r="C900" s="153"/>
      <c r="D900" s="153"/>
      <c r="E900" s="156"/>
      <c r="F900" s="155"/>
      <c r="G900" s="156"/>
      <c r="H900" s="155"/>
      <c r="I900" s="156"/>
      <c r="J900" s="155"/>
      <c r="K900" s="156"/>
      <c r="L900" s="155"/>
      <c r="M900" s="156"/>
      <c r="N900" s="157"/>
    </row>
    <row r="901" spans="1:14" ht="24" customHeight="1" thickBot="1" x14ac:dyDescent="0.4">
      <c r="A901" s="152"/>
      <c r="B901" s="153"/>
      <c r="C901" s="153"/>
      <c r="D901" s="153"/>
      <c r="E901" s="156"/>
      <c r="F901" s="155"/>
      <c r="G901" s="156"/>
      <c r="H901" s="155"/>
      <c r="I901" s="156"/>
      <c r="J901" s="155"/>
      <c r="K901" s="156"/>
      <c r="L901" s="155"/>
      <c r="M901" s="156"/>
      <c r="N901" s="157"/>
    </row>
    <row r="902" spans="1:14" ht="24" customHeight="1" thickBot="1" x14ac:dyDescent="0.4">
      <c r="A902" s="152"/>
      <c r="B902" s="153"/>
      <c r="C902" s="153"/>
      <c r="D902" s="153"/>
      <c r="E902" s="156"/>
      <c r="F902" s="155"/>
      <c r="G902" s="156"/>
      <c r="H902" s="155"/>
      <c r="I902" s="156"/>
      <c r="J902" s="155"/>
      <c r="K902" s="156"/>
      <c r="L902" s="155"/>
      <c r="M902" s="156"/>
      <c r="N902" s="157"/>
    </row>
    <row r="903" spans="1:14" ht="24" customHeight="1" thickBot="1" x14ac:dyDescent="0.4">
      <c r="A903" s="152"/>
      <c r="B903" s="153"/>
      <c r="C903" s="153"/>
      <c r="D903" s="153"/>
      <c r="E903" s="156"/>
      <c r="F903" s="155"/>
      <c r="G903" s="156"/>
      <c r="H903" s="155"/>
      <c r="I903" s="156"/>
      <c r="J903" s="155"/>
      <c r="K903" s="156"/>
      <c r="L903" s="155"/>
      <c r="M903" s="156"/>
      <c r="N903" s="157"/>
    </row>
    <row r="904" spans="1:14" ht="24" customHeight="1" thickBot="1" x14ac:dyDescent="0.4">
      <c r="A904" s="152"/>
      <c r="B904" s="153"/>
      <c r="C904" s="153"/>
      <c r="D904" s="153"/>
      <c r="E904" s="156"/>
      <c r="F904" s="155"/>
      <c r="G904" s="156"/>
      <c r="H904" s="155"/>
      <c r="I904" s="156"/>
      <c r="J904" s="155"/>
      <c r="K904" s="156"/>
      <c r="L904" s="155"/>
      <c r="M904" s="156"/>
      <c r="N904" s="157"/>
    </row>
    <row r="905" spans="1:14" ht="24" customHeight="1" thickBot="1" x14ac:dyDescent="0.4">
      <c r="A905" s="152"/>
      <c r="B905" s="153"/>
      <c r="C905" s="153"/>
      <c r="D905" s="153"/>
      <c r="E905" s="156"/>
      <c r="F905" s="155"/>
      <c r="G905" s="156"/>
      <c r="H905" s="155"/>
      <c r="I905" s="156"/>
      <c r="J905" s="155"/>
      <c r="K905" s="156"/>
      <c r="L905" s="155"/>
      <c r="M905" s="156"/>
      <c r="N905" s="157"/>
    </row>
    <row r="906" spans="1:14" ht="24" customHeight="1" thickBot="1" x14ac:dyDescent="0.4">
      <c r="A906" s="152"/>
      <c r="B906" s="153"/>
      <c r="C906" s="153"/>
      <c r="D906" s="153"/>
      <c r="E906" s="156"/>
      <c r="F906" s="155"/>
      <c r="G906" s="156"/>
      <c r="H906" s="155"/>
      <c r="I906" s="156"/>
      <c r="J906" s="155"/>
      <c r="K906" s="156"/>
      <c r="L906" s="155"/>
      <c r="M906" s="156"/>
      <c r="N906" s="157"/>
    </row>
    <row r="907" spans="1:14" ht="24" customHeight="1" thickBot="1" x14ac:dyDescent="0.4">
      <c r="A907" s="152"/>
      <c r="B907" s="153"/>
      <c r="C907" s="153"/>
      <c r="D907" s="153"/>
      <c r="E907" s="156"/>
      <c r="F907" s="155"/>
      <c r="G907" s="156"/>
      <c r="H907" s="155"/>
      <c r="I907" s="156"/>
      <c r="J907" s="155"/>
      <c r="K907" s="156"/>
      <c r="L907" s="155"/>
      <c r="M907" s="156"/>
      <c r="N907" s="157"/>
    </row>
    <row r="908" spans="1:14" ht="24" customHeight="1" thickBot="1" x14ac:dyDescent="0.4">
      <c r="A908" s="152"/>
      <c r="B908" s="153"/>
      <c r="C908" s="153"/>
      <c r="D908" s="153"/>
      <c r="E908" s="156"/>
      <c r="F908" s="155"/>
      <c r="G908" s="156"/>
      <c r="H908" s="155"/>
      <c r="I908" s="156"/>
      <c r="J908" s="155"/>
      <c r="K908" s="156"/>
      <c r="L908" s="155"/>
      <c r="M908" s="156"/>
      <c r="N908" s="157"/>
    </row>
    <row r="909" spans="1:14" ht="24" customHeight="1" thickBot="1" x14ac:dyDescent="0.4">
      <c r="A909" s="152"/>
      <c r="B909" s="153"/>
      <c r="C909" s="153"/>
      <c r="D909" s="153"/>
      <c r="E909" s="156"/>
      <c r="F909" s="155"/>
      <c r="G909" s="156"/>
      <c r="H909" s="155"/>
      <c r="I909" s="156"/>
      <c r="J909" s="155"/>
      <c r="K909" s="156"/>
      <c r="L909" s="155"/>
      <c r="M909" s="156"/>
      <c r="N909" s="157"/>
    </row>
    <row r="910" spans="1:14" ht="24" customHeight="1" thickBot="1" x14ac:dyDescent="0.4">
      <c r="A910" s="152"/>
      <c r="B910" s="153"/>
      <c r="C910" s="153"/>
      <c r="D910" s="153"/>
      <c r="E910" s="156"/>
      <c r="F910" s="155"/>
      <c r="G910" s="156"/>
      <c r="H910" s="155"/>
      <c r="I910" s="156"/>
      <c r="J910" s="155"/>
      <c r="K910" s="156"/>
      <c r="L910" s="155"/>
      <c r="M910" s="156"/>
      <c r="N910" s="157"/>
    </row>
    <row r="911" spans="1:14" ht="24" customHeight="1" thickBot="1" x14ac:dyDescent="0.4">
      <c r="A911" s="152"/>
      <c r="B911" s="153"/>
      <c r="C911" s="153"/>
      <c r="D911" s="153"/>
      <c r="E911" s="156"/>
      <c r="F911" s="155"/>
      <c r="G911" s="156"/>
      <c r="H911" s="155"/>
      <c r="I911" s="156"/>
      <c r="J911" s="155"/>
      <c r="K911" s="156"/>
      <c r="L911" s="155"/>
      <c r="M911" s="156"/>
      <c r="N911" s="157"/>
    </row>
    <row r="912" spans="1:14" ht="24" customHeight="1" thickBot="1" x14ac:dyDescent="0.4">
      <c r="A912" s="152"/>
      <c r="B912" s="153"/>
      <c r="C912" s="153"/>
      <c r="D912" s="153"/>
      <c r="E912" s="156"/>
      <c r="F912" s="155"/>
      <c r="G912" s="156"/>
      <c r="H912" s="155"/>
      <c r="I912" s="156"/>
      <c r="J912" s="155"/>
      <c r="K912" s="156"/>
      <c r="L912" s="155"/>
      <c r="M912" s="156"/>
      <c r="N912" s="157"/>
    </row>
    <row r="913" spans="1:14" ht="24" customHeight="1" thickBot="1" x14ac:dyDescent="0.4">
      <c r="A913" s="152"/>
      <c r="B913" s="153"/>
      <c r="C913" s="153"/>
      <c r="D913" s="153"/>
      <c r="E913" s="156"/>
      <c r="F913" s="155"/>
      <c r="G913" s="156"/>
      <c r="H913" s="155"/>
      <c r="I913" s="156"/>
      <c r="J913" s="155"/>
      <c r="K913" s="156"/>
      <c r="L913" s="155"/>
      <c r="M913" s="156"/>
      <c r="N913" s="157"/>
    </row>
    <row r="914" spans="1:14" ht="24" customHeight="1" thickBot="1" x14ac:dyDescent="0.4">
      <c r="A914" s="152"/>
      <c r="B914" s="153"/>
      <c r="C914" s="153"/>
      <c r="D914" s="153"/>
      <c r="E914" s="156"/>
      <c r="F914" s="155"/>
      <c r="G914" s="156"/>
      <c r="H914" s="155"/>
      <c r="I914" s="156"/>
      <c r="J914" s="155"/>
      <c r="K914" s="156"/>
      <c r="L914" s="155"/>
      <c r="M914" s="156"/>
      <c r="N914" s="157"/>
    </row>
    <row r="915" spans="1:14" ht="24" customHeight="1" thickBot="1" x14ac:dyDescent="0.4">
      <c r="A915" s="152"/>
      <c r="B915" s="153"/>
      <c r="C915" s="153"/>
      <c r="D915" s="153"/>
      <c r="E915" s="156"/>
      <c r="F915" s="155"/>
      <c r="G915" s="156"/>
      <c r="H915" s="155"/>
      <c r="I915" s="156"/>
      <c r="J915" s="155"/>
      <c r="K915" s="156"/>
      <c r="L915" s="155"/>
      <c r="M915" s="156"/>
      <c r="N915" s="157"/>
    </row>
    <row r="916" spans="1:14" ht="24" customHeight="1" thickBot="1" x14ac:dyDescent="0.4">
      <c r="A916" s="152"/>
      <c r="B916" s="153"/>
      <c r="C916" s="153"/>
      <c r="D916" s="153"/>
      <c r="E916" s="156"/>
      <c r="F916" s="155"/>
      <c r="G916" s="156"/>
      <c r="H916" s="155"/>
      <c r="I916" s="156"/>
      <c r="J916" s="155"/>
      <c r="K916" s="156"/>
      <c r="L916" s="155"/>
      <c r="M916" s="156"/>
      <c r="N916" s="157"/>
    </row>
    <row r="917" spans="1:14" ht="24" customHeight="1" thickBot="1" x14ac:dyDescent="0.4">
      <c r="A917" s="152"/>
      <c r="B917" s="153"/>
      <c r="C917" s="153"/>
      <c r="D917" s="153"/>
      <c r="E917" s="156"/>
      <c r="F917" s="155"/>
      <c r="G917" s="156"/>
      <c r="H917" s="155"/>
      <c r="I917" s="156"/>
      <c r="J917" s="155"/>
      <c r="K917" s="156"/>
      <c r="L917" s="155"/>
      <c r="M917" s="156"/>
      <c r="N917" s="157"/>
    </row>
    <row r="918" spans="1:14" ht="24" customHeight="1" thickBot="1" x14ac:dyDescent="0.4">
      <c r="A918" s="152"/>
      <c r="B918" s="153"/>
      <c r="C918" s="153"/>
      <c r="D918" s="153"/>
      <c r="E918" s="156"/>
      <c r="F918" s="155"/>
      <c r="G918" s="156"/>
      <c r="H918" s="155"/>
      <c r="I918" s="156"/>
      <c r="J918" s="155"/>
      <c r="K918" s="156"/>
      <c r="L918" s="155"/>
      <c r="M918" s="156"/>
      <c r="N918" s="157"/>
    </row>
    <row r="919" spans="1:14" ht="24" customHeight="1" thickBot="1" x14ac:dyDescent="0.4">
      <c r="A919" s="152"/>
      <c r="B919" s="153"/>
      <c r="C919" s="153"/>
      <c r="D919" s="153"/>
      <c r="E919" s="156"/>
      <c r="F919" s="155"/>
      <c r="G919" s="156"/>
      <c r="H919" s="155"/>
      <c r="I919" s="156"/>
      <c r="J919" s="155"/>
      <c r="K919" s="156"/>
      <c r="L919" s="155"/>
      <c r="M919" s="156"/>
      <c r="N919" s="157"/>
    </row>
    <row r="920" spans="1:14" ht="24" customHeight="1" thickBot="1" x14ac:dyDescent="0.4">
      <c r="A920" s="152"/>
      <c r="B920" s="153"/>
      <c r="C920" s="153"/>
      <c r="D920" s="153"/>
      <c r="E920" s="156"/>
      <c r="F920" s="155"/>
      <c r="G920" s="156"/>
      <c r="H920" s="155"/>
      <c r="I920" s="156"/>
      <c r="J920" s="155"/>
      <c r="K920" s="156"/>
      <c r="L920" s="155"/>
      <c r="M920" s="156"/>
      <c r="N920" s="157"/>
    </row>
    <row r="921" spans="1:14" ht="24" customHeight="1" thickBot="1" x14ac:dyDescent="0.4">
      <c r="A921" s="152"/>
      <c r="B921" s="153"/>
      <c r="C921" s="153"/>
      <c r="D921" s="153"/>
      <c r="E921" s="156"/>
      <c r="F921" s="155"/>
      <c r="G921" s="156"/>
      <c r="H921" s="155"/>
      <c r="I921" s="156"/>
      <c r="J921" s="155"/>
      <c r="K921" s="156"/>
      <c r="L921" s="155"/>
      <c r="M921" s="156"/>
      <c r="N921" s="157"/>
    </row>
    <row r="922" spans="1:14" ht="24" customHeight="1" thickBot="1" x14ac:dyDescent="0.4">
      <c r="A922" s="152"/>
      <c r="B922" s="153"/>
      <c r="C922" s="153"/>
      <c r="D922" s="153"/>
      <c r="E922" s="156"/>
      <c r="F922" s="155"/>
      <c r="G922" s="156"/>
      <c r="H922" s="155"/>
      <c r="I922" s="156"/>
      <c r="J922" s="155"/>
      <c r="K922" s="156"/>
      <c r="L922" s="155"/>
      <c r="M922" s="156"/>
      <c r="N922" s="157"/>
    </row>
    <row r="923" spans="1:14" ht="24" customHeight="1" thickBot="1" x14ac:dyDescent="0.4">
      <c r="A923" s="152"/>
      <c r="B923" s="153"/>
      <c r="C923" s="153"/>
      <c r="D923" s="153"/>
      <c r="E923" s="156"/>
      <c r="F923" s="155"/>
      <c r="G923" s="156"/>
      <c r="H923" s="155"/>
      <c r="I923" s="156"/>
      <c r="J923" s="155"/>
      <c r="K923" s="156"/>
      <c r="L923" s="155"/>
      <c r="M923" s="156"/>
      <c r="N923" s="157"/>
    </row>
    <row r="924" spans="1:14" ht="24" customHeight="1" thickBot="1" x14ac:dyDescent="0.4">
      <c r="A924" s="152"/>
      <c r="B924" s="153"/>
      <c r="C924" s="153"/>
      <c r="D924" s="153"/>
      <c r="E924" s="156"/>
      <c r="F924" s="155"/>
      <c r="G924" s="156"/>
      <c r="H924" s="155"/>
      <c r="I924" s="156"/>
      <c r="J924" s="155"/>
      <c r="K924" s="156"/>
      <c r="L924" s="155"/>
      <c r="M924" s="156"/>
      <c r="N924" s="157"/>
    </row>
    <row r="925" spans="1:14" ht="24" customHeight="1" thickBot="1" x14ac:dyDescent="0.4">
      <c r="A925" s="152"/>
      <c r="B925" s="153"/>
      <c r="C925" s="153"/>
      <c r="D925" s="153"/>
      <c r="E925" s="156"/>
      <c r="F925" s="155"/>
      <c r="G925" s="156"/>
      <c r="H925" s="155"/>
      <c r="I925" s="156"/>
      <c r="J925" s="155"/>
      <c r="K925" s="156"/>
      <c r="L925" s="155"/>
      <c r="M925" s="156"/>
      <c r="N925" s="157"/>
    </row>
    <row r="926" spans="1:14" ht="24" customHeight="1" thickBot="1" x14ac:dyDescent="0.4">
      <c r="A926" s="152"/>
      <c r="B926" s="153"/>
      <c r="C926" s="153"/>
      <c r="D926" s="153"/>
      <c r="E926" s="156"/>
      <c r="F926" s="155"/>
      <c r="G926" s="156"/>
      <c r="H926" s="155"/>
      <c r="I926" s="156"/>
      <c r="J926" s="155"/>
      <c r="K926" s="156"/>
      <c r="L926" s="155"/>
      <c r="M926" s="156"/>
      <c r="N926" s="157"/>
    </row>
    <row r="927" spans="1:14" ht="24" customHeight="1" thickBot="1" x14ac:dyDescent="0.4">
      <c r="A927" s="152"/>
      <c r="B927" s="153"/>
      <c r="C927" s="153"/>
      <c r="D927" s="153"/>
      <c r="E927" s="156"/>
      <c r="F927" s="155"/>
      <c r="G927" s="156"/>
      <c r="H927" s="155"/>
      <c r="I927" s="156"/>
      <c r="J927" s="155"/>
      <c r="K927" s="156"/>
      <c r="L927" s="155"/>
      <c r="M927" s="156"/>
      <c r="N927" s="157"/>
    </row>
    <row r="928" spans="1:14" ht="24" customHeight="1" thickBot="1" x14ac:dyDescent="0.4">
      <c r="A928" s="152"/>
      <c r="B928" s="153"/>
      <c r="C928" s="153"/>
      <c r="D928" s="153"/>
      <c r="E928" s="156"/>
      <c r="F928" s="155"/>
      <c r="G928" s="156"/>
      <c r="H928" s="155"/>
      <c r="I928" s="156"/>
      <c r="J928" s="155"/>
      <c r="K928" s="156"/>
      <c r="L928" s="155"/>
      <c r="M928" s="156"/>
      <c r="N928" s="157"/>
    </row>
    <row r="929" spans="1:14" ht="24" customHeight="1" thickBot="1" x14ac:dyDescent="0.4">
      <c r="A929" s="152"/>
      <c r="B929" s="153"/>
      <c r="C929" s="153"/>
      <c r="D929" s="153"/>
      <c r="E929" s="156"/>
      <c r="F929" s="155"/>
      <c r="G929" s="156"/>
      <c r="H929" s="155"/>
      <c r="I929" s="156"/>
      <c r="J929" s="155"/>
      <c r="K929" s="156"/>
      <c r="L929" s="155"/>
      <c r="M929" s="156"/>
      <c r="N929" s="157"/>
    </row>
    <row r="930" spans="1:14" ht="24" customHeight="1" thickBot="1" x14ac:dyDescent="0.4">
      <c r="A930" s="152"/>
      <c r="B930" s="153"/>
      <c r="C930" s="153"/>
      <c r="D930" s="153"/>
      <c r="E930" s="156"/>
      <c r="F930" s="155"/>
      <c r="G930" s="156"/>
      <c r="H930" s="155"/>
      <c r="I930" s="156"/>
      <c r="J930" s="155"/>
      <c r="K930" s="156"/>
      <c r="L930" s="155"/>
      <c r="M930" s="156"/>
      <c r="N930" s="157"/>
    </row>
    <row r="931" spans="1:14" ht="24" customHeight="1" thickBot="1" x14ac:dyDescent="0.4">
      <c r="A931" s="152"/>
      <c r="B931" s="153"/>
      <c r="C931" s="153"/>
      <c r="D931" s="153"/>
      <c r="E931" s="156"/>
      <c r="F931" s="155"/>
      <c r="G931" s="156"/>
      <c r="H931" s="155"/>
      <c r="I931" s="156"/>
      <c r="J931" s="155"/>
      <c r="K931" s="156"/>
      <c r="L931" s="155"/>
      <c r="M931" s="156"/>
      <c r="N931" s="157"/>
    </row>
    <row r="932" spans="1:14" ht="24" customHeight="1" thickBot="1" x14ac:dyDescent="0.4">
      <c r="A932" s="152"/>
      <c r="B932" s="153"/>
      <c r="C932" s="153"/>
      <c r="D932" s="153"/>
      <c r="E932" s="156"/>
      <c r="F932" s="155"/>
      <c r="G932" s="156"/>
      <c r="H932" s="155"/>
      <c r="I932" s="156"/>
      <c r="J932" s="155"/>
      <c r="K932" s="156"/>
      <c r="L932" s="155"/>
      <c r="M932" s="156"/>
      <c r="N932" s="157"/>
    </row>
    <row r="933" spans="1:14" ht="24" customHeight="1" thickBot="1" x14ac:dyDescent="0.4">
      <c r="A933" s="152"/>
      <c r="B933" s="153"/>
      <c r="C933" s="153"/>
      <c r="D933" s="153"/>
      <c r="E933" s="156"/>
      <c r="F933" s="155"/>
      <c r="G933" s="156"/>
      <c r="H933" s="155"/>
      <c r="I933" s="156"/>
      <c r="J933" s="155"/>
      <c r="K933" s="156"/>
      <c r="L933" s="155"/>
      <c r="M933" s="156"/>
      <c r="N933" s="157"/>
    </row>
    <row r="934" spans="1:14" ht="24" customHeight="1" thickBot="1" x14ac:dyDescent="0.4">
      <c r="A934" s="152"/>
      <c r="B934" s="153"/>
      <c r="C934" s="153"/>
      <c r="D934" s="153"/>
      <c r="E934" s="156"/>
      <c r="F934" s="155"/>
      <c r="G934" s="156"/>
      <c r="H934" s="155"/>
      <c r="I934" s="156"/>
      <c r="J934" s="155"/>
      <c r="K934" s="156"/>
      <c r="L934" s="155"/>
      <c r="M934" s="156"/>
      <c r="N934" s="157"/>
    </row>
    <row r="935" spans="1:14" ht="24" customHeight="1" thickBot="1" x14ac:dyDescent="0.4">
      <c r="A935" s="152"/>
      <c r="B935" s="153"/>
      <c r="C935" s="153"/>
      <c r="D935" s="153"/>
      <c r="E935" s="156"/>
      <c r="F935" s="155"/>
      <c r="G935" s="156"/>
      <c r="H935" s="155"/>
      <c r="I935" s="156"/>
      <c r="J935" s="155"/>
      <c r="K935" s="156"/>
      <c r="L935" s="155"/>
      <c r="M935" s="156"/>
      <c r="N935" s="157"/>
    </row>
    <row r="936" spans="1:14" ht="24" customHeight="1" thickBot="1" x14ac:dyDescent="0.4">
      <c r="A936" s="152"/>
      <c r="B936" s="153"/>
      <c r="C936" s="153"/>
      <c r="D936" s="153"/>
      <c r="E936" s="156"/>
      <c r="F936" s="155"/>
      <c r="G936" s="156"/>
      <c r="H936" s="155"/>
      <c r="I936" s="156"/>
      <c r="J936" s="155"/>
      <c r="K936" s="156"/>
      <c r="L936" s="155"/>
      <c r="M936" s="156"/>
      <c r="N936" s="157"/>
    </row>
    <row r="937" spans="1:14" ht="24" customHeight="1" thickBot="1" x14ac:dyDescent="0.4">
      <c r="A937" s="152"/>
      <c r="B937" s="153"/>
      <c r="C937" s="153"/>
      <c r="D937" s="153"/>
      <c r="E937" s="156"/>
      <c r="F937" s="155"/>
      <c r="G937" s="156"/>
      <c r="H937" s="155"/>
      <c r="I937" s="156"/>
      <c r="J937" s="155"/>
      <c r="K937" s="156"/>
      <c r="L937" s="155"/>
      <c r="M937" s="156"/>
      <c r="N937" s="157"/>
    </row>
    <row r="938" spans="1:14" ht="24" customHeight="1" thickBot="1" x14ac:dyDescent="0.4">
      <c r="A938" s="152"/>
      <c r="B938" s="153"/>
      <c r="C938" s="153"/>
      <c r="D938" s="153"/>
      <c r="E938" s="156"/>
      <c r="F938" s="155"/>
      <c r="G938" s="156"/>
      <c r="H938" s="155"/>
      <c r="I938" s="156"/>
      <c r="J938" s="155"/>
      <c r="K938" s="156"/>
      <c r="L938" s="155"/>
      <c r="M938" s="156"/>
      <c r="N938" s="157"/>
    </row>
    <row r="939" spans="1:14" ht="24" customHeight="1" thickBot="1" x14ac:dyDescent="0.4">
      <c r="A939" s="152"/>
      <c r="B939" s="153"/>
      <c r="C939" s="153"/>
      <c r="D939" s="153"/>
      <c r="E939" s="156"/>
      <c r="F939" s="155"/>
      <c r="G939" s="156"/>
      <c r="H939" s="155"/>
      <c r="I939" s="156"/>
      <c r="J939" s="155"/>
      <c r="K939" s="156"/>
      <c r="L939" s="155"/>
      <c r="M939" s="156"/>
      <c r="N939" s="157"/>
    </row>
    <row r="940" spans="1:14" ht="24" customHeight="1" thickBot="1" x14ac:dyDescent="0.4">
      <c r="A940" s="152"/>
      <c r="B940" s="153"/>
      <c r="C940" s="153"/>
      <c r="D940" s="153"/>
      <c r="E940" s="156"/>
      <c r="F940" s="155"/>
      <c r="G940" s="156"/>
      <c r="H940" s="155"/>
      <c r="I940" s="156"/>
      <c r="J940" s="155"/>
      <c r="K940" s="156"/>
      <c r="L940" s="155"/>
      <c r="M940" s="156"/>
      <c r="N940" s="157"/>
    </row>
    <row r="941" spans="1:14" ht="24" customHeight="1" thickBot="1" x14ac:dyDescent="0.4">
      <c r="A941" s="152"/>
      <c r="B941" s="153"/>
      <c r="C941" s="153"/>
      <c r="D941" s="153"/>
      <c r="E941" s="156"/>
      <c r="F941" s="155"/>
      <c r="G941" s="156"/>
      <c r="H941" s="155"/>
      <c r="I941" s="156"/>
      <c r="J941" s="155"/>
      <c r="K941" s="156"/>
      <c r="L941" s="155"/>
      <c r="M941" s="156"/>
      <c r="N941" s="157"/>
    </row>
    <row r="942" spans="1:14" ht="24" customHeight="1" thickBot="1" x14ac:dyDescent="0.4">
      <c r="A942" s="152"/>
      <c r="B942" s="153"/>
      <c r="C942" s="153"/>
      <c r="D942" s="153"/>
      <c r="E942" s="156"/>
      <c r="F942" s="155"/>
      <c r="G942" s="156"/>
      <c r="H942" s="155"/>
      <c r="I942" s="156"/>
      <c r="J942" s="155"/>
      <c r="K942" s="156"/>
      <c r="L942" s="155"/>
      <c r="M942" s="156"/>
      <c r="N942" s="157"/>
    </row>
    <row r="943" spans="1:14" ht="24" customHeight="1" thickBot="1" x14ac:dyDescent="0.4">
      <c r="A943" s="152"/>
      <c r="B943" s="153"/>
      <c r="C943" s="153"/>
      <c r="D943" s="153"/>
      <c r="E943" s="156"/>
      <c r="F943" s="155"/>
      <c r="G943" s="156"/>
      <c r="H943" s="155"/>
      <c r="I943" s="156"/>
      <c r="J943" s="155"/>
      <c r="K943" s="156"/>
      <c r="L943" s="155"/>
      <c r="M943" s="156"/>
      <c r="N943" s="157"/>
    </row>
    <row r="944" spans="1:14" ht="24" customHeight="1" thickBot="1" x14ac:dyDescent="0.4">
      <c r="A944" s="152"/>
      <c r="B944" s="153"/>
      <c r="C944" s="153"/>
      <c r="D944" s="153"/>
      <c r="E944" s="156"/>
      <c r="F944" s="155"/>
      <c r="G944" s="156"/>
      <c r="H944" s="155"/>
      <c r="I944" s="156"/>
      <c r="J944" s="155"/>
      <c r="K944" s="156"/>
      <c r="L944" s="155"/>
      <c r="M944" s="156"/>
      <c r="N944" s="157"/>
    </row>
    <row r="945" spans="1:14" ht="24" customHeight="1" thickBot="1" x14ac:dyDescent="0.4">
      <c r="A945" s="152"/>
      <c r="B945" s="153"/>
      <c r="C945" s="153"/>
      <c r="D945" s="153"/>
      <c r="E945" s="156"/>
      <c r="F945" s="155"/>
      <c r="G945" s="156"/>
      <c r="H945" s="155"/>
      <c r="I945" s="156"/>
      <c r="J945" s="155"/>
      <c r="K945" s="156"/>
      <c r="L945" s="155"/>
      <c r="M945" s="156"/>
      <c r="N945" s="157"/>
    </row>
    <row r="946" spans="1:14" ht="24" customHeight="1" thickBot="1" x14ac:dyDescent="0.4">
      <c r="A946" s="152"/>
      <c r="B946" s="153"/>
      <c r="C946" s="153"/>
      <c r="D946" s="153"/>
      <c r="E946" s="156"/>
      <c r="F946" s="155"/>
      <c r="G946" s="156"/>
      <c r="H946" s="155"/>
      <c r="I946" s="156"/>
      <c r="J946" s="155"/>
      <c r="K946" s="156"/>
      <c r="L946" s="155"/>
      <c r="M946" s="156"/>
      <c r="N946" s="157"/>
    </row>
    <row r="947" spans="1:14" ht="24" customHeight="1" thickBot="1" x14ac:dyDescent="0.4">
      <c r="A947" s="152"/>
      <c r="B947" s="153"/>
      <c r="C947" s="153"/>
      <c r="D947" s="153"/>
      <c r="E947" s="156"/>
      <c r="F947" s="155"/>
      <c r="G947" s="156"/>
      <c r="H947" s="155"/>
      <c r="I947" s="156"/>
      <c r="J947" s="155"/>
      <c r="K947" s="156"/>
      <c r="L947" s="155"/>
      <c r="M947" s="156"/>
      <c r="N947" s="157"/>
    </row>
    <row r="948" spans="1:14" ht="24" customHeight="1" thickBot="1" x14ac:dyDescent="0.4">
      <c r="A948" s="152"/>
      <c r="B948" s="153"/>
      <c r="C948" s="153"/>
      <c r="D948" s="153"/>
      <c r="E948" s="156"/>
      <c r="F948" s="155"/>
      <c r="G948" s="156"/>
      <c r="H948" s="155"/>
      <c r="I948" s="156"/>
      <c r="J948" s="155"/>
      <c r="K948" s="156"/>
      <c r="L948" s="155"/>
      <c r="M948" s="156"/>
      <c r="N948" s="157"/>
    </row>
    <row r="949" spans="1:14" ht="24" customHeight="1" thickBot="1" x14ac:dyDescent="0.4">
      <c r="A949" s="152"/>
      <c r="B949" s="153"/>
      <c r="C949" s="153"/>
      <c r="D949" s="153"/>
      <c r="E949" s="156"/>
      <c r="F949" s="155"/>
      <c r="G949" s="156"/>
      <c r="H949" s="155"/>
      <c r="I949" s="156"/>
      <c r="J949" s="155"/>
      <c r="K949" s="156"/>
      <c r="L949" s="155"/>
      <c r="M949" s="156"/>
      <c r="N949" s="157"/>
    </row>
    <row r="950" spans="1:14" ht="24" customHeight="1" thickBot="1" x14ac:dyDescent="0.4">
      <c r="A950" s="152"/>
      <c r="B950" s="153"/>
      <c r="C950" s="153"/>
      <c r="D950" s="153"/>
      <c r="E950" s="156"/>
      <c r="F950" s="155"/>
      <c r="G950" s="156"/>
      <c r="H950" s="155"/>
      <c r="I950" s="156"/>
      <c r="J950" s="155"/>
      <c r="K950" s="156"/>
      <c r="L950" s="155"/>
      <c r="M950" s="156"/>
      <c r="N950" s="157"/>
    </row>
    <row r="951" spans="1:14" ht="24" customHeight="1" thickBot="1" x14ac:dyDescent="0.4">
      <c r="A951" s="152"/>
      <c r="B951" s="153"/>
      <c r="C951" s="153"/>
      <c r="D951" s="153"/>
      <c r="E951" s="156"/>
      <c r="F951" s="155"/>
      <c r="G951" s="156"/>
      <c r="H951" s="155"/>
      <c r="I951" s="156"/>
      <c r="J951" s="155"/>
      <c r="K951" s="156"/>
      <c r="L951" s="155"/>
      <c r="M951" s="156"/>
      <c r="N951" s="157"/>
    </row>
    <row r="952" spans="1:14" ht="24" customHeight="1" thickBot="1" x14ac:dyDescent="0.4">
      <c r="A952" s="152"/>
      <c r="B952" s="153"/>
      <c r="C952" s="153"/>
      <c r="D952" s="153"/>
      <c r="E952" s="156"/>
      <c r="F952" s="155"/>
      <c r="G952" s="156"/>
      <c r="H952" s="155"/>
      <c r="I952" s="156"/>
      <c r="J952" s="155"/>
      <c r="K952" s="156"/>
      <c r="L952" s="155"/>
      <c r="M952" s="156"/>
      <c r="N952" s="157"/>
    </row>
    <row r="953" spans="1:14" ht="24" customHeight="1" thickBot="1" x14ac:dyDescent="0.4">
      <c r="A953" s="152"/>
      <c r="B953" s="153"/>
      <c r="C953" s="153"/>
      <c r="D953" s="153"/>
      <c r="E953" s="156"/>
      <c r="F953" s="155"/>
      <c r="G953" s="156"/>
      <c r="H953" s="155"/>
      <c r="I953" s="156"/>
      <c r="J953" s="155"/>
      <c r="K953" s="156"/>
      <c r="L953" s="155"/>
      <c r="M953" s="156"/>
      <c r="N953" s="157"/>
    </row>
    <row r="954" spans="1:14" ht="24" customHeight="1" thickBot="1" x14ac:dyDescent="0.4">
      <c r="A954" s="152"/>
      <c r="B954" s="153"/>
      <c r="C954" s="153"/>
      <c r="D954" s="153"/>
      <c r="E954" s="156"/>
      <c r="F954" s="155"/>
      <c r="G954" s="156"/>
      <c r="H954" s="155"/>
      <c r="I954" s="156"/>
      <c r="J954" s="155"/>
      <c r="K954" s="156"/>
      <c r="L954" s="155"/>
      <c r="M954" s="156"/>
      <c r="N954" s="157"/>
    </row>
    <row r="955" spans="1:14" ht="24" customHeight="1" thickBot="1" x14ac:dyDescent="0.4">
      <c r="A955" s="152"/>
      <c r="B955" s="153"/>
      <c r="C955" s="153"/>
      <c r="D955" s="153"/>
      <c r="E955" s="156"/>
      <c r="F955" s="155"/>
      <c r="G955" s="156"/>
      <c r="H955" s="155"/>
      <c r="I955" s="156"/>
      <c r="J955" s="155"/>
      <c r="K955" s="156"/>
      <c r="L955" s="155"/>
      <c r="M955" s="156"/>
      <c r="N955" s="157"/>
    </row>
    <row r="956" spans="1:14" ht="24" customHeight="1" thickBot="1" x14ac:dyDescent="0.4">
      <c r="A956" s="152"/>
      <c r="B956" s="153"/>
      <c r="C956" s="153"/>
      <c r="D956" s="153"/>
      <c r="E956" s="156"/>
      <c r="F956" s="155"/>
      <c r="G956" s="156"/>
      <c r="H956" s="155"/>
      <c r="I956" s="156"/>
      <c r="J956" s="155"/>
      <c r="K956" s="156"/>
      <c r="L956" s="155"/>
      <c r="M956" s="156"/>
      <c r="N956" s="157"/>
    </row>
    <row r="957" spans="1:14" ht="24" customHeight="1" thickBot="1" x14ac:dyDescent="0.4">
      <c r="A957" s="152"/>
      <c r="B957" s="153"/>
      <c r="C957" s="153"/>
      <c r="D957" s="153"/>
      <c r="E957" s="156"/>
      <c r="F957" s="155"/>
      <c r="G957" s="156"/>
      <c r="H957" s="155"/>
      <c r="I957" s="156"/>
      <c r="J957" s="155"/>
      <c r="K957" s="156"/>
      <c r="L957" s="155"/>
      <c r="M957" s="156"/>
      <c r="N957" s="157"/>
    </row>
    <row r="958" spans="1:14" ht="24" customHeight="1" thickBot="1" x14ac:dyDescent="0.4">
      <c r="A958" s="152"/>
      <c r="B958" s="153"/>
      <c r="C958" s="153"/>
      <c r="D958" s="153"/>
      <c r="E958" s="156"/>
      <c r="F958" s="155"/>
      <c r="G958" s="156"/>
      <c r="H958" s="155"/>
      <c r="I958" s="156"/>
      <c r="J958" s="155"/>
      <c r="K958" s="156"/>
      <c r="L958" s="155"/>
      <c r="M958" s="156"/>
      <c r="N958" s="157"/>
    </row>
    <row r="959" spans="1:14" ht="24" customHeight="1" thickBot="1" x14ac:dyDescent="0.4">
      <c r="A959" s="152"/>
      <c r="B959" s="153"/>
      <c r="C959" s="153"/>
      <c r="D959" s="153"/>
      <c r="E959" s="156"/>
      <c r="F959" s="155"/>
      <c r="G959" s="156"/>
      <c r="H959" s="155"/>
      <c r="I959" s="156"/>
      <c r="J959" s="155"/>
      <c r="K959" s="156"/>
      <c r="L959" s="155"/>
      <c r="M959" s="156"/>
      <c r="N959" s="157"/>
    </row>
    <row r="960" spans="1:14" ht="24" customHeight="1" thickBot="1" x14ac:dyDescent="0.4">
      <c r="A960" s="152"/>
      <c r="B960" s="153"/>
      <c r="C960" s="153"/>
      <c r="D960" s="153"/>
      <c r="E960" s="156"/>
      <c r="F960" s="155"/>
      <c r="G960" s="156"/>
      <c r="H960" s="155"/>
      <c r="I960" s="156"/>
      <c r="J960" s="155"/>
      <c r="K960" s="156"/>
      <c r="L960" s="155"/>
      <c r="M960" s="156"/>
      <c r="N960" s="157"/>
    </row>
    <row r="961" spans="1:14" ht="24" customHeight="1" thickBot="1" x14ac:dyDescent="0.4">
      <c r="A961" s="152"/>
      <c r="B961" s="153"/>
      <c r="C961" s="153"/>
      <c r="D961" s="153"/>
      <c r="E961" s="156"/>
      <c r="F961" s="155"/>
      <c r="G961" s="156"/>
      <c r="H961" s="155"/>
      <c r="I961" s="156"/>
      <c r="J961" s="155"/>
      <c r="K961" s="156"/>
      <c r="L961" s="155"/>
      <c r="M961" s="156"/>
      <c r="N961" s="157"/>
    </row>
    <row r="962" spans="1:14" ht="24" customHeight="1" thickBot="1" x14ac:dyDescent="0.4">
      <c r="A962" s="152"/>
      <c r="B962" s="153"/>
      <c r="C962" s="153"/>
      <c r="D962" s="153"/>
      <c r="E962" s="156"/>
      <c r="F962" s="155"/>
      <c r="G962" s="156"/>
      <c r="H962" s="155"/>
      <c r="I962" s="156"/>
      <c r="J962" s="155"/>
      <c r="K962" s="156"/>
      <c r="L962" s="155"/>
      <c r="M962" s="156"/>
      <c r="N962" s="157"/>
    </row>
    <row r="963" spans="1:14" ht="24" customHeight="1" thickBot="1" x14ac:dyDescent="0.4">
      <c r="A963" s="152"/>
      <c r="B963" s="153"/>
      <c r="C963" s="153"/>
      <c r="D963" s="153"/>
      <c r="E963" s="156"/>
      <c r="F963" s="155"/>
      <c r="G963" s="156"/>
      <c r="H963" s="155"/>
      <c r="I963" s="156"/>
      <c r="J963" s="155"/>
      <c r="K963" s="156"/>
      <c r="L963" s="155"/>
      <c r="M963" s="156"/>
      <c r="N963" s="157"/>
    </row>
    <row r="964" spans="1:14" ht="24" customHeight="1" thickBot="1" x14ac:dyDescent="0.4">
      <c r="A964" s="152"/>
      <c r="B964" s="153"/>
      <c r="C964" s="153"/>
      <c r="D964" s="153"/>
      <c r="E964" s="156"/>
      <c r="F964" s="155"/>
      <c r="G964" s="156"/>
      <c r="H964" s="155"/>
      <c r="I964" s="156"/>
      <c r="J964" s="155"/>
      <c r="K964" s="156"/>
      <c r="L964" s="155"/>
      <c r="M964" s="156"/>
      <c r="N964" s="157"/>
    </row>
    <row r="965" spans="1:14" ht="24" customHeight="1" thickBot="1" x14ac:dyDescent="0.4">
      <c r="A965" s="152"/>
      <c r="B965" s="153"/>
      <c r="C965" s="153"/>
      <c r="D965" s="153"/>
      <c r="E965" s="156"/>
      <c r="F965" s="155"/>
      <c r="G965" s="156"/>
      <c r="H965" s="155"/>
      <c r="I965" s="156"/>
      <c r="J965" s="155"/>
      <c r="K965" s="156"/>
      <c r="L965" s="155"/>
      <c r="M965" s="156"/>
      <c r="N965" s="157"/>
    </row>
    <row r="966" spans="1:14" ht="24" customHeight="1" thickBot="1" x14ac:dyDescent="0.4">
      <c r="A966" s="152"/>
      <c r="B966" s="153"/>
      <c r="C966" s="153"/>
      <c r="D966" s="153"/>
      <c r="E966" s="156"/>
      <c r="F966" s="155"/>
      <c r="G966" s="156"/>
      <c r="H966" s="155"/>
      <c r="I966" s="156"/>
      <c r="J966" s="155"/>
      <c r="K966" s="156"/>
      <c r="L966" s="155"/>
      <c r="M966" s="156"/>
      <c r="N966" s="157"/>
    </row>
    <row r="967" spans="1:14" ht="24" customHeight="1" thickBot="1" x14ac:dyDescent="0.4">
      <c r="A967" s="152"/>
      <c r="B967" s="153"/>
      <c r="C967" s="153"/>
      <c r="D967" s="153"/>
      <c r="E967" s="156"/>
      <c r="F967" s="155"/>
      <c r="G967" s="156"/>
      <c r="H967" s="155"/>
      <c r="I967" s="156"/>
      <c r="J967" s="155"/>
      <c r="K967" s="156"/>
      <c r="L967" s="155"/>
      <c r="M967" s="156"/>
      <c r="N967" s="157"/>
    </row>
    <row r="968" spans="1:14" ht="24" customHeight="1" thickBot="1" x14ac:dyDescent="0.4">
      <c r="A968" s="152"/>
      <c r="B968" s="153"/>
      <c r="C968" s="153"/>
      <c r="D968" s="153"/>
      <c r="E968" s="156"/>
      <c r="F968" s="155"/>
      <c r="G968" s="156"/>
      <c r="H968" s="155"/>
      <c r="I968" s="156"/>
      <c r="J968" s="155"/>
      <c r="K968" s="156"/>
      <c r="L968" s="155"/>
      <c r="M968" s="156"/>
      <c r="N968" s="157"/>
    </row>
    <row r="969" spans="1:14" ht="24" customHeight="1" thickBot="1" x14ac:dyDescent="0.4">
      <c r="A969" s="152"/>
      <c r="B969" s="153"/>
      <c r="C969" s="153"/>
      <c r="D969" s="153"/>
      <c r="E969" s="156"/>
      <c r="F969" s="155"/>
      <c r="G969" s="156"/>
      <c r="H969" s="155"/>
      <c r="I969" s="156"/>
      <c r="J969" s="155"/>
      <c r="K969" s="156"/>
      <c r="L969" s="155"/>
      <c r="M969" s="156"/>
      <c r="N969" s="157"/>
    </row>
    <row r="970" spans="1:14" ht="24" customHeight="1" thickBot="1" x14ac:dyDescent="0.4">
      <c r="A970" s="152"/>
      <c r="B970" s="153"/>
      <c r="C970" s="153"/>
      <c r="D970" s="153"/>
      <c r="E970" s="156"/>
      <c r="F970" s="155"/>
      <c r="G970" s="156"/>
      <c r="H970" s="155"/>
      <c r="I970" s="156"/>
      <c r="J970" s="155"/>
      <c r="K970" s="156"/>
      <c r="L970" s="155"/>
      <c r="M970" s="156"/>
      <c r="N970" s="157"/>
    </row>
    <row r="971" spans="1:14" ht="24" customHeight="1" thickBot="1" x14ac:dyDescent="0.4">
      <c r="A971" s="152"/>
      <c r="B971" s="153"/>
      <c r="C971" s="153"/>
      <c r="D971" s="153"/>
      <c r="E971" s="156"/>
      <c r="F971" s="155"/>
      <c r="G971" s="156"/>
      <c r="H971" s="155"/>
      <c r="I971" s="156"/>
      <c r="J971" s="155"/>
      <c r="K971" s="156"/>
      <c r="L971" s="155"/>
      <c r="M971" s="156"/>
      <c r="N971" s="157"/>
    </row>
    <row r="972" spans="1:14" ht="24" customHeight="1" thickBot="1" x14ac:dyDescent="0.4">
      <c r="A972" s="152"/>
      <c r="B972" s="153"/>
      <c r="C972" s="153"/>
      <c r="D972" s="153"/>
      <c r="E972" s="156"/>
      <c r="F972" s="155"/>
      <c r="G972" s="156"/>
      <c r="H972" s="155"/>
      <c r="I972" s="156"/>
      <c r="J972" s="155"/>
      <c r="K972" s="156"/>
      <c r="L972" s="155"/>
      <c r="M972" s="156"/>
      <c r="N972" s="157"/>
    </row>
    <row r="973" spans="1:14" ht="24" customHeight="1" thickBot="1" x14ac:dyDescent="0.4">
      <c r="A973" s="152"/>
      <c r="B973" s="153"/>
      <c r="C973" s="153"/>
      <c r="D973" s="153"/>
      <c r="E973" s="156"/>
      <c r="F973" s="155"/>
      <c r="G973" s="156"/>
      <c r="H973" s="155"/>
      <c r="I973" s="156"/>
      <c r="J973" s="155"/>
      <c r="K973" s="156"/>
      <c r="L973" s="155"/>
      <c r="M973" s="156"/>
      <c r="N973" s="157"/>
    </row>
    <row r="974" spans="1:14" ht="24" customHeight="1" thickBot="1" x14ac:dyDescent="0.4">
      <c r="A974" s="152"/>
      <c r="B974" s="153"/>
      <c r="C974" s="153"/>
      <c r="D974" s="153"/>
      <c r="E974" s="156"/>
      <c r="F974" s="155"/>
      <c r="G974" s="156"/>
      <c r="H974" s="155"/>
      <c r="I974" s="156"/>
      <c r="J974" s="155"/>
      <c r="K974" s="156"/>
      <c r="L974" s="155"/>
      <c r="M974" s="156"/>
      <c r="N974" s="157"/>
    </row>
    <row r="975" spans="1:14" ht="24" customHeight="1" thickBot="1" x14ac:dyDescent="0.4">
      <c r="A975" s="152"/>
      <c r="B975" s="153"/>
      <c r="C975" s="153"/>
      <c r="D975" s="153"/>
      <c r="E975" s="156"/>
      <c r="F975" s="155"/>
      <c r="G975" s="156"/>
      <c r="H975" s="155"/>
      <c r="I975" s="156"/>
      <c r="J975" s="155"/>
      <c r="K975" s="156"/>
      <c r="L975" s="155"/>
      <c r="M975" s="156"/>
      <c r="N975" s="157"/>
    </row>
    <row r="976" spans="1:14" ht="24" customHeight="1" thickBot="1" x14ac:dyDescent="0.4">
      <c r="A976" s="152"/>
      <c r="B976" s="153"/>
      <c r="C976" s="153"/>
      <c r="D976" s="153"/>
      <c r="E976" s="156"/>
      <c r="F976" s="155"/>
      <c r="G976" s="156"/>
      <c r="H976" s="155"/>
      <c r="I976" s="156"/>
      <c r="J976" s="155"/>
      <c r="K976" s="156"/>
      <c r="L976" s="155"/>
      <c r="M976" s="156"/>
      <c r="N976" s="157"/>
    </row>
    <row r="977" spans="1:14" ht="24" customHeight="1" thickBot="1" x14ac:dyDescent="0.4">
      <c r="A977" s="152"/>
      <c r="B977" s="153"/>
      <c r="C977" s="153"/>
      <c r="D977" s="153"/>
      <c r="E977" s="156"/>
      <c r="F977" s="155"/>
      <c r="G977" s="156"/>
      <c r="H977" s="155"/>
      <c r="I977" s="156"/>
      <c r="J977" s="155"/>
      <c r="K977" s="156"/>
      <c r="L977" s="155"/>
      <c r="M977" s="156"/>
      <c r="N977" s="157"/>
    </row>
    <row r="978" spans="1:14" ht="24" customHeight="1" thickBot="1" x14ac:dyDescent="0.4">
      <c r="A978" s="152"/>
      <c r="B978" s="153"/>
      <c r="C978" s="153"/>
      <c r="D978" s="153"/>
      <c r="E978" s="156"/>
      <c r="F978" s="155"/>
      <c r="G978" s="156"/>
      <c r="H978" s="155"/>
      <c r="I978" s="156"/>
      <c r="J978" s="155"/>
      <c r="K978" s="156"/>
      <c r="L978" s="155"/>
      <c r="M978" s="156"/>
      <c r="N978" s="157"/>
    </row>
    <row r="979" spans="1:14" ht="24" customHeight="1" thickBot="1" x14ac:dyDescent="0.4">
      <c r="A979" s="152"/>
      <c r="B979" s="153"/>
      <c r="C979" s="153"/>
      <c r="D979" s="153"/>
      <c r="E979" s="156"/>
      <c r="F979" s="155"/>
      <c r="G979" s="156"/>
      <c r="H979" s="155"/>
      <c r="I979" s="156"/>
      <c r="J979" s="155"/>
      <c r="K979" s="156"/>
      <c r="L979" s="155"/>
      <c r="M979" s="156"/>
      <c r="N979" s="157"/>
    </row>
    <row r="980" spans="1:14" ht="24" customHeight="1" thickBot="1" x14ac:dyDescent="0.4">
      <c r="A980" s="152"/>
      <c r="B980" s="153"/>
      <c r="C980" s="153"/>
      <c r="D980" s="153"/>
      <c r="E980" s="156"/>
      <c r="F980" s="155"/>
      <c r="G980" s="156"/>
      <c r="H980" s="155"/>
      <c r="I980" s="156"/>
      <c r="J980" s="155"/>
      <c r="K980" s="156"/>
      <c r="L980" s="155"/>
      <c r="M980" s="156"/>
      <c r="N980" s="157"/>
    </row>
    <row r="981" spans="1:14" ht="24" customHeight="1" thickBot="1" x14ac:dyDescent="0.4">
      <c r="A981" s="152"/>
      <c r="B981" s="153"/>
      <c r="C981" s="153"/>
      <c r="D981" s="153"/>
      <c r="E981" s="156"/>
      <c r="F981" s="155"/>
      <c r="G981" s="156"/>
      <c r="H981" s="155"/>
      <c r="I981" s="156"/>
      <c r="J981" s="155"/>
      <c r="K981" s="156"/>
      <c r="L981" s="155"/>
      <c r="M981" s="156"/>
      <c r="N981" s="157"/>
    </row>
    <row r="982" spans="1:14" ht="24" customHeight="1" thickBot="1" x14ac:dyDescent="0.4">
      <c r="A982" s="152"/>
      <c r="B982" s="153"/>
      <c r="C982" s="153"/>
      <c r="D982" s="153"/>
      <c r="E982" s="156"/>
      <c r="F982" s="155"/>
      <c r="G982" s="156"/>
      <c r="H982" s="155"/>
      <c r="I982" s="156"/>
      <c r="J982" s="155"/>
      <c r="K982" s="156"/>
      <c r="L982" s="155"/>
      <c r="M982" s="156"/>
      <c r="N982" s="157"/>
    </row>
    <row r="983" spans="1:14" ht="24" customHeight="1" thickBot="1" x14ac:dyDescent="0.4">
      <c r="A983" s="152"/>
      <c r="B983" s="153"/>
      <c r="C983" s="153"/>
      <c r="D983" s="153"/>
      <c r="E983" s="156"/>
      <c r="F983" s="155"/>
      <c r="G983" s="156"/>
      <c r="H983" s="155"/>
      <c r="I983" s="156"/>
      <c r="J983" s="155"/>
      <c r="K983" s="156"/>
      <c r="L983" s="155"/>
      <c r="M983" s="156"/>
      <c r="N983" s="157"/>
    </row>
    <row r="984" spans="1:14" ht="24" customHeight="1" thickBot="1" x14ac:dyDescent="0.4">
      <c r="A984" s="152"/>
      <c r="B984" s="153"/>
      <c r="C984" s="153"/>
      <c r="D984" s="153"/>
      <c r="E984" s="156"/>
      <c r="F984" s="155"/>
      <c r="G984" s="156"/>
      <c r="H984" s="155"/>
      <c r="I984" s="156"/>
      <c r="J984" s="155"/>
      <c r="K984" s="156"/>
      <c r="L984" s="155"/>
      <c r="M984" s="156"/>
      <c r="N984" s="157"/>
    </row>
    <row r="985" spans="1:14" ht="24" customHeight="1" thickBot="1" x14ac:dyDescent="0.4">
      <c r="A985" s="152"/>
      <c r="B985" s="153"/>
      <c r="C985" s="153"/>
      <c r="D985" s="153"/>
      <c r="E985" s="156"/>
      <c r="F985" s="155"/>
      <c r="G985" s="156"/>
      <c r="H985" s="155"/>
      <c r="I985" s="156"/>
      <c r="J985" s="155"/>
      <c r="K985" s="156"/>
      <c r="L985" s="155"/>
      <c r="M985" s="156"/>
      <c r="N985" s="157"/>
    </row>
    <row r="986" spans="1:14" ht="24" customHeight="1" thickBot="1" x14ac:dyDescent="0.4">
      <c r="A986" s="152"/>
      <c r="B986" s="153"/>
      <c r="C986" s="153"/>
      <c r="D986" s="153"/>
      <c r="E986" s="156"/>
      <c r="F986" s="155"/>
      <c r="G986" s="156"/>
      <c r="H986" s="155"/>
      <c r="I986" s="156"/>
      <c r="J986" s="155"/>
      <c r="K986" s="156"/>
      <c r="L986" s="155"/>
      <c r="M986" s="156"/>
      <c r="N986" s="157"/>
    </row>
    <row r="987" spans="1:14" ht="24" customHeight="1" thickBot="1" x14ac:dyDescent="0.4">
      <c r="A987" s="152"/>
      <c r="B987" s="153"/>
      <c r="C987" s="153"/>
      <c r="D987" s="153"/>
      <c r="E987" s="156"/>
      <c r="F987" s="155"/>
      <c r="G987" s="156"/>
      <c r="H987" s="155"/>
      <c r="I987" s="156"/>
      <c r="J987" s="155"/>
      <c r="K987" s="156"/>
      <c r="L987" s="155"/>
      <c r="M987" s="156"/>
      <c r="N987" s="157"/>
    </row>
    <row r="988" spans="1:14" ht="24" customHeight="1" thickBot="1" x14ac:dyDescent="0.4">
      <c r="A988" s="152"/>
      <c r="B988" s="153"/>
      <c r="C988" s="153"/>
      <c r="D988" s="153"/>
      <c r="E988" s="156"/>
      <c r="F988" s="155"/>
      <c r="G988" s="156"/>
      <c r="H988" s="155"/>
      <c r="I988" s="156"/>
      <c r="J988" s="155"/>
      <c r="K988" s="156"/>
      <c r="L988" s="155"/>
      <c r="M988" s="156"/>
      <c r="N988" s="157"/>
    </row>
    <row r="989" spans="1:14" ht="24" customHeight="1" thickBot="1" x14ac:dyDescent="0.4">
      <c r="A989" s="152"/>
      <c r="B989" s="153"/>
      <c r="C989" s="153"/>
      <c r="D989" s="153"/>
      <c r="E989" s="156"/>
      <c r="F989" s="155"/>
      <c r="G989" s="156"/>
      <c r="H989" s="155"/>
      <c r="I989" s="156"/>
      <c r="J989" s="155"/>
      <c r="K989" s="156"/>
      <c r="L989" s="155"/>
      <c r="M989" s="156"/>
      <c r="N989" s="157"/>
    </row>
    <row r="990" spans="1:14" ht="24" customHeight="1" thickBot="1" x14ac:dyDescent="0.4">
      <c r="A990" s="152"/>
      <c r="B990" s="153"/>
      <c r="C990" s="153"/>
      <c r="D990" s="153"/>
      <c r="E990" s="156"/>
      <c r="F990" s="155"/>
      <c r="G990" s="156"/>
      <c r="H990" s="155"/>
      <c r="I990" s="156"/>
      <c r="J990" s="155"/>
      <c r="K990" s="156"/>
      <c r="L990" s="155"/>
      <c r="M990" s="156"/>
      <c r="N990" s="157"/>
    </row>
    <row r="991" spans="1:14" ht="24" customHeight="1" thickBot="1" x14ac:dyDescent="0.4">
      <c r="A991" s="152"/>
      <c r="B991" s="153"/>
      <c r="C991" s="153"/>
      <c r="D991" s="153"/>
      <c r="E991" s="156"/>
      <c r="F991" s="155"/>
      <c r="G991" s="156"/>
      <c r="H991" s="155"/>
      <c r="I991" s="156"/>
      <c r="J991" s="155"/>
      <c r="K991" s="156"/>
      <c r="L991" s="155"/>
      <c r="M991" s="156"/>
      <c r="N991" s="157"/>
    </row>
    <row r="992" spans="1:14" ht="24" customHeight="1" thickBot="1" x14ac:dyDescent="0.4">
      <c r="A992" s="152"/>
      <c r="B992" s="153"/>
      <c r="C992" s="153"/>
      <c r="D992" s="153"/>
      <c r="E992" s="156"/>
      <c r="F992" s="155"/>
      <c r="G992" s="156"/>
      <c r="H992" s="155"/>
      <c r="I992" s="156"/>
      <c r="J992" s="155"/>
      <c r="K992" s="156"/>
      <c r="L992" s="155"/>
      <c r="M992" s="156"/>
      <c r="N992" s="157"/>
    </row>
    <row r="993" spans="1:14" ht="24" customHeight="1" thickBot="1" x14ac:dyDescent="0.4">
      <c r="A993" s="152"/>
      <c r="B993" s="153"/>
      <c r="C993" s="153"/>
      <c r="D993" s="153"/>
      <c r="E993" s="156"/>
      <c r="F993" s="155"/>
      <c r="G993" s="156"/>
      <c r="H993" s="155"/>
      <c r="I993" s="156"/>
      <c r="J993" s="155"/>
      <c r="K993" s="156"/>
      <c r="L993" s="155"/>
      <c r="M993" s="156"/>
      <c r="N993" s="157"/>
    </row>
    <row r="994" spans="1:14" ht="24" customHeight="1" thickBot="1" x14ac:dyDescent="0.4">
      <c r="A994" s="152"/>
      <c r="B994" s="153"/>
      <c r="C994" s="153"/>
      <c r="D994" s="153"/>
      <c r="E994" s="156"/>
      <c r="F994" s="155"/>
      <c r="G994" s="156"/>
      <c r="H994" s="155"/>
      <c r="I994" s="156"/>
      <c r="J994" s="155"/>
      <c r="K994" s="156"/>
      <c r="L994" s="155"/>
      <c r="M994" s="156"/>
      <c r="N994" s="157"/>
    </row>
    <row r="995" spans="1:14" ht="24" customHeight="1" thickBot="1" x14ac:dyDescent="0.4">
      <c r="A995" s="152"/>
      <c r="B995" s="153"/>
      <c r="C995" s="153"/>
      <c r="D995" s="153"/>
      <c r="E995" s="156"/>
      <c r="F995" s="155"/>
      <c r="G995" s="156"/>
      <c r="H995" s="155"/>
      <c r="I995" s="156"/>
      <c r="J995" s="155"/>
      <c r="K995" s="156"/>
      <c r="L995" s="155"/>
      <c r="M995" s="156"/>
      <c r="N995" s="157"/>
    </row>
    <row r="996" spans="1:14" ht="24" customHeight="1" thickBot="1" x14ac:dyDescent="0.4">
      <c r="A996" s="152"/>
      <c r="B996" s="153"/>
      <c r="C996" s="153"/>
      <c r="D996" s="153"/>
      <c r="E996" s="156"/>
      <c r="F996" s="155"/>
      <c r="G996" s="156"/>
      <c r="H996" s="155"/>
      <c r="I996" s="156"/>
      <c r="J996" s="155"/>
      <c r="K996" s="156"/>
      <c r="L996" s="155"/>
      <c r="M996" s="156"/>
      <c r="N996" s="157"/>
    </row>
    <row r="997" spans="1:14" ht="24" customHeight="1" thickBot="1" x14ac:dyDescent="0.4">
      <c r="A997" s="152"/>
      <c r="B997" s="153"/>
      <c r="C997" s="153"/>
      <c r="D997" s="153"/>
      <c r="E997" s="156"/>
      <c r="F997" s="155"/>
      <c r="G997" s="156"/>
      <c r="H997" s="155"/>
      <c r="I997" s="156"/>
      <c r="J997" s="155"/>
      <c r="K997" s="156"/>
      <c r="L997" s="155"/>
      <c r="M997" s="156"/>
      <c r="N997" s="157"/>
    </row>
    <row r="998" spans="1:14" ht="24" customHeight="1" thickBot="1" x14ac:dyDescent="0.4">
      <c r="A998" s="152"/>
      <c r="B998" s="153"/>
      <c r="C998" s="153"/>
      <c r="D998" s="153"/>
      <c r="E998" s="156"/>
      <c r="F998" s="155"/>
      <c r="G998" s="156"/>
      <c r="H998" s="155"/>
      <c r="I998" s="156"/>
      <c r="J998" s="155"/>
      <c r="K998" s="156"/>
      <c r="L998" s="155"/>
      <c r="M998" s="156"/>
      <c r="N998" s="157"/>
    </row>
    <row r="999" spans="1:14" ht="24" customHeight="1" thickBot="1" x14ac:dyDescent="0.4">
      <c r="A999" s="152"/>
      <c r="B999" s="153"/>
      <c r="C999" s="153"/>
      <c r="D999" s="153"/>
      <c r="E999" s="156"/>
      <c r="F999" s="155"/>
      <c r="G999" s="156"/>
      <c r="H999" s="155"/>
      <c r="I999" s="156"/>
      <c r="J999" s="155"/>
      <c r="K999" s="156"/>
      <c r="L999" s="155"/>
      <c r="M999" s="156"/>
      <c r="N999" s="157"/>
    </row>
    <row r="1000" spans="1:14" ht="24" customHeight="1" thickBot="1" x14ac:dyDescent="0.4">
      <c r="A1000" s="152"/>
      <c r="B1000" s="153"/>
      <c r="C1000" s="153"/>
      <c r="D1000" s="153"/>
      <c r="E1000" s="156"/>
      <c r="F1000" s="155"/>
      <c r="G1000" s="156"/>
      <c r="H1000" s="155"/>
      <c r="I1000" s="156"/>
      <c r="J1000" s="155"/>
      <c r="K1000" s="156"/>
      <c r="L1000" s="155"/>
      <c r="M1000" s="156"/>
      <c r="N1000" s="157"/>
    </row>
    <row r="1001" spans="1:14" ht="24" customHeight="1" thickBot="1" x14ac:dyDescent="0.4">
      <c r="A1001" s="152"/>
      <c r="B1001" s="153"/>
      <c r="C1001" s="153"/>
      <c r="D1001" s="153"/>
      <c r="E1001" s="156"/>
      <c r="F1001" s="155"/>
      <c r="G1001" s="156"/>
      <c r="H1001" s="155"/>
      <c r="I1001" s="156"/>
      <c r="J1001" s="155"/>
      <c r="K1001" s="156"/>
      <c r="L1001" s="155"/>
      <c r="M1001" s="156"/>
      <c r="N1001" s="157"/>
    </row>
    <row r="1002" spans="1:14" ht="24" customHeight="1" thickBot="1" x14ac:dyDescent="0.4">
      <c r="A1002" s="152"/>
      <c r="B1002" s="153"/>
      <c r="C1002" s="153"/>
      <c r="D1002" s="153"/>
      <c r="E1002" s="156"/>
      <c r="F1002" s="155"/>
      <c r="G1002" s="156"/>
      <c r="H1002" s="155"/>
      <c r="I1002" s="156"/>
      <c r="J1002" s="155"/>
      <c r="K1002" s="156"/>
      <c r="L1002" s="155"/>
      <c r="M1002" s="156"/>
      <c r="N1002" s="157"/>
    </row>
    <row r="1003" spans="1:14" ht="24" customHeight="1" thickBot="1" x14ac:dyDescent="0.4">
      <c r="A1003" s="152"/>
      <c r="B1003" s="153"/>
      <c r="C1003" s="153"/>
      <c r="D1003" s="153"/>
      <c r="E1003" s="156"/>
      <c r="F1003" s="155"/>
      <c r="G1003" s="156"/>
      <c r="H1003" s="155"/>
      <c r="I1003" s="156"/>
      <c r="J1003" s="155"/>
      <c r="K1003" s="156"/>
      <c r="L1003" s="155"/>
      <c r="M1003" s="156"/>
      <c r="N1003" s="157"/>
    </row>
    <row r="1004" spans="1:14" ht="24" customHeight="1" thickBot="1" x14ac:dyDescent="0.4">
      <c r="A1004" s="152"/>
      <c r="B1004" s="153"/>
      <c r="C1004" s="153"/>
      <c r="D1004" s="153"/>
      <c r="E1004" s="156"/>
      <c r="F1004" s="155"/>
      <c r="G1004" s="156"/>
      <c r="H1004" s="155"/>
      <c r="I1004" s="156"/>
      <c r="J1004" s="155"/>
      <c r="K1004" s="156"/>
      <c r="L1004" s="155"/>
      <c r="M1004" s="156"/>
      <c r="N1004" s="157"/>
    </row>
    <row r="1005" spans="1:14" ht="24" customHeight="1" thickBot="1" x14ac:dyDescent="0.4">
      <c r="A1005" s="152"/>
      <c r="B1005" s="153"/>
      <c r="C1005" s="153"/>
      <c r="D1005" s="153"/>
      <c r="E1005" s="156"/>
      <c r="F1005" s="155"/>
      <c r="G1005" s="156"/>
      <c r="H1005" s="155"/>
      <c r="I1005" s="156"/>
      <c r="J1005" s="155"/>
      <c r="K1005" s="156"/>
      <c r="L1005" s="155"/>
      <c r="M1005" s="156"/>
      <c r="N1005" s="157"/>
    </row>
    <row r="1006" spans="1:14" ht="24" customHeight="1" thickBot="1" x14ac:dyDescent="0.4">
      <c r="A1006" s="152"/>
      <c r="B1006" s="153"/>
      <c r="C1006" s="153"/>
      <c r="D1006" s="153"/>
      <c r="E1006" s="156"/>
      <c r="F1006" s="155"/>
      <c r="G1006" s="156"/>
      <c r="H1006" s="155"/>
      <c r="I1006" s="156"/>
      <c r="J1006" s="155"/>
      <c r="K1006" s="156"/>
      <c r="L1006" s="155"/>
      <c r="M1006" s="156"/>
      <c r="N1006" s="157"/>
    </row>
    <row r="1007" spans="1:14" ht="24" customHeight="1" thickBot="1" x14ac:dyDescent="0.4">
      <c r="A1007" s="152"/>
      <c r="B1007" s="153"/>
      <c r="C1007" s="153"/>
      <c r="D1007" s="153"/>
      <c r="E1007" s="156"/>
      <c r="F1007" s="155"/>
      <c r="G1007" s="156"/>
      <c r="H1007" s="155"/>
      <c r="I1007" s="156"/>
      <c r="J1007" s="155"/>
      <c r="K1007" s="156"/>
      <c r="L1007" s="155"/>
      <c r="M1007" s="156"/>
      <c r="N1007" s="157"/>
    </row>
    <row r="1008" spans="1:14" ht="24" customHeight="1" thickBot="1" x14ac:dyDescent="0.4">
      <c r="A1008" s="152"/>
      <c r="B1008" s="153"/>
      <c r="C1008" s="153"/>
      <c r="D1008" s="153"/>
      <c r="E1008" s="156"/>
      <c r="F1008" s="155"/>
      <c r="G1008" s="156"/>
      <c r="H1008" s="155"/>
      <c r="I1008" s="156"/>
      <c r="J1008" s="155"/>
      <c r="K1008" s="156"/>
      <c r="L1008" s="155"/>
      <c r="M1008" s="156"/>
      <c r="N1008" s="157"/>
    </row>
    <row r="1009" spans="1:14" ht="24" customHeight="1" thickBot="1" x14ac:dyDescent="0.4">
      <c r="A1009" s="152"/>
      <c r="B1009" s="153"/>
      <c r="C1009" s="153"/>
      <c r="D1009" s="153"/>
      <c r="E1009" s="156"/>
      <c r="F1009" s="155"/>
      <c r="G1009" s="156"/>
      <c r="H1009" s="155"/>
      <c r="I1009" s="156"/>
      <c r="J1009" s="155"/>
      <c r="K1009" s="156"/>
      <c r="L1009" s="155"/>
      <c r="M1009" s="156"/>
      <c r="N1009" s="157"/>
    </row>
    <row r="1010" spans="1:14" ht="24" customHeight="1" thickBot="1" x14ac:dyDescent="0.4">
      <c r="A1010" s="152"/>
      <c r="B1010" s="153"/>
      <c r="C1010" s="153"/>
      <c r="D1010" s="153"/>
      <c r="E1010" s="156"/>
      <c r="F1010" s="155"/>
      <c r="G1010" s="156"/>
      <c r="H1010" s="155"/>
      <c r="I1010" s="156"/>
      <c r="J1010" s="155"/>
      <c r="K1010" s="156"/>
      <c r="L1010" s="155"/>
      <c r="M1010" s="156"/>
      <c r="N1010" s="157"/>
    </row>
    <row r="1011" spans="1:14" ht="24" customHeight="1" thickBot="1" x14ac:dyDescent="0.4">
      <c r="A1011" s="152"/>
      <c r="B1011" s="153"/>
      <c r="C1011" s="153"/>
      <c r="D1011" s="153"/>
      <c r="E1011" s="156"/>
      <c r="F1011" s="155"/>
      <c r="G1011" s="156"/>
      <c r="H1011" s="155"/>
      <c r="I1011" s="156"/>
      <c r="J1011" s="155"/>
      <c r="K1011" s="156"/>
      <c r="L1011" s="155"/>
      <c r="M1011" s="156"/>
      <c r="N1011" s="157"/>
    </row>
    <row r="1012" spans="1:14" ht="24" customHeight="1" thickBot="1" x14ac:dyDescent="0.4">
      <c r="A1012" s="152"/>
      <c r="B1012" s="153"/>
      <c r="C1012" s="153"/>
      <c r="D1012" s="153"/>
      <c r="E1012" s="156"/>
      <c r="F1012" s="155"/>
      <c r="G1012" s="156"/>
      <c r="H1012" s="155"/>
      <c r="I1012" s="156"/>
      <c r="J1012" s="155"/>
      <c r="K1012" s="156"/>
      <c r="L1012" s="155"/>
      <c r="M1012" s="156"/>
      <c r="N1012" s="157"/>
    </row>
    <row r="1013" spans="1:14" ht="24" customHeight="1" thickBot="1" x14ac:dyDescent="0.4">
      <c r="A1013" s="152"/>
      <c r="B1013" s="153"/>
      <c r="C1013" s="153"/>
      <c r="D1013" s="153"/>
      <c r="E1013" s="156"/>
      <c r="F1013" s="155"/>
      <c r="G1013" s="156"/>
      <c r="H1013" s="155"/>
      <c r="I1013" s="156"/>
      <c r="J1013" s="155"/>
      <c r="K1013" s="156"/>
      <c r="L1013" s="155"/>
      <c r="M1013" s="156"/>
      <c r="N1013" s="157"/>
    </row>
    <row r="1014" spans="1:14" ht="24" customHeight="1" thickBot="1" x14ac:dyDescent="0.4">
      <c r="A1014" s="152"/>
      <c r="B1014" s="153"/>
      <c r="C1014" s="153"/>
      <c r="D1014" s="153"/>
      <c r="E1014" s="156"/>
      <c r="F1014" s="155"/>
      <c r="G1014" s="156"/>
      <c r="H1014" s="155"/>
      <c r="I1014" s="156"/>
      <c r="J1014" s="155"/>
      <c r="K1014" s="156"/>
      <c r="L1014" s="155"/>
      <c r="M1014" s="156"/>
      <c r="N1014" s="157"/>
    </row>
    <row r="1015" spans="1:14" ht="24" customHeight="1" thickBot="1" x14ac:dyDescent="0.4">
      <c r="A1015" s="152"/>
      <c r="B1015" s="153"/>
      <c r="C1015" s="153"/>
      <c r="D1015" s="153"/>
      <c r="E1015" s="156"/>
      <c r="F1015" s="155"/>
      <c r="G1015" s="156"/>
      <c r="H1015" s="155"/>
      <c r="I1015" s="156"/>
      <c r="J1015" s="155"/>
      <c r="K1015" s="156"/>
      <c r="L1015" s="155"/>
      <c r="M1015" s="156"/>
      <c r="N1015" s="157"/>
    </row>
    <row r="1016" spans="1:14" ht="24" customHeight="1" thickBot="1" x14ac:dyDescent="0.4">
      <c r="A1016" s="152"/>
      <c r="B1016" s="153"/>
      <c r="C1016" s="153"/>
      <c r="D1016" s="153"/>
      <c r="E1016" s="156"/>
      <c r="F1016" s="155"/>
      <c r="G1016" s="156"/>
      <c r="H1016" s="155"/>
      <c r="I1016" s="156"/>
      <c r="J1016" s="155"/>
      <c r="K1016" s="156"/>
      <c r="L1016" s="155"/>
      <c r="M1016" s="156"/>
      <c r="N1016" s="157"/>
    </row>
    <row r="1017" spans="1:14" ht="24" customHeight="1" thickBot="1" x14ac:dyDescent="0.4">
      <c r="A1017" s="152"/>
      <c r="B1017" s="153"/>
      <c r="C1017" s="153"/>
      <c r="D1017" s="153"/>
      <c r="E1017" s="156"/>
      <c r="F1017" s="155"/>
      <c r="G1017" s="156"/>
      <c r="H1017" s="155"/>
      <c r="I1017" s="156"/>
      <c r="J1017" s="155"/>
      <c r="K1017" s="156"/>
      <c r="L1017" s="155"/>
      <c r="M1017" s="156"/>
      <c r="N1017" s="157"/>
    </row>
    <row r="1018" spans="1:14" ht="24" customHeight="1" thickBot="1" x14ac:dyDescent="0.4">
      <c r="A1018" s="152"/>
      <c r="B1018" s="153"/>
      <c r="C1018" s="153"/>
      <c r="D1018" s="153"/>
      <c r="E1018" s="156"/>
      <c r="F1018" s="155"/>
      <c r="G1018" s="156"/>
      <c r="H1018" s="155"/>
      <c r="I1018" s="156"/>
      <c r="J1018" s="155"/>
      <c r="K1018" s="156"/>
      <c r="L1018" s="155"/>
      <c r="M1018" s="156"/>
      <c r="N1018" s="157"/>
    </row>
    <row r="1019" spans="1:14" ht="24" customHeight="1" thickBot="1" x14ac:dyDescent="0.4">
      <c r="A1019" s="152"/>
      <c r="B1019" s="153"/>
      <c r="C1019" s="153"/>
      <c r="D1019" s="153"/>
      <c r="E1019" s="156"/>
      <c r="F1019" s="155"/>
      <c r="G1019" s="156"/>
      <c r="H1019" s="155"/>
      <c r="I1019" s="156"/>
      <c r="J1019" s="155"/>
      <c r="K1019" s="156"/>
      <c r="L1019" s="155"/>
      <c r="M1019" s="156"/>
      <c r="N1019" s="157"/>
    </row>
    <row r="1020" spans="1:14" ht="24" customHeight="1" thickBot="1" x14ac:dyDescent="0.4">
      <c r="A1020" s="152"/>
      <c r="B1020" s="153"/>
      <c r="C1020" s="153"/>
      <c r="D1020" s="153"/>
      <c r="E1020" s="156"/>
      <c r="F1020" s="155"/>
      <c r="G1020" s="156"/>
      <c r="H1020" s="155"/>
      <c r="I1020" s="156"/>
      <c r="J1020" s="155"/>
      <c r="K1020" s="156"/>
      <c r="L1020" s="155"/>
      <c r="M1020" s="156"/>
      <c r="N1020" s="157"/>
    </row>
    <row r="1021" spans="1:14" ht="24" customHeight="1" thickBot="1" x14ac:dyDescent="0.4">
      <c r="A1021" s="152"/>
      <c r="B1021" s="153"/>
      <c r="C1021" s="153"/>
      <c r="D1021" s="153"/>
      <c r="E1021" s="156"/>
      <c r="F1021" s="155"/>
      <c r="G1021" s="156"/>
      <c r="H1021" s="155"/>
      <c r="I1021" s="156"/>
      <c r="J1021" s="155"/>
      <c r="K1021" s="156"/>
      <c r="L1021" s="155"/>
      <c r="M1021" s="156"/>
      <c r="N1021" s="157"/>
    </row>
    <row r="1022" spans="1:14" ht="24" customHeight="1" thickBot="1" x14ac:dyDescent="0.4">
      <c r="A1022" s="152"/>
      <c r="B1022" s="153"/>
      <c r="C1022" s="153"/>
      <c r="D1022" s="153"/>
      <c r="E1022" s="156"/>
      <c r="F1022" s="155"/>
      <c r="G1022" s="156"/>
      <c r="H1022" s="155"/>
      <c r="I1022" s="156"/>
      <c r="J1022" s="155"/>
      <c r="K1022" s="156"/>
      <c r="L1022" s="155"/>
      <c r="M1022" s="156"/>
      <c r="N1022" s="157"/>
    </row>
    <row r="1023" spans="1:14" ht="24" customHeight="1" thickBot="1" x14ac:dyDescent="0.4">
      <c r="A1023" s="152"/>
      <c r="B1023" s="153"/>
      <c r="C1023" s="153"/>
      <c r="D1023" s="153"/>
      <c r="E1023" s="156"/>
      <c r="F1023" s="155"/>
      <c r="G1023" s="156"/>
      <c r="H1023" s="155"/>
      <c r="I1023" s="156"/>
      <c r="J1023" s="155"/>
      <c r="K1023" s="156"/>
      <c r="L1023" s="155"/>
      <c r="M1023" s="156"/>
      <c r="N1023" s="157"/>
    </row>
  </sheetData>
  <autoFilter ref="A9:AK89" xr:uid="{00000000-0009-0000-0000-000008000000}"/>
  <mergeCells count="20">
    <mergeCell ref="A1:B6"/>
    <mergeCell ref="C1:D1"/>
    <mergeCell ref="H1:I6"/>
    <mergeCell ref="J1:K1"/>
    <mergeCell ref="AC1:AH2"/>
    <mergeCell ref="C2:D2"/>
    <mergeCell ref="J2:K2"/>
    <mergeCell ref="C3:D3"/>
    <mergeCell ref="J3:K4"/>
    <mergeCell ref="L3:L4"/>
    <mergeCell ref="C4:D4"/>
    <mergeCell ref="C5:D5"/>
    <mergeCell ref="J5:K5"/>
    <mergeCell ref="C6:D6"/>
    <mergeCell ref="J6:K6"/>
    <mergeCell ref="A8:D8"/>
    <mergeCell ref="E8:H8"/>
    <mergeCell ref="I8:N8"/>
    <mergeCell ref="R8:T8"/>
    <mergeCell ref="V8:X8"/>
  </mergeCells>
  <phoneticPr fontId="111" type="noConversion"/>
  <hyperlinks>
    <hyperlink ref="A1" location="PAINEL!A1" tooltip="Voltar ao Painel de Navegação" display="⬅ PAINEL" xr:uid="{68CF3998-63B0-48A8-881B-B693BE7D35E9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E95D9"/>
  </sheetPr>
  <dimension ref="A1:AA29"/>
  <sheetViews>
    <sheetView zoomScale="130" zoomScaleNormal="130" workbookViewId="0">
      <pane ySplit="4" topLeftCell="A5" activePane="bottomLeft" state="frozen"/>
      <selection pane="bottomLeft" activeCell="B3" sqref="B3"/>
    </sheetView>
  </sheetViews>
  <sheetFormatPr defaultColWidth="8.5546875" defaultRowHeight="14.4" x14ac:dyDescent="0.3"/>
  <cols>
    <col min="1" max="1" width="24.88671875" style="23" customWidth="1"/>
    <col min="2" max="3" width="8.88671875" style="23" customWidth="1"/>
    <col min="4" max="4" width="16" style="23" customWidth="1"/>
    <col min="5" max="5" width="7.6640625" style="23" customWidth="1"/>
    <col min="6" max="6" width="9.88671875" style="23" customWidth="1"/>
    <col min="7" max="7" width="13.44140625" style="23" customWidth="1"/>
    <col min="8" max="8" width="15.33203125" style="23" customWidth="1"/>
    <col min="9" max="10" width="13.44140625" style="23" customWidth="1"/>
    <col min="11" max="11" width="8.44140625" style="23" customWidth="1"/>
    <col min="12" max="13" width="13.44140625" style="23" customWidth="1"/>
    <col min="14" max="14" width="8.88671875" style="23" customWidth="1"/>
    <col min="15" max="16" width="13.44140625" style="23" customWidth="1"/>
    <col min="17" max="27" width="8.88671875" style="23" customWidth="1"/>
  </cols>
  <sheetData>
    <row r="1" spans="1:16" ht="15" customHeight="1" thickBot="1" x14ac:dyDescent="0.35">
      <c r="A1" s="171" t="s">
        <v>1205</v>
      </c>
      <c r="B1" s="379">
        <f>PARÂMETROS!$E$32</f>
        <v>157.31</v>
      </c>
      <c r="D1" s="458" t="s">
        <v>1206</v>
      </c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</row>
    <row r="2" spans="1:16" ht="15" customHeight="1" thickBot="1" x14ac:dyDescent="0.35">
      <c r="A2" s="360" t="s">
        <v>1861</v>
      </c>
      <c r="B2" s="379">
        <f>PARÂMETROS!$E$33</f>
        <v>53.8</v>
      </c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58"/>
    </row>
    <row r="3" spans="1:16" ht="15" customHeight="1" thickBot="1" x14ac:dyDescent="0.35">
      <c r="A3" s="171" t="s">
        <v>1860</v>
      </c>
      <c r="B3" s="391">
        <f>PARÂMETROS!$E$34</f>
        <v>3.39</v>
      </c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</row>
    <row r="4" spans="1:16" ht="30.75" customHeight="1" x14ac:dyDescent="0.3">
      <c r="A4" s="390" t="s">
        <v>1757</v>
      </c>
      <c r="D4" s="126"/>
      <c r="E4" s="126"/>
      <c r="F4" s="469" t="s">
        <v>1207</v>
      </c>
      <c r="G4" s="469"/>
      <c r="H4" s="469" t="s">
        <v>1208</v>
      </c>
      <c r="I4" s="469"/>
      <c r="J4" s="126"/>
      <c r="K4" s="126"/>
      <c r="L4" s="126"/>
      <c r="M4" s="126"/>
      <c r="N4" s="126"/>
      <c r="O4" s="126"/>
      <c r="P4" s="126"/>
    </row>
    <row r="5" spans="1:16" ht="26.25" customHeight="1" x14ac:dyDescent="0.3">
      <c r="D5" s="45" t="s">
        <v>877</v>
      </c>
      <c r="E5" s="46" t="s">
        <v>10</v>
      </c>
      <c r="F5" s="46" t="s">
        <v>1209</v>
      </c>
      <c r="G5" s="46" t="s">
        <v>900</v>
      </c>
      <c r="H5" s="46" t="s">
        <v>1210</v>
      </c>
      <c r="I5" s="46" t="s">
        <v>1211</v>
      </c>
      <c r="J5" s="47" t="s">
        <v>1212</v>
      </c>
      <c r="K5" s="47" t="s">
        <v>880</v>
      </c>
      <c r="L5" s="47" t="s">
        <v>1213</v>
      </c>
      <c r="M5" s="151" t="s">
        <v>882</v>
      </c>
      <c r="N5" s="127" t="s">
        <v>954</v>
      </c>
      <c r="O5" s="172" t="s">
        <v>955</v>
      </c>
      <c r="P5" s="48" t="s">
        <v>883</v>
      </c>
    </row>
    <row r="6" spans="1:16" ht="14.25" customHeight="1" x14ac:dyDescent="0.3">
      <c r="D6" s="173" t="s">
        <v>165</v>
      </c>
      <c r="E6" s="174" t="s">
        <v>167</v>
      </c>
      <c r="F6" s="175">
        <v>4.8000000000000001E-2</v>
      </c>
      <c r="G6" s="176">
        <f>F6*B1</f>
        <v>7.5508800000000003</v>
      </c>
      <c r="H6" s="174">
        <v>0</v>
      </c>
      <c r="I6" s="176">
        <v>0</v>
      </c>
      <c r="J6" s="54">
        <f t="shared" ref="J6:J16" si="0">I6+G6</f>
        <v>7.5508800000000003</v>
      </c>
      <c r="K6" s="177">
        <f>PARÂMETROS!$H$3</f>
        <v>40</v>
      </c>
      <c r="L6" s="178">
        <v>0.16666666666666699</v>
      </c>
      <c r="M6" s="177">
        <f t="shared" ref="M6:M16" si="1">L6*K6*24</f>
        <v>160.00000000000031</v>
      </c>
      <c r="N6" s="179">
        <v>1</v>
      </c>
      <c r="O6" s="54">
        <f t="shared" ref="O6:O16" si="2">IFERROR(M6/N6,0)</f>
        <v>160.00000000000031</v>
      </c>
      <c r="P6" s="180">
        <f t="shared" ref="P6:P16" si="3">O6+J6</f>
        <v>167.55088000000032</v>
      </c>
    </row>
    <row r="7" spans="1:16" ht="14.25" customHeight="1" x14ac:dyDescent="0.3">
      <c r="D7" s="173" t="s">
        <v>165</v>
      </c>
      <c r="E7" s="174" t="s">
        <v>169</v>
      </c>
      <c r="F7" s="175">
        <v>9.9453385970239894E-2</v>
      </c>
      <c r="G7" s="176">
        <f>F7*B1</f>
        <v>15.645012146978438</v>
      </c>
      <c r="H7" s="174">
        <v>0</v>
      </c>
      <c r="I7" s="176">
        <v>0</v>
      </c>
      <c r="J7" s="54">
        <f t="shared" si="0"/>
        <v>15.645012146978438</v>
      </c>
      <c r="K7" s="177">
        <f>PARÂMETROS!$H$3</f>
        <v>40</v>
      </c>
      <c r="L7" s="178">
        <v>0.16666666666666699</v>
      </c>
      <c r="M7" s="177">
        <f t="shared" si="1"/>
        <v>160.00000000000031</v>
      </c>
      <c r="N7" s="179">
        <v>1</v>
      </c>
      <c r="O7" s="54">
        <f t="shared" si="2"/>
        <v>160.00000000000031</v>
      </c>
      <c r="P7" s="180">
        <f t="shared" si="3"/>
        <v>175.64501214697876</v>
      </c>
    </row>
    <row r="8" spans="1:16" ht="14.25" customHeight="1" x14ac:dyDescent="0.3">
      <c r="D8" s="173" t="s">
        <v>165</v>
      </c>
      <c r="E8" s="174" t="s">
        <v>171</v>
      </c>
      <c r="F8" s="175">
        <v>0.19738839963559099</v>
      </c>
      <c r="G8" s="176">
        <f>F8*B1</f>
        <v>31.05116914667482</v>
      </c>
      <c r="H8" s="174">
        <v>0</v>
      </c>
      <c r="I8" s="176">
        <v>0</v>
      </c>
      <c r="J8" s="54">
        <f t="shared" si="0"/>
        <v>31.05116914667482</v>
      </c>
      <c r="K8" s="177">
        <f>PARÂMETROS!$H$3</f>
        <v>40</v>
      </c>
      <c r="L8" s="178">
        <v>0.16666666666666699</v>
      </c>
      <c r="M8" s="177">
        <f t="shared" si="1"/>
        <v>160.00000000000031</v>
      </c>
      <c r="N8" s="179">
        <v>1</v>
      </c>
      <c r="O8" s="54">
        <f t="shared" si="2"/>
        <v>160.00000000000031</v>
      </c>
      <c r="P8" s="180">
        <f t="shared" si="3"/>
        <v>191.05116914667514</v>
      </c>
    </row>
    <row r="9" spans="1:16" ht="14.25" customHeight="1" x14ac:dyDescent="0.3">
      <c r="D9" s="173" t="s">
        <v>165</v>
      </c>
      <c r="E9" s="174" t="s">
        <v>173</v>
      </c>
      <c r="F9" s="175">
        <v>0.28340419070756201</v>
      </c>
      <c r="G9" s="176">
        <f>F9*B1</f>
        <v>44.582313240206581</v>
      </c>
      <c r="H9" s="174">
        <v>0</v>
      </c>
      <c r="I9" s="176">
        <v>0</v>
      </c>
      <c r="J9" s="54">
        <f t="shared" si="0"/>
        <v>44.582313240206581</v>
      </c>
      <c r="K9" s="177">
        <f>PARÂMETROS!$H$3</f>
        <v>40</v>
      </c>
      <c r="L9" s="178">
        <v>0.20833333333333301</v>
      </c>
      <c r="M9" s="177">
        <f t="shared" si="1"/>
        <v>199.99999999999966</v>
      </c>
      <c r="N9" s="179">
        <v>1</v>
      </c>
      <c r="O9" s="54">
        <f t="shared" si="2"/>
        <v>199.99999999999966</v>
      </c>
      <c r="P9" s="180">
        <f t="shared" si="3"/>
        <v>244.58231324020625</v>
      </c>
    </row>
    <row r="10" spans="1:16" ht="14.25" customHeight="1" x14ac:dyDescent="0.3">
      <c r="D10" s="173" t="s">
        <v>165</v>
      </c>
      <c r="E10" s="174" t="s">
        <v>173</v>
      </c>
      <c r="F10" s="175">
        <v>0.29949893713938702</v>
      </c>
      <c r="G10" s="176">
        <f>F10*B1</f>
        <v>47.11417780139697</v>
      </c>
      <c r="H10" s="174">
        <v>0</v>
      </c>
      <c r="I10" s="176">
        <v>0</v>
      </c>
      <c r="J10" s="54">
        <f t="shared" si="0"/>
        <v>47.11417780139697</v>
      </c>
      <c r="K10" s="177">
        <f>PARÂMETROS!$H$3</f>
        <v>40</v>
      </c>
      <c r="L10" s="178">
        <v>0.20833333333333301</v>
      </c>
      <c r="M10" s="177">
        <f t="shared" si="1"/>
        <v>199.99999999999966</v>
      </c>
      <c r="N10" s="179">
        <v>1</v>
      </c>
      <c r="O10" s="54">
        <f t="shared" si="2"/>
        <v>199.99999999999966</v>
      </c>
      <c r="P10" s="180">
        <f t="shared" si="3"/>
        <v>247.11417780139664</v>
      </c>
    </row>
    <row r="11" spans="1:16" ht="14.25" customHeight="1" x14ac:dyDescent="0.3">
      <c r="D11" s="173" t="s">
        <v>165</v>
      </c>
      <c r="E11" s="174" t="s">
        <v>175</v>
      </c>
      <c r="F11" s="175">
        <v>0.79638627391436401</v>
      </c>
      <c r="G11" s="176">
        <f>F11*B1</f>
        <v>125.27952474946861</v>
      </c>
      <c r="H11" s="174">
        <v>0</v>
      </c>
      <c r="I11" s="176">
        <v>0</v>
      </c>
      <c r="J11" s="54">
        <f t="shared" si="0"/>
        <v>125.27952474946861</v>
      </c>
      <c r="K11" s="177">
        <f>PARÂMETROS!$H$3</f>
        <v>40</v>
      </c>
      <c r="L11" s="178">
        <v>0.20833333333333301</v>
      </c>
      <c r="M11" s="177">
        <f t="shared" si="1"/>
        <v>199.99999999999966</v>
      </c>
      <c r="N11" s="179">
        <v>1</v>
      </c>
      <c r="O11" s="54">
        <f t="shared" si="2"/>
        <v>199.99999999999966</v>
      </c>
      <c r="P11" s="180">
        <f t="shared" si="3"/>
        <v>325.27952474946824</v>
      </c>
    </row>
    <row r="12" spans="1:16" ht="14.25" customHeight="1" x14ac:dyDescent="0.3">
      <c r="D12" s="173" t="s">
        <v>165</v>
      </c>
      <c r="E12" s="174" t="s">
        <v>177</v>
      </c>
      <c r="F12" s="175">
        <v>1.2830245976313399</v>
      </c>
      <c r="G12" s="176">
        <f>F12*B1</f>
        <v>201.83259945338608</v>
      </c>
      <c r="H12" s="174">
        <v>0</v>
      </c>
      <c r="I12" s="176">
        <v>0</v>
      </c>
      <c r="J12" s="54">
        <f t="shared" si="0"/>
        <v>201.83259945338608</v>
      </c>
      <c r="K12" s="177">
        <f>PARÂMETROS!$H$3</f>
        <v>40</v>
      </c>
      <c r="L12" s="178">
        <v>0.25</v>
      </c>
      <c r="M12" s="177">
        <f t="shared" si="1"/>
        <v>240</v>
      </c>
      <c r="N12" s="179">
        <v>1</v>
      </c>
      <c r="O12" s="54">
        <f t="shared" si="2"/>
        <v>240</v>
      </c>
      <c r="P12" s="180">
        <f t="shared" si="3"/>
        <v>441.83259945338608</v>
      </c>
    </row>
    <row r="13" spans="1:16" ht="14.25" customHeight="1" x14ac:dyDescent="0.3">
      <c r="D13" s="173" t="s">
        <v>165</v>
      </c>
      <c r="E13" s="174" t="s">
        <v>179</v>
      </c>
      <c r="F13" s="175">
        <v>2.6629972669298501</v>
      </c>
      <c r="G13" s="176">
        <f>F13*B1</f>
        <v>418.91610006073472</v>
      </c>
      <c r="H13" s="174">
        <v>0</v>
      </c>
      <c r="I13" s="176">
        <v>0</v>
      </c>
      <c r="J13" s="54">
        <f t="shared" si="0"/>
        <v>418.91610006073472</v>
      </c>
      <c r="K13" s="177">
        <f>PARÂMETROS!$H$3</f>
        <v>40</v>
      </c>
      <c r="L13" s="178">
        <v>0.25</v>
      </c>
      <c r="M13" s="177">
        <f t="shared" si="1"/>
        <v>240</v>
      </c>
      <c r="N13" s="179">
        <v>1</v>
      </c>
      <c r="O13" s="54">
        <f t="shared" si="2"/>
        <v>240</v>
      </c>
      <c r="P13" s="180">
        <f t="shared" si="3"/>
        <v>658.91610006073472</v>
      </c>
    </row>
    <row r="14" spans="1:16" ht="14.25" customHeight="1" x14ac:dyDescent="0.3">
      <c r="C14" s="181" t="s">
        <v>1214</v>
      </c>
      <c r="D14" s="173" t="s">
        <v>181</v>
      </c>
      <c r="E14" s="174" t="s">
        <v>167</v>
      </c>
      <c r="F14" s="175">
        <v>4.8000000000000001E-2</v>
      </c>
      <c r="G14" s="176">
        <f>F14*B1</f>
        <v>7.5508800000000003</v>
      </c>
      <c r="H14" s="174">
        <v>2</v>
      </c>
      <c r="I14" s="176">
        <f>H14*$B$3</f>
        <v>6.78</v>
      </c>
      <c r="J14" s="54">
        <f t="shared" si="0"/>
        <v>14.330880000000001</v>
      </c>
      <c r="K14" s="177">
        <f>PARÂMETROS!$H$3</f>
        <v>40</v>
      </c>
      <c r="L14" s="178">
        <v>0.1875</v>
      </c>
      <c r="M14" s="177">
        <f t="shared" si="1"/>
        <v>180</v>
      </c>
      <c r="N14" s="179">
        <v>1</v>
      </c>
      <c r="O14" s="54">
        <f t="shared" si="2"/>
        <v>180</v>
      </c>
      <c r="P14" s="180">
        <f t="shared" si="3"/>
        <v>194.33088000000001</v>
      </c>
    </row>
    <row r="15" spans="1:16" ht="14.25" customHeight="1" x14ac:dyDescent="0.3">
      <c r="C15" s="181" t="s">
        <v>1214</v>
      </c>
      <c r="D15" s="173" t="s">
        <v>181</v>
      </c>
      <c r="E15" s="174" t="s">
        <v>171</v>
      </c>
      <c r="F15" s="175">
        <v>0.19738839963559099</v>
      </c>
      <c r="G15" s="176">
        <f>F15*B1</f>
        <v>31.05116914667482</v>
      </c>
      <c r="H15" s="174">
        <v>4</v>
      </c>
      <c r="I15" s="176">
        <f>H15*$B$3</f>
        <v>13.56</v>
      </c>
      <c r="J15" s="54">
        <f t="shared" si="0"/>
        <v>44.611169146674818</v>
      </c>
      <c r="K15" s="177">
        <f>PARÂMETROS!$H$3</f>
        <v>40</v>
      </c>
      <c r="L15" s="178">
        <v>0.1875</v>
      </c>
      <c r="M15" s="177">
        <f t="shared" si="1"/>
        <v>180</v>
      </c>
      <c r="N15" s="179">
        <v>1</v>
      </c>
      <c r="O15" s="54">
        <f t="shared" si="2"/>
        <v>180</v>
      </c>
      <c r="P15" s="180">
        <f t="shared" si="3"/>
        <v>224.61116914667483</v>
      </c>
    </row>
    <row r="16" spans="1:16" ht="14.25" customHeight="1" x14ac:dyDescent="0.3">
      <c r="C16" s="181" t="s">
        <v>1215</v>
      </c>
      <c r="D16" s="173" t="s">
        <v>184</v>
      </c>
      <c r="E16" s="174" t="s">
        <v>185</v>
      </c>
      <c r="F16" s="175">
        <v>0.79638627391436401</v>
      </c>
      <c r="G16" s="176">
        <f>F16*B1</f>
        <v>125.27952474946861</v>
      </c>
      <c r="H16" s="174">
        <v>4</v>
      </c>
      <c r="I16" s="176">
        <f>H16*$B$2</f>
        <v>215.2</v>
      </c>
      <c r="J16" s="54">
        <f t="shared" si="0"/>
        <v>340.47952474946862</v>
      </c>
      <c r="K16" s="177">
        <f>PARÂMETROS!$H$3</f>
        <v>40</v>
      </c>
      <c r="L16" s="178">
        <v>0.27083333333333298</v>
      </c>
      <c r="M16" s="177">
        <f t="shared" si="1"/>
        <v>259.99999999999966</v>
      </c>
      <c r="N16" s="179">
        <v>1</v>
      </c>
      <c r="O16" s="54">
        <f t="shared" si="2"/>
        <v>259.99999999999966</v>
      </c>
      <c r="P16" s="180">
        <f t="shared" si="3"/>
        <v>600.47952474946828</v>
      </c>
    </row>
    <row r="18" spans="4:9" ht="14.25" customHeight="1" x14ac:dyDescent="0.3">
      <c r="F18" s="182"/>
    </row>
    <row r="19" spans="4:9" ht="14.25" customHeight="1" x14ac:dyDescent="0.3">
      <c r="F19" s="182"/>
      <c r="G19" s="183"/>
      <c r="H19" s="183"/>
      <c r="I19" s="183"/>
    </row>
    <row r="20" spans="4:9" ht="14.25" customHeight="1" x14ac:dyDescent="0.3">
      <c r="F20" s="182"/>
      <c r="G20" s="183"/>
      <c r="H20" s="183"/>
      <c r="I20" s="183"/>
    </row>
    <row r="21" spans="4:9" ht="14.25" customHeight="1" x14ac:dyDescent="0.3">
      <c r="F21" s="182"/>
    </row>
    <row r="22" spans="4:9" ht="14.25" customHeight="1" x14ac:dyDescent="0.3">
      <c r="F22" s="182"/>
    </row>
    <row r="23" spans="4:9" ht="14.25" customHeight="1" x14ac:dyDescent="0.3">
      <c r="F23" s="182"/>
    </row>
    <row r="24" spans="4:9" ht="14.25" customHeight="1" x14ac:dyDescent="0.3">
      <c r="F24" s="182"/>
    </row>
    <row r="25" spans="4:9" ht="14.25" customHeight="1" x14ac:dyDescent="0.3">
      <c r="F25" s="182"/>
    </row>
    <row r="26" spans="4:9" ht="14.25" customHeight="1" x14ac:dyDescent="0.3">
      <c r="D26" s="181"/>
      <c r="F26" s="182"/>
    </row>
    <row r="27" spans="4:9" ht="14.25" customHeight="1" x14ac:dyDescent="0.3">
      <c r="F27" s="182"/>
    </row>
    <row r="28" spans="4:9" ht="14.25" customHeight="1" x14ac:dyDescent="0.3">
      <c r="F28" s="182"/>
    </row>
    <row r="29" spans="4:9" ht="14.25" customHeight="1" x14ac:dyDescent="0.3">
      <c r="F29" s="181"/>
    </row>
  </sheetData>
  <autoFilter ref="D5:P16" xr:uid="{00000000-0009-0000-0000-000009000000}"/>
  <mergeCells count="3">
    <mergeCell ref="D1:P2"/>
    <mergeCell ref="F4:G4"/>
    <mergeCell ref="H4:I4"/>
  </mergeCells>
  <hyperlinks>
    <hyperlink ref="A4" location="PAINEL!A1" tooltip="Voltar ao Painel de Navegação" display="⬅ PAINEL" xr:uid="{EF0ECF47-58F9-4143-A07C-5F4397553682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EC697"/>
  <sheetViews>
    <sheetView zoomScale="85" zoomScaleNormal="85" workbookViewId="0">
      <pane ySplit="1" topLeftCell="A2" activePane="bottomLeft" state="frozen"/>
      <selection pane="bottomLeft" activeCell="B1" sqref="B1"/>
    </sheetView>
  </sheetViews>
  <sheetFormatPr defaultColWidth="8.5546875" defaultRowHeight="18" x14ac:dyDescent="0.3"/>
  <cols>
    <col min="1" max="1" width="6.44140625" style="184" customWidth="1"/>
    <col min="2" max="2" width="31.33203125" style="185" customWidth="1"/>
    <col min="3" max="3" width="15.6640625" style="185" customWidth="1"/>
    <col min="4" max="4" width="15.6640625" style="186" customWidth="1"/>
    <col min="5" max="5" width="11.6640625" style="185" customWidth="1"/>
    <col min="6" max="6" width="26.44140625" style="185" customWidth="1"/>
    <col min="7" max="11" width="23" style="186" customWidth="1"/>
    <col min="12" max="12" width="25.6640625" style="186" customWidth="1"/>
    <col min="13" max="13" width="23" style="186" customWidth="1"/>
    <col min="14" max="14" width="21.44140625" style="185" customWidth="1"/>
    <col min="15" max="15" width="24" style="187" customWidth="1"/>
    <col min="16" max="17" width="13.44140625" style="188" customWidth="1"/>
    <col min="18" max="18" width="20" style="43" customWidth="1"/>
    <col min="19" max="19" width="23" style="43" customWidth="1"/>
    <col min="20" max="20" width="13.44140625" style="43" customWidth="1"/>
    <col min="21" max="21" width="13.6640625" style="43" customWidth="1"/>
    <col min="22" max="22" width="23.109375" style="43" customWidth="1"/>
    <col min="23" max="23" width="13.44140625" style="43" customWidth="1"/>
    <col min="24" max="24" width="17.33203125" style="43" customWidth="1"/>
    <col min="25" max="25" width="23.109375" style="43" customWidth="1"/>
    <col min="26" max="30" width="23" style="43" customWidth="1"/>
    <col min="31" max="31" width="25.88671875" style="43" customWidth="1"/>
    <col min="32" max="65" width="23" style="43" customWidth="1"/>
    <col min="66" max="66" width="13.44140625" style="43" customWidth="1"/>
    <col min="67" max="68" width="14" style="43" customWidth="1"/>
    <col min="69" max="69" width="10.109375" style="189" customWidth="1"/>
    <col min="70" max="70" width="14" style="43" customWidth="1"/>
    <col min="71" max="71" width="16.6640625" style="65" customWidth="1"/>
    <col min="72" max="72" width="9.6640625" style="65" customWidth="1"/>
    <col min="73" max="73" width="26.33203125" style="43" customWidth="1"/>
    <col min="74" max="74" width="13.44140625" style="43" customWidth="1"/>
    <col min="75" max="76" width="14" style="43" customWidth="1"/>
    <col min="77" max="77" width="10.109375" style="189" customWidth="1"/>
    <col min="78" max="78" width="14" style="43" customWidth="1"/>
    <col min="79" max="79" width="16.6640625" style="65" customWidth="1"/>
    <col min="80" max="80" width="9.6640625" style="65" customWidth="1"/>
    <col min="81" max="81" width="26.88671875" style="23" customWidth="1"/>
    <col min="82" max="82" width="13.44140625" style="43" customWidth="1"/>
    <col min="83" max="84" width="14" style="43" customWidth="1"/>
    <col min="85" max="85" width="10.109375" style="189" customWidth="1"/>
    <col min="86" max="86" width="14" style="43" customWidth="1"/>
    <col min="87" max="87" width="16.6640625" style="65" customWidth="1"/>
    <col min="88" max="88" width="9.6640625" style="65" customWidth="1"/>
    <col min="89" max="133" width="8.5546875" style="23"/>
  </cols>
  <sheetData>
    <row r="1" spans="1:133" ht="36" customHeight="1" x14ac:dyDescent="0.3">
      <c r="A1" s="190"/>
      <c r="B1" s="359"/>
      <c r="C1" s="363" t="s">
        <v>1757</v>
      </c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70"/>
      <c r="Q1" s="191"/>
      <c r="R1" s="192"/>
      <c r="S1" s="193"/>
      <c r="Y1" s="194" t="s">
        <v>1216</v>
      </c>
      <c r="BN1" s="194"/>
      <c r="BO1" s="482" t="s">
        <v>1217</v>
      </c>
      <c r="BP1" s="482"/>
      <c r="BQ1" s="482"/>
      <c r="BR1" s="482"/>
      <c r="BS1" s="482"/>
      <c r="BT1" s="195"/>
      <c r="BU1" s="194"/>
      <c r="BV1" s="194"/>
      <c r="BW1" s="482" t="s">
        <v>1217</v>
      </c>
      <c r="BX1" s="482"/>
      <c r="BY1" s="482"/>
      <c r="BZ1" s="482"/>
      <c r="CA1" s="482"/>
      <c r="CB1" s="195"/>
      <c r="CD1" s="194"/>
      <c r="CE1" s="482" t="s">
        <v>1217</v>
      </c>
      <c r="CF1" s="482"/>
      <c r="CG1" s="482"/>
      <c r="CH1" s="482"/>
      <c r="CI1" s="482"/>
      <c r="CJ1" s="195"/>
    </row>
    <row r="2" spans="1:133" ht="95.25" customHeight="1" x14ac:dyDescent="0.3">
      <c r="A2" s="483" t="s">
        <v>1827</v>
      </c>
      <c r="B2" s="484"/>
      <c r="C2" s="483"/>
      <c r="D2" s="483"/>
      <c r="E2" s="483"/>
      <c r="F2" s="485" t="s">
        <v>1828</v>
      </c>
      <c r="G2" s="485"/>
      <c r="H2" s="485"/>
      <c r="I2" s="485"/>
      <c r="J2" s="485" t="s">
        <v>1829</v>
      </c>
      <c r="K2" s="485"/>
      <c r="L2" s="485"/>
      <c r="M2" s="485"/>
      <c r="N2" s="486" t="s">
        <v>1362</v>
      </c>
      <c r="O2" s="486"/>
      <c r="P2" s="170"/>
      <c r="Q2" s="191"/>
      <c r="R2" s="192"/>
      <c r="S2" s="193"/>
      <c r="BO2" s="487" t="s">
        <v>1218</v>
      </c>
      <c r="BP2" s="487"/>
      <c r="BQ2" s="196"/>
      <c r="BR2" s="488" t="s">
        <v>1219</v>
      </c>
      <c r="BS2" s="488"/>
      <c r="BT2" s="197"/>
      <c r="BW2" s="487" t="s">
        <v>1220</v>
      </c>
      <c r="BX2" s="487"/>
      <c r="BY2" s="196"/>
      <c r="BZ2" s="488" t="s">
        <v>1219</v>
      </c>
      <c r="CA2" s="488"/>
      <c r="CB2" s="197"/>
      <c r="CE2" s="487" t="s">
        <v>1221</v>
      </c>
      <c r="CF2" s="487"/>
      <c r="CG2" s="196"/>
      <c r="CH2" s="488" t="s">
        <v>1219</v>
      </c>
      <c r="CI2" s="488"/>
      <c r="CJ2" s="197"/>
    </row>
    <row r="3" spans="1:133" ht="45" customHeight="1" x14ac:dyDescent="0.3">
      <c r="A3" s="198" t="s">
        <v>1222</v>
      </c>
      <c r="B3" s="198">
        <f>PARÂMETROS!$E$18</f>
        <v>438.3</v>
      </c>
      <c r="C3" s="199" t="s">
        <v>1223</v>
      </c>
      <c r="D3" s="476">
        <f>PARÂMETROS!$E$20</f>
        <v>1607.36</v>
      </c>
      <c r="E3" s="476"/>
      <c r="F3" s="477" t="s">
        <v>1830</v>
      </c>
      <c r="G3" s="477"/>
      <c r="H3" s="478">
        <f>PARÂMETROS!$E$22</f>
        <v>42.37</v>
      </c>
      <c r="I3" s="478"/>
      <c r="J3" s="479" t="s">
        <v>1831</v>
      </c>
      <c r="K3" s="480">
        <f>PARÂMETROS!$E$8</f>
        <v>30.89</v>
      </c>
      <c r="L3" s="479" t="s">
        <v>1832</v>
      </c>
      <c r="M3" s="480">
        <f>PARÂMETROS!$E$8</f>
        <v>30.89</v>
      </c>
      <c r="N3" s="479" t="s">
        <v>1833</v>
      </c>
      <c r="O3" s="480">
        <f>PARÂMETROS!$E$27</f>
        <v>3</v>
      </c>
      <c r="P3" s="170"/>
      <c r="Q3" s="191"/>
      <c r="R3" s="472" t="s">
        <v>1224</v>
      </c>
      <c r="S3" s="472"/>
      <c r="U3" s="473" t="s">
        <v>1225</v>
      </c>
      <c r="V3" s="473"/>
      <c r="X3" s="473" t="s">
        <v>1226</v>
      </c>
      <c r="Y3" s="473"/>
      <c r="AA3" s="474" t="s">
        <v>1227</v>
      </c>
      <c r="AB3" s="474"/>
      <c r="AC3" s="474"/>
      <c r="AD3" s="474"/>
      <c r="AE3" s="474"/>
      <c r="AF3" s="474"/>
      <c r="AG3" s="474"/>
      <c r="AH3" s="474"/>
      <c r="AI3" s="474"/>
      <c r="AJ3" s="474"/>
      <c r="AK3" s="474"/>
      <c r="AL3" s="474"/>
      <c r="AN3" s="474" t="s">
        <v>1228</v>
      </c>
      <c r="AO3" s="474"/>
      <c r="AP3" s="474"/>
      <c r="AQ3" s="474"/>
      <c r="AR3" s="474"/>
      <c r="AS3" s="474"/>
      <c r="AT3" s="474"/>
      <c r="AU3" s="474"/>
      <c r="AV3" s="474"/>
      <c r="AW3" s="474"/>
      <c r="AX3" s="474"/>
      <c r="AY3" s="474"/>
      <c r="BA3" s="474" t="s">
        <v>1229</v>
      </c>
      <c r="BB3" s="474"/>
      <c r="BC3" s="474"/>
      <c r="BD3" s="474"/>
      <c r="BE3" s="474"/>
      <c r="BF3" s="474"/>
      <c r="BG3" s="474"/>
      <c r="BH3" s="474"/>
      <c r="BI3" s="474"/>
      <c r="BJ3" s="474"/>
      <c r="BK3" s="474"/>
      <c r="BL3" s="474"/>
      <c r="BO3" s="475" t="s">
        <v>1230</v>
      </c>
      <c r="BP3" s="475"/>
      <c r="BQ3" s="475"/>
      <c r="BR3" s="475"/>
      <c r="BS3" s="475"/>
      <c r="BT3" s="201"/>
      <c r="BW3" s="475" t="s">
        <v>1231</v>
      </c>
      <c r="BX3" s="475"/>
      <c r="BY3" s="475"/>
      <c r="BZ3" s="475"/>
      <c r="CA3" s="475"/>
      <c r="CB3" s="201"/>
      <c r="CE3" s="475" t="s">
        <v>1232</v>
      </c>
      <c r="CF3" s="475"/>
      <c r="CG3" s="475"/>
      <c r="CH3" s="475"/>
      <c r="CI3" s="475"/>
      <c r="CJ3" s="201"/>
    </row>
    <row r="4" spans="1:133" ht="36.75" customHeight="1" x14ac:dyDescent="0.3">
      <c r="A4" s="202" t="s">
        <v>1233</v>
      </c>
      <c r="B4" s="202">
        <f>PARÂMETROS!$E$19</f>
        <v>1205.52</v>
      </c>
      <c r="C4" s="203" t="s">
        <v>1234</v>
      </c>
      <c r="D4" s="481">
        <f>PARÂMETROS!$E$21</f>
        <v>2143.15</v>
      </c>
      <c r="E4" s="481"/>
      <c r="F4" s="477"/>
      <c r="G4" s="477"/>
      <c r="H4" s="478"/>
      <c r="I4" s="478"/>
      <c r="J4" s="479"/>
      <c r="K4" s="480"/>
      <c r="L4" s="479"/>
      <c r="M4" s="480"/>
      <c r="N4" s="479"/>
      <c r="O4" s="480"/>
      <c r="P4" s="170"/>
      <c r="Q4" s="191"/>
      <c r="R4" s="472"/>
      <c r="S4" s="472"/>
      <c r="U4" s="473"/>
      <c r="V4" s="473"/>
      <c r="X4" s="473"/>
      <c r="Y4" s="473"/>
      <c r="AA4" s="474"/>
      <c r="AB4" s="474"/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N4" s="474"/>
      <c r="AO4" s="474"/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BA4" s="474"/>
      <c r="BB4" s="474"/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O4" s="475"/>
      <c r="BP4" s="475"/>
      <c r="BQ4" s="475"/>
      <c r="BR4" s="475"/>
      <c r="BS4" s="475"/>
      <c r="BT4" s="366" t="s">
        <v>1816</v>
      </c>
      <c r="BW4" s="475"/>
      <c r="BX4" s="475"/>
      <c r="BY4" s="475"/>
      <c r="BZ4" s="475"/>
      <c r="CA4" s="475"/>
      <c r="CB4" s="366" t="s">
        <v>1816</v>
      </c>
      <c r="CE4" s="475"/>
      <c r="CF4" s="475"/>
      <c r="CG4" s="475"/>
      <c r="CH4" s="475"/>
      <c r="CI4" s="475"/>
      <c r="CJ4" s="366" t="s">
        <v>1816</v>
      </c>
    </row>
    <row r="5" spans="1:133" s="223" customFormat="1" ht="34.5" customHeight="1" x14ac:dyDescent="0.3">
      <c r="A5" s="204" t="s">
        <v>10</v>
      </c>
      <c r="B5" s="205" t="s">
        <v>1235</v>
      </c>
      <c r="C5" s="206" t="s">
        <v>1236</v>
      </c>
      <c r="D5" s="471" t="s">
        <v>1237</v>
      </c>
      <c r="E5" s="471"/>
      <c r="F5" s="206" t="s">
        <v>1238</v>
      </c>
      <c r="G5" s="207" t="s">
        <v>1239</v>
      </c>
      <c r="H5" s="206" t="s">
        <v>1240</v>
      </c>
      <c r="I5" s="207" t="s">
        <v>1239</v>
      </c>
      <c r="J5" s="208" t="s">
        <v>1112</v>
      </c>
      <c r="K5" s="209" t="s">
        <v>1241</v>
      </c>
      <c r="L5" s="208" t="s">
        <v>1112</v>
      </c>
      <c r="M5" s="209" t="s">
        <v>1241</v>
      </c>
      <c r="N5" s="208" t="s">
        <v>1242</v>
      </c>
      <c r="O5" s="209" t="s">
        <v>1243</v>
      </c>
      <c r="P5" s="170"/>
      <c r="Q5" s="191"/>
      <c r="R5" s="210" t="s">
        <v>10</v>
      </c>
      <c r="S5" s="211" t="s">
        <v>1120</v>
      </c>
      <c r="T5" s="43"/>
      <c r="U5" s="210" t="s">
        <v>10</v>
      </c>
      <c r="V5" s="211" t="s">
        <v>1120</v>
      </c>
      <c r="W5" s="43"/>
      <c r="X5" s="210" t="s">
        <v>10</v>
      </c>
      <c r="Y5" s="211" t="s">
        <v>1120</v>
      </c>
      <c r="Z5" s="43"/>
      <c r="AA5" s="212" t="s">
        <v>10</v>
      </c>
      <c r="AB5" s="213" t="s">
        <v>880</v>
      </c>
      <c r="AC5" s="214" t="s">
        <v>1244</v>
      </c>
      <c r="AD5" s="214" t="s">
        <v>1245</v>
      </c>
      <c r="AE5" s="214" t="s">
        <v>1246</v>
      </c>
      <c r="AF5" s="214" t="s">
        <v>1247</v>
      </c>
      <c r="AG5" s="214" t="s">
        <v>1248</v>
      </c>
      <c r="AH5" s="214" t="s">
        <v>1249</v>
      </c>
      <c r="AI5" s="214" t="s">
        <v>1250</v>
      </c>
      <c r="AJ5" s="214" t="s">
        <v>1251</v>
      </c>
      <c r="AK5" s="215" t="s">
        <v>1252</v>
      </c>
      <c r="AL5" s="216" t="s">
        <v>1253</v>
      </c>
      <c r="AM5" s="43"/>
      <c r="AN5" s="212" t="s">
        <v>10</v>
      </c>
      <c r="AO5" s="213" t="s">
        <v>880</v>
      </c>
      <c r="AP5" s="214" t="s">
        <v>1244</v>
      </c>
      <c r="AQ5" s="214" t="s">
        <v>1245</v>
      </c>
      <c r="AR5" s="214" t="s">
        <v>1246</v>
      </c>
      <c r="AS5" s="214" t="s">
        <v>1247</v>
      </c>
      <c r="AT5" s="214" t="s">
        <v>1248</v>
      </c>
      <c r="AU5" s="214" t="s">
        <v>1249</v>
      </c>
      <c r="AV5" s="214" t="s">
        <v>1250</v>
      </c>
      <c r="AW5" s="214" t="s">
        <v>1251</v>
      </c>
      <c r="AX5" s="215" t="s">
        <v>1252</v>
      </c>
      <c r="AY5" s="216" t="s">
        <v>1253</v>
      </c>
      <c r="AZ5" s="43"/>
      <c r="BA5" s="212" t="s">
        <v>10</v>
      </c>
      <c r="BB5" s="213" t="s">
        <v>880</v>
      </c>
      <c r="BC5" s="214" t="s">
        <v>1244</v>
      </c>
      <c r="BD5" s="214" t="s">
        <v>1245</v>
      </c>
      <c r="BE5" s="214" t="s">
        <v>1246</v>
      </c>
      <c r="BF5" s="214" t="s">
        <v>1247</v>
      </c>
      <c r="BG5" s="214" t="s">
        <v>1248</v>
      </c>
      <c r="BH5" s="214" t="s">
        <v>1249</v>
      </c>
      <c r="BI5" s="214" t="s">
        <v>1250</v>
      </c>
      <c r="BJ5" s="214" t="s">
        <v>1251</v>
      </c>
      <c r="BK5" s="215" t="s">
        <v>1252</v>
      </c>
      <c r="BL5" s="216" t="s">
        <v>1253</v>
      </c>
      <c r="BM5" s="43"/>
      <c r="BN5" s="43"/>
      <c r="BO5" s="217" t="s">
        <v>1093</v>
      </c>
      <c r="BP5" s="218" t="s">
        <v>882</v>
      </c>
      <c r="BQ5" s="219" t="s">
        <v>954</v>
      </c>
      <c r="BR5" s="220" t="s">
        <v>955</v>
      </c>
      <c r="BS5" s="221" t="s">
        <v>883</v>
      </c>
      <c r="BT5" s="219" t="s">
        <v>954</v>
      </c>
      <c r="BU5" s="43"/>
      <c r="BV5" s="43"/>
      <c r="BW5" s="217" t="s">
        <v>1093</v>
      </c>
      <c r="BX5" s="218" t="s">
        <v>882</v>
      </c>
      <c r="BY5" s="219" t="s">
        <v>954</v>
      </c>
      <c r="BZ5" s="220" t="s">
        <v>955</v>
      </c>
      <c r="CA5" s="221" t="s">
        <v>883</v>
      </c>
      <c r="CB5" s="219" t="s">
        <v>954</v>
      </c>
      <c r="CC5" s="23"/>
      <c r="CD5" s="43"/>
      <c r="CE5" s="217" t="s">
        <v>1093</v>
      </c>
      <c r="CF5" s="218" t="s">
        <v>882</v>
      </c>
      <c r="CG5" s="219" t="s">
        <v>954</v>
      </c>
      <c r="CH5" s="220" t="s">
        <v>955</v>
      </c>
      <c r="CI5" s="221" t="s">
        <v>883</v>
      </c>
      <c r="CJ5" s="222" t="s">
        <v>954</v>
      </c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</row>
    <row r="6" spans="1:133" s="223" customFormat="1" ht="33.75" customHeight="1" x14ac:dyDescent="0.3">
      <c r="A6" s="224" t="s">
        <v>189</v>
      </c>
      <c r="B6" s="225" t="s">
        <v>1254</v>
      </c>
      <c r="C6" s="226">
        <v>3.6650000000000002E-4</v>
      </c>
      <c r="D6" s="470">
        <f>PARÂMETROS!$E$18*C6</f>
        <v>0.16063695</v>
      </c>
      <c r="E6" s="470"/>
      <c r="F6" s="228">
        <v>3.0000000000000001E-3</v>
      </c>
      <c r="G6" s="227">
        <f>F6*PARÂMETROS!$E$22</f>
        <v>0.12711</v>
      </c>
      <c r="H6" s="228">
        <v>2E-3</v>
      </c>
      <c r="I6" s="227">
        <f>H6*PARÂMETROS!$E$22</f>
        <v>8.4739999999999996E-2</v>
      </c>
      <c r="J6" s="229">
        <f t="shared" ref="J6:J37" si="0">0.1 * F6</f>
        <v>3.0000000000000003E-4</v>
      </c>
      <c r="K6" s="230">
        <f>J6*PARÂMETROS!$E$8</f>
        <v>9.2670000000000009E-3</v>
      </c>
      <c r="L6" s="229">
        <f t="shared" ref="L6:L37" si="1">0.1*H6</f>
        <v>2.0000000000000001E-4</v>
      </c>
      <c r="M6" s="230">
        <f>L6*PARÂMETROS!$E$8</f>
        <v>6.1780000000000003E-3</v>
      </c>
      <c r="N6" s="231">
        <v>0.3</v>
      </c>
      <c r="O6" s="230">
        <f>N6*PARÂMETROS!$E$27</f>
        <v>0.89999999999999991</v>
      </c>
      <c r="P6" s="170"/>
      <c r="Q6" s="191"/>
      <c r="R6" s="232" t="s">
        <v>1255</v>
      </c>
      <c r="S6" s="233">
        <f t="shared" ref="S6:S37" si="2">D6+I6+M6</f>
        <v>0.25155495</v>
      </c>
      <c r="T6" s="43"/>
      <c r="U6" s="232" t="s">
        <v>1255</v>
      </c>
      <c r="V6" s="233">
        <f t="shared" ref="V6:V37" si="3">S6+G6+K6</f>
        <v>0.38793195000000003</v>
      </c>
      <c r="W6" s="43"/>
      <c r="X6" s="232" t="s">
        <v>1255</v>
      </c>
      <c r="Y6" s="233">
        <f t="shared" ref="Y6:Y37" si="4">V6+O6</f>
        <v>1.2879319499999999</v>
      </c>
      <c r="Z6" s="43"/>
      <c r="AA6" s="232" t="s">
        <v>1255</v>
      </c>
      <c r="AB6" s="234">
        <f>PARÂMETROS!$H$3</f>
        <v>40</v>
      </c>
      <c r="AC6" s="235">
        <v>2.1527777777777798E-2</v>
      </c>
      <c r="AD6" s="235">
        <v>6.9444444444444397E-3</v>
      </c>
      <c r="AE6" s="235">
        <v>6.9444444444444397E-3</v>
      </c>
      <c r="AF6" s="235">
        <v>6.9444444444444397E-3</v>
      </c>
      <c r="AG6" s="236"/>
      <c r="AH6" s="236"/>
      <c r="AI6" s="235">
        <v>6.9444444444444397E-3</v>
      </c>
      <c r="AJ6" s="235">
        <v>3.125E-2</v>
      </c>
      <c r="AK6" s="237">
        <f t="shared" ref="AK6:AK37" si="5">AC6+AD6+AE6+AF6+AG6+AH6+AI6+AJ6</f>
        <v>8.0555555555555561E-2</v>
      </c>
      <c r="AL6" s="234">
        <f t="shared" ref="AL6:AL37" si="6">AB6*AK6*24</f>
        <v>77.333333333333343</v>
      </c>
      <c r="AM6" s="193"/>
      <c r="AN6" s="232" t="s">
        <v>1255</v>
      </c>
      <c r="AO6" s="234">
        <f>PARÂMETROS!$H$3</f>
        <v>40</v>
      </c>
      <c r="AP6" s="235">
        <v>2.1527777777777798E-2</v>
      </c>
      <c r="AQ6" s="235">
        <v>6.9444444444444397E-3</v>
      </c>
      <c r="AR6" s="235">
        <v>6.9444444444444397E-3</v>
      </c>
      <c r="AS6" s="235">
        <v>6.9444444444444397E-3</v>
      </c>
      <c r="AT6" s="235">
        <v>2.0833333333333301E-2</v>
      </c>
      <c r="AU6" s="236"/>
      <c r="AV6" s="235">
        <v>6.9444444444444397E-3</v>
      </c>
      <c r="AW6" s="235">
        <v>3.125E-2</v>
      </c>
      <c r="AX6" s="237">
        <f t="shared" ref="AX6:AX37" si="7">AP6+AQ6+AR6+AS6+AT6+AU6+AV6+AW6</f>
        <v>0.10138888888888885</v>
      </c>
      <c r="AY6" s="234">
        <f t="shared" ref="AY6:AY37" si="8">AO6*AX6*24</f>
        <v>97.333333333333286</v>
      </c>
      <c r="AZ6" s="193"/>
      <c r="BA6" s="232" t="s">
        <v>1255</v>
      </c>
      <c r="BB6" s="234">
        <f>PARÂMETROS!$H$3</f>
        <v>40</v>
      </c>
      <c r="BC6" s="235">
        <v>2.1527777777777798E-2</v>
      </c>
      <c r="BD6" s="235">
        <v>6.9444444444444397E-3</v>
      </c>
      <c r="BE6" s="235">
        <v>6.9444444444444397E-3</v>
      </c>
      <c r="BF6" s="235">
        <v>6.9444444444444397E-3</v>
      </c>
      <c r="BG6" s="235">
        <v>2.0833333333333301E-2</v>
      </c>
      <c r="BH6" s="235">
        <v>6.9444444444444397E-3</v>
      </c>
      <c r="BI6" s="235">
        <v>6.9444444444444397E-3</v>
      </c>
      <c r="BJ6" s="235">
        <v>3.125E-2</v>
      </c>
      <c r="BK6" s="237">
        <f t="shared" ref="BK6:BK37" si="9">BC6+BD6+BE6+BF6+BG6+BH6+BI6+BJ6</f>
        <v>0.10833333333333328</v>
      </c>
      <c r="BL6" s="234">
        <f t="shared" ref="BL6:BL37" si="10">BB6*BK6*24</f>
        <v>103.99999999999994</v>
      </c>
      <c r="BM6" s="43"/>
      <c r="BN6" s="232" t="s">
        <v>1255</v>
      </c>
      <c r="BO6" s="238">
        <f t="shared" ref="BO6:BO37" si="11">S6</f>
        <v>0.25155495</v>
      </c>
      <c r="BP6" s="239">
        <f t="shared" ref="BP6:BP37" si="12">AL6</f>
        <v>77.333333333333343</v>
      </c>
      <c r="BQ6" s="240">
        <v>50</v>
      </c>
      <c r="BR6" s="241">
        <f t="shared" ref="BR6:BR37" si="13">IFERROR(BP6/BQ6,0)</f>
        <v>1.5466666666666669</v>
      </c>
      <c r="BS6" s="242">
        <f t="shared" ref="BS6:BS37" si="14">BR6+BO6</f>
        <v>1.7982216166666669</v>
      </c>
      <c r="BT6" s="240">
        <v>50</v>
      </c>
      <c r="BU6" s="43"/>
      <c r="BV6" s="232" t="s">
        <v>1255</v>
      </c>
      <c r="BW6" s="238">
        <f t="shared" ref="BW6:BW37" si="15">V6</f>
        <v>0.38793195000000003</v>
      </c>
      <c r="BX6" s="239">
        <f t="shared" ref="BX6:BX37" si="16">AY6</f>
        <v>97.333333333333286</v>
      </c>
      <c r="BY6" s="240">
        <v>35</v>
      </c>
      <c r="BZ6" s="241">
        <f t="shared" ref="BZ6:BZ37" si="17">IFERROR(BX6/BY6,0)</f>
        <v>2.7809523809523795</v>
      </c>
      <c r="CA6" s="242">
        <f t="shared" ref="CA6:CA37" si="18">BZ6+BW6</f>
        <v>3.1688843309523795</v>
      </c>
      <c r="CB6" s="240">
        <v>35</v>
      </c>
      <c r="CC6" s="23"/>
      <c r="CD6" s="232" t="s">
        <v>1255</v>
      </c>
      <c r="CE6" s="238">
        <f t="shared" ref="CE6:CE37" si="19">Y6</f>
        <v>1.2879319499999999</v>
      </c>
      <c r="CF6" s="239">
        <f t="shared" ref="CF6:CF37" si="20">BL6</f>
        <v>103.99999999999994</v>
      </c>
      <c r="CG6" s="243">
        <v>5</v>
      </c>
      <c r="CH6" s="241">
        <f t="shared" ref="CH6:CH37" si="21">IFERROR(CF6/CG6,0)</f>
        <v>20.79999999999999</v>
      </c>
      <c r="CI6" s="242">
        <f t="shared" ref="CI6:CI37" si="22">CH6+CE6</f>
        <v>22.087931949999991</v>
      </c>
      <c r="CJ6" s="244">
        <v>20</v>
      </c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</row>
    <row r="7" spans="1:133" s="223" customFormat="1" ht="27" customHeight="1" x14ac:dyDescent="0.3">
      <c r="A7" s="224" t="s">
        <v>196</v>
      </c>
      <c r="B7" s="225" t="s">
        <v>1254</v>
      </c>
      <c r="C7" s="226">
        <v>5.7600000000000001E-4</v>
      </c>
      <c r="D7" s="470">
        <f>PARÂMETROS!$E$18*C7</f>
        <v>0.25246079999999999</v>
      </c>
      <c r="E7" s="470"/>
      <c r="F7" s="228">
        <v>6.0000000000000001E-3</v>
      </c>
      <c r="G7" s="227">
        <f>F7*PARÂMETROS!$E$22</f>
        <v>0.25422</v>
      </c>
      <c r="H7" s="228">
        <v>2E-3</v>
      </c>
      <c r="I7" s="227">
        <f>H7*PARÂMETROS!$E$22</f>
        <v>8.4739999999999996E-2</v>
      </c>
      <c r="J7" s="228">
        <f t="shared" si="0"/>
        <v>6.0000000000000006E-4</v>
      </c>
      <c r="K7" s="230">
        <f>J7*PARÂMETROS!$E$8</f>
        <v>1.8534000000000002E-2</v>
      </c>
      <c r="L7" s="229">
        <f t="shared" si="1"/>
        <v>2.0000000000000001E-4</v>
      </c>
      <c r="M7" s="230">
        <f>L7*PARÂMETROS!$E$8</f>
        <v>6.1780000000000003E-3</v>
      </c>
      <c r="N7" s="231">
        <v>0.35</v>
      </c>
      <c r="O7" s="230">
        <f>N7*PARÂMETROS!$E$27</f>
        <v>1.0499999999999998</v>
      </c>
      <c r="P7" s="170"/>
      <c r="Q7" s="191"/>
      <c r="R7" s="232" t="s">
        <v>1256</v>
      </c>
      <c r="S7" s="233">
        <f t="shared" si="2"/>
        <v>0.34337879999999998</v>
      </c>
      <c r="T7" s="43"/>
      <c r="U7" s="232" t="s">
        <v>1256</v>
      </c>
      <c r="V7" s="233">
        <f t="shared" si="3"/>
        <v>0.61613280000000004</v>
      </c>
      <c r="W7" s="43"/>
      <c r="X7" s="232" t="s">
        <v>1256</v>
      </c>
      <c r="Y7" s="233">
        <f t="shared" si="4"/>
        <v>1.6661327999999997</v>
      </c>
      <c r="Z7" s="43"/>
      <c r="AA7" s="232" t="s">
        <v>1256</v>
      </c>
      <c r="AB7" s="234">
        <f>PARÂMETROS!$H$3</f>
        <v>40</v>
      </c>
      <c r="AC7" s="235">
        <v>2.1527777777777798E-2</v>
      </c>
      <c r="AD7" s="235">
        <v>6.9444444444444397E-3</v>
      </c>
      <c r="AE7" s="235">
        <v>6.9444444444444397E-3</v>
      </c>
      <c r="AF7" s="235">
        <v>6.9444444444444397E-3</v>
      </c>
      <c r="AG7" s="236"/>
      <c r="AH7" s="236"/>
      <c r="AI7" s="235">
        <v>6.9444444444444397E-3</v>
      </c>
      <c r="AJ7" s="235">
        <v>3.125E-2</v>
      </c>
      <c r="AK7" s="237">
        <f t="shared" si="5"/>
        <v>8.0555555555555561E-2</v>
      </c>
      <c r="AL7" s="234">
        <f t="shared" si="6"/>
        <v>77.333333333333343</v>
      </c>
      <c r="AM7" s="193"/>
      <c r="AN7" s="232" t="s">
        <v>1256</v>
      </c>
      <c r="AO7" s="234">
        <f>PARÂMETROS!$H$3</f>
        <v>40</v>
      </c>
      <c r="AP7" s="235">
        <v>2.1527777777777798E-2</v>
      </c>
      <c r="AQ7" s="235">
        <v>6.9444444444444397E-3</v>
      </c>
      <c r="AR7" s="235">
        <v>6.9444444444444397E-3</v>
      </c>
      <c r="AS7" s="235">
        <v>6.9444444444444397E-3</v>
      </c>
      <c r="AT7" s="235">
        <v>2.0833333333333301E-2</v>
      </c>
      <c r="AU7" s="236"/>
      <c r="AV7" s="235">
        <v>6.9444444444444397E-3</v>
      </c>
      <c r="AW7" s="235">
        <v>3.125E-2</v>
      </c>
      <c r="AX7" s="237">
        <f t="shared" si="7"/>
        <v>0.10138888888888885</v>
      </c>
      <c r="AY7" s="234">
        <f t="shared" si="8"/>
        <v>97.333333333333286</v>
      </c>
      <c r="AZ7" s="193"/>
      <c r="BA7" s="232" t="s">
        <v>1256</v>
      </c>
      <c r="BB7" s="234">
        <f>PARÂMETROS!$H$3</f>
        <v>40</v>
      </c>
      <c r="BC7" s="235">
        <v>2.1527777777777798E-2</v>
      </c>
      <c r="BD7" s="235">
        <v>6.9444444444444397E-3</v>
      </c>
      <c r="BE7" s="235">
        <v>6.9444444444444397E-3</v>
      </c>
      <c r="BF7" s="235">
        <v>6.9444444444444397E-3</v>
      </c>
      <c r="BG7" s="235">
        <v>2.0833333333333301E-2</v>
      </c>
      <c r="BH7" s="235">
        <v>6.9444444444444397E-3</v>
      </c>
      <c r="BI7" s="235">
        <v>6.9444444444444397E-3</v>
      </c>
      <c r="BJ7" s="235">
        <v>3.125E-2</v>
      </c>
      <c r="BK7" s="237">
        <f t="shared" si="9"/>
        <v>0.10833333333333328</v>
      </c>
      <c r="BL7" s="234">
        <f t="shared" si="10"/>
        <v>103.99999999999994</v>
      </c>
      <c r="BM7" s="43"/>
      <c r="BN7" s="232" t="s">
        <v>1256</v>
      </c>
      <c r="BO7" s="238">
        <f t="shared" si="11"/>
        <v>0.34337879999999998</v>
      </c>
      <c r="BP7" s="239">
        <f t="shared" si="12"/>
        <v>77.333333333333343</v>
      </c>
      <c r="BQ7" s="240">
        <v>50</v>
      </c>
      <c r="BR7" s="241">
        <f t="shared" si="13"/>
        <v>1.5466666666666669</v>
      </c>
      <c r="BS7" s="242">
        <f t="shared" si="14"/>
        <v>1.8900454666666668</v>
      </c>
      <c r="BT7" s="240">
        <v>50</v>
      </c>
      <c r="BU7" s="43"/>
      <c r="BV7" s="232" t="s">
        <v>1256</v>
      </c>
      <c r="BW7" s="238">
        <f t="shared" si="15"/>
        <v>0.61613280000000004</v>
      </c>
      <c r="BX7" s="239">
        <f t="shared" si="16"/>
        <v>97.333333333333286</v>
      </c>
      <c r="BY7" s="240">
        <v>35</v>
      </c>
      <c r="BZ7" s="241">
        <f t="shared" si="17"/>
        <v>2.7809523809523795</v>
      </c>
      <c r="CA7" s="242">
        <f t="shared" si="18"/>
        <v>3.3970851809523794</v>
      </c>
      <c r="CB7" s="240">
        <v>35</v>
      </c>
      <c r="CC7" s="23"/>
      <c r="CD7" s="232" t="s">
        <v>1256</v>
      </c>
      <c r="CE7" s="238">
        <f t="shared" si="19"/>
        <v>1.6661327999999997</v>
      </c>
      <c r="CF7" s="239">
        <f t="shared" si="20"/>
        <v>103.99999999999994</v>
      </c>
      <c r="CG7" s="243">
        <v>20</v>
      </c>
      <c r="CH7" s="241">
        <f t="shared" si="21"/>
        <v>5.1999999999999975</v>
      </c>
      <c r="CI7" s="242">
        <f t="shared" si="22"/>
        <v>6.8661327999999973</v>
      </c>
      <c r="CJ7" s="244">
        <v>20</v>
      </c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</row>
    <row r="8" spans="1:133" s="223" customFormat="1" ht="27" customHeight="1" x14ac:dyDescent="0.3">
      <c r="A8" s="224" t="s">
        <v>200</v>
      </c>
      <c r="B8" s="225" t="s">
        <v>1254</v>
      </c>
      <c r="C8" s="226">
        <v>3.3197999999999999E-3</v>
      </c>
      <c r="D8" s="470">
        <f>PARÂMETROS!$E$18*C8</f>
        <v>1.45506834</v>
      </c>
      <c r="E8" s="470"/>
      <c r="F8" s="228">
        <v>0.01</v>
      </c>
      <c r="G8" s="227">
        <f>F8*PARÂMETROS!$E$22</f>
        <v>0.42369999999999997</v>
      </c>
      <c r="H8" s="228">
        <v>2E-3</v>
      </c>
      <c r="I8" s="227">
        <f>H8*PARÂMETROS!$E$22</f>
        <v>8.4739999999999996E-2</v>
      </c>
      <c r="J8" s="228">
        <f t="shared" si="0"/>
        <v>1E-3</v>
      </c>
      <c r="K8" s="230">
        <f>J8*PARÂMETROS!$E$8</f>
        <v>3.0890000000000001E-2</v>
      </c>
      <c r="L8" s="229">
        <f t="shared" si="1"/>
        <v>2.0000000000000001E-4</v>
      </c>
      <c r="M8" s="230">
        <f>L8*PARÂMETROS!$E$8</f>
        <v>6.1780000000000003E-3</v>
      </c>
      <c r="N8" s="231">
        <v>0.38</v>
      </c>
      <c r="O8" s="230">
        <f>N8*PARÂMETROS!$E$27</f>
        <v>1.1400000000000001</v>
      </c>
      <c r="P8" s="170"/>
      <c r="Q8" s="191"/>
      <c r="R8" s="232" t="s">
        <v>1257</v>
      </c>
      <c r="S8" s="233">
        <f t="shared" si="2"/>
        <v>1.54598634</v>
      </c>
      <c r="T8" s="43"/>
      <c r="U8" s="232" t="s">
        <v>1257</v>
      </c>
      <c r="V8" s="233">
        <f t="shared" si="3"/>
        <v>2.0005763399999998</v>
      </c>
      <c r="W8" s="43"/>
      <c r="X8" s="232" t="s">
        <v>1257</v>
      </c>
      <c r="Y8" s="233">
        <f t="shared" si="4"/>
        <v>3.14057634</v>
      </c>
      <c r="Z8" s="43"/>
      <c r="AA8" s="232" t="s">
        <v>1257</v>
      </c>
      <c r="AB8" s="234">
        <f>PARÂMETROS!$H$3</f>
        <v>40</v>
      </c>
      <c r="AC8" s="235">
        <v>2.1527777777777798E-2</v>
      </c>
      <c r="AD8" s="235">
        <v>6.9444444444444397E-3</v>
      </c>
      <c r="AE8" s="235">
        <v>6.9444444444444397E-3</v>
      </c>
      <c r="AF8" s="235">
        <v>6.9444444444444397E-3</v>
      </c>
      <c r="AG8" s="236"/>
      <c r="AH8" s="236"/>
      <c r="AI8" s="235">
        <v>6.9444444444444397E-3</v>
      </c>
      <c r="AJ8" s="235">
        <v>3.125E-2</v>
      </c>
      <c r="AK8" s="237">
        <f t="shared" si="5"/>
        <v>8.0555555555555561E-2</v>
      </c>
      <c r="AL8" s="234">
        <f t="shared" si="6"/>
        <v>77.333333333333343</v>
      </c>
      <c r="AM8" s="193"/>
      <c r="AN8" s="232" t="s">
        <v>1257</v>
      </c>
      <c r="AO8" s="234">
        <f>PARÂMETROS!$H$3</f>
        <v>40</v>
      </c>
      <c r="AP8" s="235">
        <v>2.1527777777777798E-2</v>
      </c>
      <c r="AQ8" s="235">
        <v>6.9444444444444397E-3</v>
      </c>
      <c r="AR8" s="235">
        <v>6.9444444444444397E-3</v>
      </c>
      <c r="AS8" s="235">
        <v>6.9444444444444397E-3</v>
      </c>
      <c r="AT8" s="235">
        <v>2.0833333333333301E-2</v>
      </c>
      <c r="AU8" s="236"/>
      <c r="AV8" s="235">
        <v>6.9444444444444397E-3</v>
      </c>
      <c r="AW8" s="235">
        <v>3.125E-2</v>
      </c>
      <c r="AX8" s="237">
        <f t="shared" si="7"/>
        <v>0.10138888888888885</v>
      </c>
      <c r="AY8" s="234">
        <f t="shared" si="8"/>
        <v>97.333333333333286</v>
      </c>
      <c r="AZ8" s="193"/>
      <c r="BA8" s="232" t="s">
        <v>1257</v>
      </c>
      <c r="BB8" s="234">
        <f>PARÂMETROS!$H$3</f>
        <v>40</v>
      </c>
      <c r="BC8" s="235">
        <v>2.1527777777777798E-2</v>
      </c>
      <c r="BD8" s="235">
        <v>6.9444444444444397E-3</v>
      </c>
      <c r="BE8" s="235">
        <v>6.9444444444444397E-3</v>
      </c>
      <c r="BF8" s="235">
        <v>6.9444444444444397E-3</v>
      </c>
      <c r="BG8" s="235">
        <v>2.0833333333333301E-2</v>
      </c>
      <c r="BH8" s="235">
        <v>6.9444444444444397E-3</v>
      </c>
      <c r="BI8" s="235">
        <v>6.9444444444444397E-3</v>
      </c>
      <c r="BJ8" s="235">
        <v>3.125E-2</v>
      </c>
      <c r="BK8" s="237">
        <f t="shared" si="9"/>
        <v>0.10833333333333328</v>
      </c>
      <c r="BL8" s="234">
        <f t="shared" si="10"/>
        <v>103.99999999999994</v>
      </c>
      <c r="BM8" s="43"/>
      <c r="BN8" s="232" t="s">
        <v>1257</v>
      </c>
      <c r="BO8" s="238">
        <f t="shared" si="11"/>
        <v>1.54598634</v>
      </c>
      <c r="BP8" s="239">
        <f t="shared" si="12"/>
        <v>77.333333333333343</v>
      </c>
      <c r="BQ8" s="240">
        <v>30</v>
      </c>
      <c r="BR8" s="241">
        <f t="shared" si="13"/>
        <v>2.5777777777777779</v>
      </c>
      <c r="BS8" s="242">
        <f t="shared" si="14"/>
        <v>4.1237641177777782</v>
      </c>
      <c r="BT8" s="240">
        <v>30</v>
      </c>
      <c r="BU8" s="43"/>
      <c r="BV8" s="232" t="s">
        <v>1257</v>
      </c>
      <c r="BW8" s="238">
        <f t="shared" si="15"/>
        <v>2.0005763399999998</v>
      </c>
      <c r="BX8" s="239">
        <f t="shared" si="16"/>
        <v>97.333333333333286</v>
      </c>
      <c r="BY8" s="240">
        <v>25</v>
      </c>
      <c r="BZ8" s="241">
        <f t="shared" si="17"/>
        <v>3.8933333333333313</v>
      </c>
      <c r="CA8" s="242">
        <f t="shared" si="18"/>
        <v>5.8939096733333312</v>
      </c>
      <c r="CB8" s="240">
        <v>25</v>
      </c>
      <c r="CC8" s="23"/>
      <c r="CD8" s="232" t="s">
        <v>1257</v>
      </c>
      <c r="CE8" s="238">
        <f t="shared" si="19"/>
        <v>3.14057634</v>
      </c>
      <c r="CF8" s="239">
        <f t="shared" si="20"/>
        <v>103.99999999999994</v>
      </c>
      <c r="CG8" s="243">
        <v>15</v>
      </c>
      <c r="CH8" s="241">
        <f t="shared" si="21"/>
        <v>6.9333333333333291</v>
      </c>
      <c r="CI8" s="242">
        <f t="shared" si="22"/>
        <v>10.073909673333329</v>
      </c>
      <c r="CJ8" s="244">
        <v>15</v>
      </c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</row>
    <row r="9" spans="1:133" s="223" customFormat="1" ht="27" customHeight="1" x14ac:dyDescent="0.3">
      <c r="A9" s="224" t="s">
        <v>185</v>
      </c>
      <c r="B9" s="225" t="s">
        <v>1254</v>
      </c>
      <c r="C9" s="226">
        <v>6.5046000000000001E-3</v>
      </c>
      <c r="D9" s="470">
        <f>PARÂMETROS!$E$18*C9</f>
        <v>2.8509661800000003</v>
      </c>
      <c r="E9" s="470"/>
      <c r="F9" s="228">
        <v>1.6E-2</v>
      </c>
      <c r="G9" s="227">
        <f>F9*PARÂMETROS!$E$22</f>
        <v>0.67791999999999997</v>
      </c>
      <c r="H9" s="228">
        <v>2E-3</v>
      </c>
      <c r="I9" s="227">
        <f>H9*PARÂMETROS!$E$22</f>
        <v>8.4739999999999996E-2</v>
      </c>
      <c r="J9" s="228">
        <f t="shared" si="0"/>
        <v>1.6000000000000001E-3</v>
      </c>
      <c r="K9" s="230">
        <f>J9*PARÂMETROS!$E$8</f>
        <v>4.9424000000000003E-2</v>
      </c>
      <c r="L9" s="229">
        <f t="shared" si="1"/>
        <v>2.0000000000000001E-4</v>
      </c>
      <c r="M9" s="230">
        <f>L9*PARÂMETROS!$E$8</f>
        <v>6.1780000000000003E-3</v>
      </c>
      <c r="N9" s="231">
        <v>0.46</v>
      </c>
      <c r="O9" s="230">
        <f>N9*PARÂMETROS!$E$27</f>
        <v>1.3800000000000001</v>
      </c>
      <c r="P9" s="170"/>
      <c r="Q9" s="191"/>
      <c r="R9" s="232" t="s">
        <v>1258</v>
      </c>
      <c r="S9" s="233">
        <f t="shared" si="2"/>
        <v>2.9418841800000002</v>
      </c>
      <c r="T9" s="43"/>
      <c r="U9" s="232" t="s">
        <v>1258</v>
      </c>
      <c r="V9" s="233">
        <f t="shared" si="3"/>
        <v>3.6692281800000002</v>
      </c>
      <c r="W9" s="43"/>
      <c r="X9" s="232" t="s">
        <v>1258</v>
      </c>
      <c r="Y9" s="233">
        <f t="shared" si="4"/>
        <v>5.0492281800000001</v>
      </c>
      <c r="Z9" s="43"/>
      <c r="AA9" s="232" t="s">
        <v>1258</v>
      </c>
      <c r="AB9" s="234">
        <f>PARÂMETROS!$H$3</f>
        <v>40</v>
      </c>
      <c r="AC9" s="235">
        <v>2.1527777777777798E-2</v>
      </c>
      <c r="AD9" s="235">
        <v>6.9444444444444397E-3</v>
      </c>
      <c r="AE9" s="235">
        <v>6.9444444444444397E-3</v>
      </c>
      <c r="AF9" s="235">
        <v>6.9444444444444397E-3</v>
      </c>
      <c r="AG9" s="236"/>
      <c r="AH9" s="236"/>
      <c r="AI9" s="235">
        <v>6.9444444444444397E-3</v>
      </c>
      <c r="AJ9" s="235">
        <v>3.125E-2</v>
      </c>
      <c r="AK9" s="237">
        <f t="shared" si="5"/>
        <v>8.0555555555555561E-2</v>
      </c>
      <c r="AL9" s="234">
        <f t="shared" si="6"/>
        <v>77.333333333333343</v>
      </c>
      <c r="AM9" s="193"/>
      <c r="AN9" s="232" t="s">
        <v>1258</v>
      </c>
      <c r="AO9" s="234">
        <f>PARÂMETROS!$H$3</f>
        <v>40</v>
      </c>
      <c r="AP9" s="235">
        <v>2.1527777777777798E-2</v>
      </c>
      <c r="AQ9" s="235">
        <v>6.9444444444444397E-3</v>
      </c>
      <c r="AR9" s="235">
        <v>6.9444444444444397E-3</v>
      </c>
      <c r="AS9" s="235">
        <v>6.9444444444444397E-3</v>
      </c>
      <c r="AT9" s="235">
        <v>2.0833333333333301E-2</v>
      </c>
      <c r="AU9" s="236"/>
      <c r="AV9" s="235">
        <v>6.9444444444444397E-3</v>
      </c>
      <c r="AW9" s="235">
        <v>3.125E-2</v>
      </c>
      <c r="AX9" s="237">
        <f t="shared" si="7"/>
        <v>0.10138888888888885</v>
      </c>
      <c r="AY9" s="234">
        <f t="shared" si="8"/>
        <v>97.333333333333286</v>
      </c>
      <c r="AZ9" s="193"/>
      <c r="BA9" s="232" t="s">
        <v>1258</v>
      </c>
      <c r="BB9" s="234">
        <f>PARÂMETROS!$H$3</f>
        <v>40</v>
      </c>
      <c r="BC9" s="235">
        <v>2.1527777777777798E-2</v>
      </c>
      <c r="BD9" s="235">
        <v>6.9444444444444397E-3</v>
      </c>
      <c r="BE9" s="235">
        <v>6.9444444444444397E-3</v>
      </c>
      <c r="BF9" s="235">
        <v>6.9444444444444397E-3</v>
      </c>
      <c r="BG9" s="235">
        <v>2.0833333333333301E-2</v>
      </c>
      <c r="BH9" s="235">
        <v>6.9444444444444397E-3</v>
      </c>
      <c r="BI9" s="235">
        <v>6.9444444444444397E-3</v>
      </c>
      <c r="BJ9" s="235">
        <v>3.125E-2</v>
      </c>
      <c r="BK9" s="237">
        <f t="shared" si="9"/>
        <v>0.10833333333333328</v>
      </c>
      <c r="BL9" s="234">
        <f t="shared" si="10"/>
        <v>103.99999999999994</v>
      </c>
      <c r="BM9" s="43"/>
      <c r="BN9" s="232" t="s">
        <v>1258</v>
      </c>
      <c r="BO9" s="238">
        <f t="shared" si="11"/>
        <v>2.9418841800000002</v>
      </c>
      <c r="BP9" s="239">
        <f t="shared" si="12"/>
        <v>77.333333333333343</v>
      </c>
      <c r="BQ9" s="240">
        <v>30</v>
      </c>
      <c r="BR9" s="241">
        <f t="shared" si="13"/>
        <v>2.5777777777777779</v>
      </c>
      <c r="BS9" s="242">
        <f t="shared" si="14"/>
        <v>5.5196619577777781</v>
      </c>
      <c r="BT9" s="240">
        <v>30</v>
      </c>
      <c r="BU9" s="43"/>
      <c r="BV9" s="232" t="s">
        <v>1258</v>
      </c>
      <c r="BW9" s="238">
        <f t="shared" si="15"/>
        <v>3.6692281800000002</v>
      </c>
      <c r="BX9" s="239">
        <f t="shared" si="16"/>
        <v>97.333333333333286</v>
      </c>
      <c r="BY9" s="240">
        <v>25</v>
      </c>
      <c r="BZ9" s="241">
        <f t="shared" si="17"/>
        <v>3.8933333333333313</v>
      </c>
      <c r="CA9" s="242">
        <f t="shared" si="18"/>
        <v>7.5625615133333319</v>
      </c>
      <c r="CB9" s="240">
        <v>25</v>
      </c>
      <c r="CC9" s="23"/>
      <c r="CD9" s="232" t="s">
        <v>1258</v>
      </c>
      <c r="CE9" s="238">
        <f t="shared" si="19"/>
        <v>5.0492281800000001</v>
      </c>
      <c r="CF9" s="239">
        <f t="shared" si="20"/>
        <v>103.99999999999994</v>
      </c>
      <c r="CG9" s="243">
        <v>15</v>
      </c>
      <c r="CH9" s="241">
        <f t="shared" si="21"/>
        <v>6.9333333333333291</v>
      </c>
      <c r="CI9" s="242">
        <f t="shared" si="22"/>
        <v>11.98256151333333</v>
      </c>
      <c r="CJ9" s="244">
        <v>15</v>
      </c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s="223" customFormat="1" ht="27" customHeight="1" x14ac:dyDescent="0.3">
      <c r="A10" s="224" t="s">
        <v>39</v>
      </c>
      <c r="B10" s="225" t="s">
        <v>1254</v>
      </c>
      <c r="C10" s="226">
        <v>1.7786099999999999E-2</v>
      </c>
      <c r="D10" s="470">
        <f>PARÂMETROS!$E$18*C10</f>
        <v>7.7956476299999995</v>
      </c>
      <c r="E10" s="470"/>
      <c r="F10" s="228">
        <v>3.1E-2</v>
      </c>
      <c r="G10" s="227">
        <f>F10*PARÂMETROS!$E$22</f>
        <v>1.3134699999999999</v>
      </c>
      <c r="H10" s="228">
        <v>2E-3</v>
      </c>
      <c r="I10" s="227">
        <f>H10*PARÂMETROS!$E$22</f>
        <v>8.4739999999999996E-2</v>
      </c>
      <c r="J10" s="228">
        <f t="shared" si="0"/>
        <v>3.1000000000000003E-3</v>
      </c>
      <c r="K10" s="230">
        <f>J10*PARÂMETROS!$E$8</f>
        <v>9.5759000000000011E-2</v>
      </c>
      <c r="L10" s="229">
        <f t="shared" si="1"/>
        <v>2.0000000000000001E-4</v>
      </c>
      <c r="M10" s="230">
        <f>L10*PARÂMETROS!$E$8</f>
        <v>6.1780000000000003E-3</v>
      </c>
      <c r="N10" s="231">
        <v>0.86</v>
      </c>
      <c r="O10" s="230">
        <f>N10*PARÂMETROS!$E$27</f>
        <v>2.58</v>
      </c>
      <c r="P10" s="170"/>
      <c r="Q10" s="191"/>
      <c r="R10" s="232" t="s">
        <v>1259</v>
      </c>
      <c r="S10" s="233">
        <f t="shared" si="2"/>
        <v>7.8865656299999998</v>
      </c>
      <c r="T10" s="43"/>
      <c r="U10" s="232" t="s">
        <v>1259</v>
      </c>
      <c r="V10" s="233">
        <f t="shared" si="3"/>
        <v>9.2957946299999996</v>
      </c>
      <c r="W10" s="43"/>
      <c r="X10" s="232" t="s">
        <v>1259</v>
      </c>
      <c r="Y10" s="233">
        <f t="shared" si="4"/>
        <v>11.87579463</v>
      </c>
      <c r="Z10" s="43"/>
      <c r="AA10" s="232" t="s">
        <v>1259</v>
      </c>
      <c r="AB10" s="234">
        <f>PARÂMETROS!$H$3</f>
        <v>40</v>
      </c>
      <c r="AC10" s="235">
        <v>2.1527777777777798E-2</v>
      </c>
      <c r="AD10" s="235">
        <v>6.9444444444444397E-3</v>
      </c>
      <c r="AE10" s="235">
        <v>3.4722222222222199E-3</v>
      </c>
      <c r="AF10" s="235">
        <v>6.9444444444444397E-3</v>
      </c>
      <c r="AG10" s="236"/>
      <c r="AH10" s="236"/>
      <c r="AI10" s="235">
        <v>6.9444444444444397E-3</v>
      </c>
      <c r="AJ10" s="235">
        <v>3.125E-2</v>
      </c>
      <c r="AK10" s="237">
        <f t="shared" si="5"/>
        <v>7.7083333333333337E-2</v>
      </c>
      <c r="AL10" s="234">
        <f t="shared" si="6"/>
        <v>74</v>
      </c>
      <c r="AM10" s="193"/>
      <c r="AN10" s="232" t="s">
        <v>1259</v>
      </c>
      <c r="AO10" s="234">
        <f>PARÂMETROS!$H$3</f>
        <v>40</v>
      </c>
      <c r="AP10" s="235">
        <v>2.1527777777777798E-2</v>
      </c>
      <c r="AQ10" s="235">
        <v>6.9444444444444397E-3</v>
      </c>
      <c r="AR10" s="235">
        <v>6.9444444444444397E-3</v>
      </c>
      <c r="AS10" s="235">
        <v>6.9444444444444397E-3</v>
      </c>
      <c r="AT10" s="235">
        <v>2.0833333333333301E-2</v>
      </c>
      <c r="AU10" s="236"/>
      <c r="AV10" s="235">
        <v>6.9444444444444397E-3</v>
      </c>
      <c r="AW10" s="235">
        <v>3.125E-2</v>
      </c>
      <c r="AX10" s="237">
        <f t="shared" si="7"/>
        <v>0.10138888888888885</v>
      </c>
      <c r="AY10" s="234">
        <f t="shared" si="8"/>
        <v>97.333333333333286</v>
      </c>
      <c r="AZ10" s="193"/>
      <c r="BA10" s="232" t="s">
        <v>1259</v>
      </c>
      <c r="BB10" s="234">
        <f>PARÂMETROS!$H$3</f>
        <v>40</v>
      </c>
      <c r="BC10" s="235">
        <v>2.1527777777777798E-2</v>
      </c>
      <c r="BD10" s="235">
        <v>6.9444444444444397E-3</v>
      </c>
      <c r="BE10" s="235">
        <v>6.9444444444444397E-3</v>
      </c>
      <c r="BF10" s="235">
        <v>6.9444444444444397E-3</v>
      </c>
      <c r="BG10" s="235">
        <v>2.0833333333333301E-2</v>
      </c>
      <c r="BH10" s="235">
        <v>6.9444444444444397E-3</v>
      </c>
      <c r="BI10" s="235">
        <v>6.9444444444444397E-3</v>
      </c>
      <c r="BJ10" s="235">
        <v>3.125E-2</v>
      </c>
      <c r="BK10" s="237">
        <f t="shared" si="9"/>
        <v>0.10833333333333328</v>
      </c>
      <c r="BL10" s="234">
        <f t="shared" si="10"/>
        <v>103.99999999999994</v>
      </c>
      <c r="BM10" s="43"/>
      <c r="BN10" s="232" t="s">
        <v>1259</v>
      </c>
      <c r="BO10" s="238">
        <f t="shared" si="11"/>
        <v>7.8865656299999998</v>
      </c>
      <c r="BP10" s="239">
        <f t="shared" si="12"/>
        <v>74</v>
      </c>
      <c r="BQ10" s="240">
        <v>30</v>
      </c>
      <c r="BR10" s="241">
        <f t="shared" si="13"/>
        <v>2.4666666666666668</v>
      </c>
      <c r="BS10" s="242">
        <f t="shared" si="14"/>
        <v>10.353232296666667</v>
      </c>
      <c r="BT10" s="240">
        <v>30</v>
      </c>
      <c r="BU10" s="43"/>
      <c r="BV10" s="232" t="s">
        <v>1259</v>
      </c>
      <c r="BW10" s="238">
        <f t="shared" si="15"/>
        <v>9.2957946299999996</v>
      </c>
      <c r="BX10" s="239">
        <f t="shared" si="16"/>
        <v>97.333333333333286</v>
      </c>
      <c r="BY10" s="240">
        <v>25</v>
      </c>
      <c r="BZ10" s="241">
        <f t="shared" si="17"/>
        <v>3.8933333333333313</v>
      </c>
      <c r="CA10" s="242">
        <f t="shared" si="18"/>
        <v>13.18912796333333</v>
      </c>
      <c r="CB10" s="240">
        <v>25</v>
      </c>
      <c r="CC10" s="23"/>
      <c r="CD10" s="232" t="s">
        <v>1259</v>
      </c>
      <c r="CE10" s="238">
        <f t="shared" si="19"/>
        <v>11.87579463</v>
      </c>
      <c r="CF10" s="239">
        <f t="shared" si="20"/>
        <v>103.99999999999994</v>
      </c>
      <c r="CG10" s="243">
        <v>2</v>
      </c>
      <c r="CH10" s="241">
        <f t="shared" si="21"/>
        <v>51.999999999999972</v>
      </c>
      <c r="CI10" s="242">
        <f t="shared" si="22"/>
        <v>63.875794629999973</v>
      </c>
      <c r="CJ10" s="244">
        <v>15</v>
      </c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</row>
    <row r="11" spans="1:133" s="223" customFormat="1" ht="27" customHeight="1" x14ac:dyDescent="0.3">
      <c r="A11" s="224" t="s">
        <v>41</v>
      </c>
      <c r="B11" s="225" t="s">
        <v>1254</v>
      </c>
      <c r="C11" s="226">
        <v>3.7610499999999998E-2</v>
      </c>
      <c r="D11" s="470">
        <f>PARÂMETROS!$E$18*C11</f>
        <v>16.484682150000001</v>
      </c>
      <c r="E11" s="470"/>
      <c r="F11" s="228">
        <v>5.0999999999999997E-2</v>
      </c>
      <c r="G11" s="227">
        <f>F11*PARÂMETROS!$E$22</f>
        <v>2.1608699999999996</v>
      </c>
      <c r="H11" s="228">
        <v>2E-3</v>
      </c>
      <c r="I11" s="227">
        <f>H11*PARÂMETROS!$E$22</f>
        <v>8.4739999999999996E-2</v>
      </c>
      <c r="J11" s="228">
        <f t="shared" si="0"/>
        <v>5.1000000000000004E-3</v>
      </c>
      <c r="K11" s="230">
        <f>J11*PARÂMETROS!$E$8</f>
        <v>0.15753900000000001</v>
      </c>
      <c r="L11" s="229">
        <f t="shared" si="1"/>
        <v>2.0000000000000001E-4</v>
      </c>
      <c r="M11" s="230">
        <f>L11*PARÂMETROS!$E$8</f>
        <v>6.1780000000000003E-3</v>
      </c>
      <c r="N11" s="231">
        <v>0.96</v>
      </c>
      <c r="O11" s="230">
        <f>N11*PARÂMETROS!$E$27</f>
        <v>2.88</v>
      </c>
      <c r="P11" s="170"/>
      <c r="Q11" s="191"/>
      <c r="R11" s="232" t="s">
        <v>1260</v>
      </c>
      <c r="S11" s="233">
        <f t="shared" si="2"/>
        <v>16.57560015</v>
      </c>
      <c r="T11" s="43"/>
      <c r="U11" s="232" t="s">
        <v>1260</v>
      </c>
      <c r="V11" s="233">
        <f t="shared" si="3"/>
        <v>18.894009149999999</v>
      </c>
      <c r="W11" s="43"/>
      <c r="X11" s="232" t="s">
        <v>1260</v>
      </c>
      <c r="Y11" s="233">
        <f t="shared" si="4"/>
        <v>21.774009149999998</v>
      </c>
      <c r="Z11" s="43"/>
      <c r="AA11" s="232" t="s">
        <v>1260</v>
      </c>
      <c r="AB11" s="234">
        <f>PARÂMETROS!$H$3</f>
        <v>40</v>
      </c>
      <c r="AC11" s="235">
        <v>2.1527777777777798E-2</v>
      </c>
      <c r="AD11" s="235">
        <v>6.9444444444444397E-3</v>
      </c>
      <c r="AE11" s="235">
        <v>3.4722222222222199E-3</v>
      </c>
      <c r="AF11" s="235">
        <v>6.9444444444444397E-3</v>
      </c>
      <c r="AG11" s="236"/>
      <c r="AH11" s="236"/>
      <c r="AI11" s="235">
        <v>6.9444444444444397E-3</v>
      </c>
      <c r="AJ11" s="235">
        <v>3.125E-2</v>
      </c>
      <c r="AK11" s="237">
        <f t="shared" si="5"/>
        <v>7.7083333333333337E-2</v>
      </c>
      <c r="AL11" s="234">
        <f t="shared" si="6"/>
        <v>74</v>
      </c>
      <c r="AM11" s="193"/>
      <c r="AN11" s="232" t="s">
        <v>1260</v>
      </c>
      <c r="AO11" s="234">
        <f>PARÂMETROS!$H$3</f>
        <v>40</v>
      </c>
      <c r="AP11" s="235">
        <v>2.1527777777777798E-2</v>
      </c>
      <c r="AQ11" s="235">
        <v>6.9444444444444397E-3</v>
      </c>
      <c r="AR11" s="235">
        <v>1.0416666666666701E-2</v>
      </c>
      <c r="AS11" s="235">
        <v>6.9444444444444397E-3</v>
      </c>
      <c r="AT11" s="235">
        <v>2.0833333333333301E-2</v>
      </c>
      <c r="AU11" s="236"/>
      <c r="AV11" s="235">
        <v>6.9444444444444397E-3</v>
      </c>
      <c r="AW11" s="235">
        <v>3.125E-2</v>
      </c>
      <c r="AX11" s="237">
        <f t="shared" si="7"/>
        <v>0.10486111111111111</v>
      </c>
      <c r="AY11" s="234">
        <f t="shared" si="8"/>
        <v>100.66666666666667</v>
      </c>
      <c r="AZ11" s="193"/>
      <c r="BA11" s="232" t="s">
        <v>1260</v>
      </c>
      <c r="BB11" s="234">
        <f>PARÂMETROS!$H$3</f>
        <v>40</v>
      </c>
      <c r="BC11" s="235">
        <v>2.1527777777777798E-2</v>
      </c>
      <c r="BD11" s="235">
        <v>6.9444444444444397E-3</v>
      </c>
      <c r="BE11" s="235">
        <v>1.0416666666666701E-2</v>
      </c>
      <c r="BF11" s="235">
        <v>6.9444444444444397E-3</v>
      </c>
      <c r="BG11" s="235">
        <v>2.0833333333333301E-2</v>
      </c>
      <c r="BH11" s="235">
        <v>6.9444444444444397E-3</v>
      </c>
      <c r="BI11" s="235">
        <v>6.9444444444444397E-3</v>
      </c>
      <c r="BJ11" s="235">
        <v>3.125E-2</v>
      </c>
      <c r="BK11" s="237">
        <f t="shared" si="9"/>
        <v>0.11180555555555555</v>
      </c>
      <c r="BL11" s="234">
        <f t="shared" si="10"/>
        <v>107.33333333333331</v>
      </c>
      <c r="BM11" s="43"/>
      <c r="BN11" s="232" t="s">
        <v>1260</v>
      </c>
      <c r="BO11" s="238">
        <f t="shared" si="11"/>
        <v>16.57560015</v>
      </c>
      <c r="BP11" s="239">
        <f t="shared" si="12"/>
        <v>74</v>
      </c>
      <c r="BQ11" s="240">
        <v>30</v>
      </c>
      <c r="BR11" s="241">
        <f t="shared" si="13"/>
        <v>2.4666666666666668</v>
      </c>
      <c r="BS11" s="242">
        <f t="shared" si="14"/>
        <v>19.042266816666668</v>
      </c>
      <c r="BT11" s="240">
        <v>20</v>
      </c>
      <c r="BU11" s="43"/>
      <c r="BV11" s="232" t="s">
        <v>1260</v>
      </c>
      <c r="BW11" s="238">
        <f t="shared" si="15"/>
        <v>18.894009149999999</v>
      </c>
      <c r="BX11" s="239">
        <f t="shared" si="16"/>
        <v>100.66666666666667</v>
      </c>
      <c r="BY11" s="240">
        <v>15</v>
      </c>
      <c r="BZ11" s="241">
        <f t="shared" si="17"/>
        <v>6.7111111111111112</v>
      </c>
      <c r="CA11" s="242">
        <f t="shared" si="18"/>
        <v>25.605120261111111</v>
      </c>
      <c r="CB11" s="240">
        <v>15</v>
      </c>
      <c r="CC11" s="23"/>
      <c r="CD11" s="232" t="s">
        <v>1260</v>
      </c>
      <c r="CE11" s="238">
        <f t="shared" si="19"/>
        <v>21.774009149999998</v>
      </c>
      <c r="CF11" s="239">
        <f t="shared" si="20"/>
        <v>107.33333333333331</v>
      </c>
      <c r="CG11" s="243">
        <v>10</v>
      </c>
      <c r="CH11" s="241">
        <f t="shared" si="21"/>
        <v>10.733333333333331</v>
      </c>
      <c r="CI11" s="242">
        <f t="shared" si="22"/>
        <v>32.507342483333332</v>
      </c>
      <c r="CJ11" s="244">
        <v>10</v>
      </c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</row>
    <row r="12" spans="1:133" s="223" customFormat="1" ht="27" customHeight="1" x14ac:dyDescent="0.3">
      <c r="A12" s="224" t="s">
        <v>43</v>
      </c>
      <c r="B12" s="225" t="s">
        <v>1254</v>
      </c>
      <c r="C12" s="226">
        <v>6.8370299999999995E-2</v>
      </c>
      <c r="D12" s="470">
        <f>PARÂMETROS!$E$18*C12</f>
        <v>29.966702489999999</v>
      </c>
      <c r="E12" s="470"/>
      <c r="F12" s="228">
        <v>7.4999999999999997E-2</v>
      </c>
      <c r="G12" s="227">
        <f>F12*PARÂMETROS!$E$22</f>
        <v>3.1777499999999996</v>
      </c>
      <c r="H12" s="228">
        <v>2E-3</v>
      </c>
      <c r="I12" s="227">
        <f>H12*PARÂMETROS!$E$22</f>
        <v>8.4739999999999996E-2</v>
      </c>
      <c r="J12" s="228">
        <f t="shared" si="0"/>
        <v>7.4999999999999997E-3</v>
      </c>
      <c r="K12" s="230">
        <f>J12*PARÂMETROS!$E$8</f>
        <v>0.23167499999999999</v>
      </c>
      <c r="L12" s="229">
        <f t="shared" si="1"/>
        <v>2.0000000000000001E-4</v>
      </c>
      <c r="M12" s="230">
        <f>L12*PARÂMETROS!$E$8</f>
        <v>6.1780000000000003E-3</v>
      </c>
      <c r="N12" s="231">
        <v>1.06</v>
      </c>
      <c r="O12" s="230">
        <f>N12*PARÂMETROS!$E$27</f>
        <v>3.18</v>
      </c>
      <c r="P12" s="170"/>
      <c r="Q12" s="191"/>
      <c r="R12" s="232" t="s">
        <v>1261</v>
      </c>
      <c r="S12" s="233">
        <f t="shared" si="2"/>
        <v>30.057620489999998</v>
      </c>
      <c r="T12" s="43"/>
      <c r="U12" s="232" t="s">
        <v>1261</v>
      </c>
      <c r="V12" s="233">
        <f t="shared" si="3"/>
        <v>33.467045489999997</v>
      </c>
      <c r="W12" s="43"/>
      <c r="X12" s="232" t="s">
        <v>1261</v>
      </c>
      <c r="Y12" s="233">
        <f t="shared" si="4"/>
        <v>36.647045489999996</v>
      </c>
      <c r="Z12" s="43"/>
      <c r="AA12" s="232" t="s">
        <v>1261</v>
      </c>
      <c r="AB12" s="234">
        <f>PARÂMETROS!$H$3</f>
        <v>40</v>
      </c>
      <c r="AC12" s="235">
        <v>2.1527777777777798E-2</v>
      </c>
      <c r="AD12" s="235">
        <v>6.9444444444444397E-3</v>
      </c>
      <c r="AE12" s="235">
        <v>3.4722222222222199E-3</v>
      </c>
      <c r="AF12" s="235">
        <v>6.9444444444444397E-3</v>
      </c>
      <c r="AG12" s="236"/>
      <c r="AH12" s="236"/>
      <c r="AI12" s="235">
        <v>6.9444444444444397E-3</v>
      </c>
      <c r="AJ12" s="235">
        <v>3.125E-2</v>
      </c>
      <c r="AK12" s="237">
        <f t="shared" si="5"/>
        <v>7.7083333333333337E-2</v>
      </c>
      <c r="AL12" s="234">
        <f t="shared" si="6"/>
        <v>74</v>
      </c>
      <c r="AM12" s="193"/>
      <c r="AN12" s="232" t="s">
        <v>1261</v>
      </c>
      <c r="AO12" s="234">
        <f>PARÂMETROS!$H$3</f>
        <v>40</v>
      </c>
      <c r="AP12" s="235">
        <v>2.1527777777777798E-2</v>
      </c>
      <c r="AQ12" s="235">
        <v>6.9444444444444397E-3</v>
      </c>
      <c r="AR12" s="235">
        <v>1.0416666666666701E-2</v>
      </c>
      <c r="AS12" s="235">
        <v>6.9444444444444397E-3</v>
      </c>
      <c r="AT12" s="235">
        <v>2.0833333333333301E-2</v>
      </c>
      <c r="AU12" s="236"/>
      <c r="AV12" s="235">
        <v>6.9444444444444397E-3</v>
      </c>
      <c r="AW12" s="235">
        <v>3.125E-2</v>
      </c>
      <c r="AX12" s="237">
        <f t="shared" si="7"/>
        <v>0.10486111111111111</v>
      </c>
      <c r="AY12" s="234">
        <f t="shared" si="8"/>
        <v>100.66666666666667</v>
      </c>
      <c r="AZ12" s="193"/>
      <c r="BA12" s="232" t="s">
        <v>1261</v>
      </c>
      <c r="BB12" s="234">
        <f>PARÂMETROS!$H$3</f>
        <v>40</v>
      </c>
      <c r="BC12" s="235">
        <v>2.1527777777777798E-2</v>
      </c>
      <c r="BD12" s="235">
        <v>6.9444444444444397E-3</v>
      </c>
      <c r="BE12" s="235">
        <v>1.0416666666666701E-2</v>
      </c>
      <c r="BF12" s="235">
        <v>6.9444444444444397E-3</v>
      </c>
      <c r="BG12" s="235">
        <v>2.0833333333333301E-2</v>
      </c>
      <c r="BH12" s="235">
        <v>6.9444444444444397E-3</v>
      </c>
      <c r="BI12" s="235">
        <v>6.9444444444444397E-3</v>
      </c>
      <c r="BJ12" s="235">
        <v>3.125E-2</v>
      </c>
      <c r="BK12" s="237">
        <f t="shared" si="9"/>
        <v>0.11180555555555555</v>
      </c>
      <c r="BL12" s="234">
        <f t="shared" si="10"/>
        <v>107.33333333333331</v>
      </c>
      <c r="BM12" s="43"/>
      <c r="BN12" s="232" t="s">
        <v>1261</v>
      </c>
      <c r="BO12" s="238">
        <f t="shared" si="11"/>
        <v>30.057620489999998</v>
      </c>
      <c r="BP12" s="239">
        <f t="shared" si="12"/>
        <v>74</v>
      </c>
      <c r="BQ12" s="240">
        <v>30</v>
      </c>
      <c r="BR12" s="241">
        <f t="shared" si="13"/>
        <v>2.4666666666666668</v>
      </c>
      <c r="BS12" s="242">
        <f t="shared" si="14"/>
        <v>32.524287156666666</v>
      </c>
      <c r="BT12" s="240">
        <v>20</v>
      </c>
      <c r="BU12" s="43"/>
      <c r="BV12" s="232" t="s">
        <v>1261</v>
      </c>
      <c r="BW12" s="238">
        <f t="shared" si="15"/>
        <v>33.467045489999997</v>
      </c>
      <c r="BX12" s="239">
        <f t="shared" si="16"/>
        <v>100.66666666666667</v>
      </c>
      <c r="BY12" s="240">
        <v>15</v>
      </c>
      <c r="BZ12" s="241">
        <f t="shared" si="17"/>
        <v>6.7111111111111112</v>
      </c>
      <c r="CA12" s="242">
        <f t="shared" si="18"/>
        <v>40.178156601111105</v>
      </c>
      <c r="CB12" s="240">
        <v>15</v>
      </c>
      <c r="CC12" s="23"/>
      <c r="CD12" s="232" t="s">
        <v>1261</v>
      </c>
      <c r="CE12" s="238">
        <f t="shared" si="19"/>
        <v>36.647045489999996</v>
      </c>
      <c r="CF12" s="239">
        <f t="shared" si="20"/>
        <v>107.33333333333331</v>
      </c>
      <c r="CG12" s="243">
        <v>1</v>
      </c>
      <c r="CH12" s="241">
        <f t="shared" si="21"/>
        <v>107.33333333333331</v>
      </c>
      <c r="CI12" s="242">
        <f t="shared" si="22"/>
        <v>143.9803788233333</v>
      </c>
      <c r="CJ12" s="244">
        <v>10</v>
      </c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</row>
    <row r="13" spans="1:133" s="223" customFormat="1" ht="27" customHeight="1" x14ac:dyDescent="0.3">
      <c r="A13" s="224" t="s">
        <v>45</v>
      </c>
      <c r="B13" s="225" t="s">
        <v>1254</v>
      </c>
      <c r="C13" s="226">
        <v>0.1234582</v>
      </c>
      <c r="D13" s="470">
        <f>PARÂMETROS!$E$18*C13</f>
        <v>54.111729060000002</v>
      </c>
      <c r="E13" s="470"/>
      <c r="F13" s="228">
        <v>0.105</v>
      </c>
      <c r="G13" s="227">
        <f>F13*PARÂMETROS!$E$22</f>
        <v>4.4488499999999993</v>
      </c>
      <c r="H13" s="228">
        <v>2E-3</v>
      </c>
      <c r="I13" s="227">
        <f>H13*PARÂMETROS!$E$22</f>
        <v>8.4739999999999996E-2</v>
      </c>
      <c r="J13" s="228">
        <f t="shared" si="0"/>
        <v>1.0500000000000001E-2</v>
      </c>
      <c r="K13" s="230">
        <f>J13*PARÂMETROS!$E$8</f>
        <v>0.32434500000000005</v>
      </c>
      <c r="L13" s="229">
        <f t="shared" si="1"/>
        <v>2.0000000000000001E-4</v>
      </c>
      <c r="M13" s="230">
        <f>L13*PARÂMETROS!$E$8</f>
        <v>6.1780000000000003E-3</v>
      </c>
      <c r="N13" s="231">
        <v>1.1599999999999999</v>
      </c>
      <c r="O13" s="230">
        <f>N13*PARÂMETROS!$E$27</f>
        <v>3.4799999999999995</v>
      </c>
      <c r="P13" s="170"/>
      <c r="Q13" s="191"/>
      <c r="R13" s="232" t="s">
        <v>1262</v>
      </c>
      <c r="S13" s="233">
        <f t="shared" si="2"/>
        <v>54.202647059999997</v>
      </c>
      <c r="T13" s="43"/>
      <c r="U13" s="232" t="s">
        <v>1262</v>
      </c>
      <c r="V13" s="233">
        <f t="shared" si="3"/>
        <v>58.975842059999998</v>
      </c>
      <c r="W13" s="43"/>
      <c r="X13" s="232" t="s">
        <v>1262</v>
      </c>
      <c r="Y13" s="233">
        <f t="shared" si="4"/>
        <v>62.455842059999995</v>
      </c>
      <c r="Z13" s="43"/>
      <c r="AA13" s="232" t="s">
        <v>1262</v>
      </c>
      <c r="AB13" s="234">
        <f>PARÂMETROS!$H$3</f>
        <v>40</v>
      </c>
      <c r="AC13" s="235">
        <v>2.1527777777777798E-2</v>
      </c>
      <c r="AD13" s="235">
        <v>6.9444444444444397E-3</v>
      </c>
      <c r="AE13" s="235">
        <v>3.4722222222222199E-3</v>
      </c>
      <c r="AF13" s="235">
        <v>6.9444444444444397E-3</v>
      </c>
      <c r="AG13" s="236"/>
      <c r="AH13" s="236"/>
      <c r="AI13" s="235">
        <v>6.9444444444444397E-3</v>
      </c>
      <c r="AJ13" s="235">
        <v>3.125E-2</v>
      </c>
      <c r="AK13" s="237">
        <f t="shared" si="5"/>
        <v>7.7083333333333337E-2</v>
      </c>
      <c r="AL13" s="234">
        <f t="shared" si="6"/>
        <v>74</v>
      </c>
      <c r="AM13" s="193"/>
      <c r="AN13" s="232" t="s">
        <v>1262</v>
      </c>
      <c r="AO13" s="234">
        <f>PARÂMETROS!$H$3</f>
        <v>40</v>
      </c>
      <c r="AP13" s="235">
        <v>2.1527777777777798E-2</v>
      </c>
      <c r="AQ13" s="235">
        <v>6.9444444444444397E-3</v>
      </c>
      <c r="AR13" s="235">
        <v>1.0416666666666701E-2</v>
      </c>
      <c r="AS13" s="235">
        <v>6.9444444444444397E-3</v>
      </c>
      <c r="AT13" s="235">
        <v>2.0833333333333301E-2</v>
      </c>
      <c r="AU13" s="236"/>
      <c r="AV13" s="235">
        <v>6.9444444444444397E-3</v>
      </c>
      <c r="AW13" s="235">
        <v>3.125E-2</v>
      </c>
      <c r="AX13" s="237">
        <f t="shared" si="7"/>
        <v>0.10486111111111111</v>
      </c>
      <c r="AY13" s="234">
        <f t="shared" si="8"/>
        <v>100.66666666666667</v>
      </c>
      <c r="AZ13" s="193"/>
      <c r="BA13" s="232" t="s">
        <v>1262</v>
      </c>
      <c r="BB13" s="234">
        <f>PARÂMETROS!$H$3</f>
        <v>40</v>
      </c>
      <c r="BC13" s="235">
        <v>2.1527777777777798E-2</v>
      </c>
      <c r="BD13" s="235">
        <v>6.9444444444444397E-3</v>
      </c>
      <c r="BE13" s="235">
        <v>1.0416666666666701E-2</v>
      </c>
      <c r="BF13" s="235">
        <v>6.9444444444444397E-3</v>
      </c>
      <c r="BG13" s="235">
        <v>2.0833333333333301E-2</v>
      </c>
      <c r="BH13" s="235">
        <v>6.9444444444444397E-3</v>
      </c>
      <c r="BI13" s="235">
        <v>6.9444444444444397E-3</v>
      </c>
      <c r="BJ13" s="235">
        <v>3.125E-2</v>
      </c>
      <c r="BK13" s="237">
        <f t="shared" si="9"/>
        <v>0.11180555555555555</v>
      </c>
      <c r="BL13" s="234">
        <f t="shared" si="10"/>
        <v>107.33333333333331</v>
      </c>
      <c r="BM13" s="43"/>
      <c r="BN13" s="232" t="s">
        <v>1262</v>
      </c>
      <c r="BO13" s="238">
        <f t="shared" si="11"/>
        <v>54.202647059999997</v>
      </c>
      <c r="BP13" s="239">
        <f t="shared" si="12"/>
        <v>74</v>
      </c>
      <c r="BQ13" s="240">
        <v>20</v>
      </c>
      <c r="BR13" s="241">
        <f t="shared" si="13"/>
        <v>3.7</v>
      </c>
      <c r="BS13" s="242">
        <f t="shared" si="14"/>
        <v>57.90264706</v>
      </c>
      <c r="BT13" s="240">
        <v>20</v>
      </c>
      <c r="BU13" s="43"/>
      <c r="BV13" s="232" t="s">
        <v>1262</v>
      </c>
      <c r="BW13" s="238">
        <f t="shared" si="15"/>
        <v>58.975842059999998</v>
      </c>
      <c r="BX13" s="239">
        <f t="shared" si="16"/>
        <v>100.66666666666667</v>
      </c>
      <c r="BY13" s="240">
        <v>15</v>
      </c>
      <c r="BZ13" s="241">
        <f t="shared" si="17"/>
        <v>6.7111111111111112</v>
      </c>
      <c r="CA13" s="242">
        <f t="shared" si="18"/>
        <v>65.686953171111114</v>
      </c>
      <c r="CB13" s="240">
        <v>15</v>
      </c>
      <c r="CC13" s="23"/>
      <c r="CD13" s="232" t="s">
        <v>1262</v>
      </c>
      <c r="CE13" s="238">
        <f t="shared" si="19"/>
        <v>62.455842059999995</v>
      </c>
      <c r="CF13" s="239">
        <f t="shared" si="20"/>
        <v>107.33333333333331</v>
      </c>
      <c r="CG13" s="243">
        <v>1</v>
      </c>
      <c r="CH13" s="241">
        <f t="shared" si="21"/>
        <v>107.33333333333331</v>
      </c>
      <c r="CI13" s="242">
        <f t="shared" si="22"/>
        <v>169.78917539333332</v>
      </c>
      <c r="CJ13" s="244">
        <v>10</v>
      </c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</row>
    <row r="14" spans="1:133" s="223" customFormat="1" ht="27" customHeight="1" x14ac:dyDescent="0.3">
      <c r="A14" s="224" t="s">
        <v>47</v>
      </c>
      <c r="B14" s="225" t="s">
        <v>1254</v>
      </c>
      <c r="C14" s="226">
        <v>0.17226669999999999</v>
      </c>
      <c r="D14" s="470">
        <f>PARÂMETROS!$E$18*C14</f>
        <v>75.504494609999995</v>
      </c>
      <c r="E14" s="470"/>
      <c r="F14" s="228">
        <v>0.15</v>
      </c>
      <c r="G14" s="227">
        <f>F14*PARÂMETROS!$E$22</f>
        <v>6.3554999999999993</v>
      </c>
      <c r="H14" s="228">
        <v>2E-3</v>
      </c>
      <c r="I14" s="227">
        <f>H14*PARÂMETROS!$E$22</f>
        <v>8.4739999999999996E-2</v>
      </c>
      <c r="J14" s="228">
        <f t="shared" si="0"/>
        <v>1.4999999999999999E-2</v>
      </c>
      <c r="K14" s="230">
        <f>J14*PARÂMETROS!$E$8</f>
        <v>0.46334999999999998</v>
      </c>
      <c r="L14" s="229">
        <f t="shared" si="1"/>
        <v>2.0000000000000001E-4</v>
      </c>
      <c r="M14" s="230">
        <f>L14*PARÂMETROS!$E$8</f>
        <v>6.1780000000000003E-3</v>
      </c>
      <c r="N14" s="231">
        <v>1.26</v>
      </c>
      <c r="O14" s="230">
        <f>N14*PARÂMETROS!$E$27</f>
        <v>3.7800000000000002</v>
      </c>
      <c r="P14" s="170"/>
      <c r="Q14" s="191"/>
      <c r="R14" s="232" t="s">
        <v>1263</v>
      </c>
      <c r="S14" s="233">
        <f t="shared" si="2"/>
        <v>75.595412609999997</v>
      </c>
      <c r="T14" s="43"/>
      <c r="U14" s="232" t="s">
        <v>1263</v>
      </c>
      <c r="V14" s="233">
        <f t="shared" si="3"/>
        <v>82.414262609999994</v>
      </c>
      <c r="W14" s="43"/>
      <c r="X14" s="232" t="s">
        <v>1263</v>
      </c>
      <c r="Y14" s="233">
        <f t="shared" si="4"/>
        <v>86.194262609999996</v>
      </c>
      <c r="Z14" s="43"/>
      <c r="AA14" s="232" t="s">
        <v>1263</v>
      </c>
      <c r="AB14" s="234">
        <f>PARÂMETROS!$H$3</f>
        <v>40</v>
      </c>
      <c r="AC14" s="235">
        <v>2.1527777777777798E-2</v>
      </c>
      <c r="AD14" s="235">
        <v>6.9444444444444397E-3</v>
      </c>
      <c r="AE14" s="235">
        <v>3.4722222222222199E-3</v>
      </c>
      <c r="AF14" s="235">
        <v>6.9444444444444397E-3</v>
      </c>
      <c r="AG14" s="236"/>
      <c r="AH14" s="236"/>
      <c r="AI14" s="235">
        <v>6.9444444444444397E-3</v>
      </c>
      <c r="AJ14" s="235">
        <v>3.125E-2</v>
      </c>
      <c r="AK14" s="237">
        <f t="shared" si="5"/>
        <v>7.7083333333333337E-2</v>
      </c>
      <c r="AL14" s="234">
        <f t="shared" si="6"/>
        <v>74</v>
      </c>
      <c r="AM14" s="193"/>
      <c r="AN14" s="232" t="s">
        <v>1263</v>
      </c>
      <c r="AO14" s="234">
        <f>PARÂMETROS!$H$3</f>
        <v>40</v>
      </c>
      <c r="AP14" s="235">
        <v>2.1527777777777798E-2</v>
      </c>
      <c r="AQ14" s="235">
        <v>6.9444444444444397E-3</v>
      </c>
      <c r="AR14" s="235">
        <v>2.0833333333333301E-2</v>
      </c>
      <c r="AS14" s="235">
        <v>6.9444444444444397E-3</v>
      </c>
      <c r="AT14" s="235">
        <v>2.0833333333333301E-2</v>
      </c>
      <c r="AU14" s="236"/>
      <c r="AV14" s="235">
        <v>6.9444444444444397E-3</v>
      </c>
      <c r="AW14" s="235">
        <v>3.125E-2</v>
      </c>
      <c r="AX14" s="237">
        <f t="shared" si="7"/>
        <v>0.11527777777777772</v>
      </c>
      <c r="AY14" s="234">
        <f t="shared" si="8"/>
        <v>110.66666666666661</v>
      </c>
      <c r="AZ14" s="193"/>
      <c r="BA14" s="232" t="s">
        <v>1263</v>
      </c>
      <c r="BB14" s="234">
        <f>PARÂMETROS!$H$3</f>
        <v>40</v>
      </c>
      <c r="BC14" s="235">
        <v>2.1527777777777798E-2</v>
      </c>
      <c r="BD14" s="235">
        <v>6.9444444444444397E-3</v>
      </c>
      <c r="BE14" s="235">
        <v>2.0833333333333301E-2</v>
      </c>
      <c r="BF14" s="235">
        <v>6.9444444444444397E-3</v>
      </c>
      <c r="BG14" s="235">
        <v>2.0833333333333301E-2</v>
      </c>
      <c r="BH14" s="235">
        <v>6.9444444444444397E-3</v>
      </c>
      <c r="BI14" s="235">
        <v>6.9444444444444397E-3</v>
      </c>
      <c r="BJ14" s="235">
        <v>3.125E-2</v>
      </c>
      <c r="BK14" s="237">
        <f t="shared" si="9"/>
        <v>0.12222222222222215</v>
      </c>
      <c r="BL14" s="234">
        <f t="shared" si="10"/>
        <v>117.33333333333326</v>
      </c>
      <c r="BM14" s="43"/>
      <c r="BN14" s="232" t="s">
        <v>1263</v>
      </c>
      <c r="BO14" s="238">
        <f t="shared" si="11"/>
        <v>75.595412609999997</v>
      </c>
      <c r="BP14" s="239">
        <f t="shared" si="12"/>
        <v>74</v>
      </c>
      <c r="BQ14" s="240">
        <v>15</v>
      </c>
      <c r="BR14" s="241">
        <f t="shared" si="13"/>
        <v>4.9333333333333336</v>
      </c>
      <c r="BS14" s="242">
        <f t="shared" si="14"/>
        <v>80.528745943333334</v>
      </c>
      <c r="BT14" s="240">
        <v>15</v>
      </c>
      <c r="BU14" s="43"/>
      <c r="BV14" s="232" t="s">
        <v>1263</v>
      </c>
      <c r="BW14" s="238">
        <f t="shared" si="15"/>
        <v>82.414262609999994</v>
      </c>
      <c r="BX14" s="239">
        <f t="shared" si="16"/>
        <v>110.66666666666661</v>
      </c>
      <c r="BY14" s="240">
        <v>10</v>
      </c>
      <c r="BZ14" s="241">
        <f t="shared" si="17"/>
        <v>11.066666666666661</v>
      </c>
      <c r="CA14" s="242">
        <f t="shared" si="18"/>
        <v>93.480929276666657</v>
      </c>
      <c r="CB14" s="240">
        <v>10</v>
      </c>
      <c r="CC14" s="23"/>
      <c r="CD14" s="232" t="s">
        <v>1263</v>
      </c>
      <c r="CE14" s="238">
        <f t="shared" si="19"/>
        <v>86.194262609999996</v>
      </c>
      <c r="CF14" s="239">
        <f t="shared" si="20"/>
        <v>117.33333333333326</v>
      </c>
      <c r="CG14" s="243">
        <v>7</v>
      </c>
      <c r="CH14" s="241">
        <f t="shared" si="21"/>
        <v>16.761904761904752</v>
      </c>
      <c r="CI14" s="242">
        <f t="shared" si="22"/>
        <v>102.95616737190474</v>
      </c>
      <c r="CJ14" s="244">
        <v>7</v>
      </c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</row>
    <row r="15" spans="1:133" s="223" customFormat="1" ht="27" customHeight="1" x14ac:dyDescent="0.3">
      <c r="A15" s="224" t="s">
        <v>222</v>
      </c>
      <c r="B15" s="225" t="s">
        <v>1254</v>
      </c>
      <c r="C15" s="226">
        <v>0.25018839999999998</v>
      </c>
      <c r="D15" s="470">
        <f>PARÂMETROS!$E$18*C15</f>
        <v>109.65757572</v>
      </c>
      <c r="E15" s="470"/>
      <c r="F15" s="228">
        <v>0.19400000000000001</v>
      </c>
      <c r="G15" s="227">
        <f>F15*PARÂMETROS!$E$22</f>
        <v>8.2197800000000001</v>
      </c>
      <c r="H15" s="228">
        <v>2E-3</v>
      </c>
      <c r="I15" s="227">
        <f>H15*PARÂMETROS!$E$22</f>
        <v>8.4739999999999996E-2</v>
      </c>
      <c r="J15" s="228">
        <f t="shared" si="0"/>
        <v>1.9400000000000001E-2</v>
      </c>
      <c r="K15" s="230">
        <f>J15*PARÂMETROS!$E$8</f>
        <v>0.59926600000000008</v>
      </c>
      <c r="L15" s="229">
        <f t="shared" si="1"/>
        <v>2.0000000000000001E-4</v>
      </c>
      <c r="M15" s="230">
        <f>L15*PARÂMETROS!$E$8</f>
        <v>6.1780000000000003E-3</v>
      </c>
      <c r="N15" s="231">
        <v>1.38</v>
      </c>
      <c r="O15" s="230">
        <f>N15*PARÂMETROS!$E$27</f>
        <v>4.1399999999999997</v>
      </c>
      <c r="P15" s="170"/>
      <c r="Q15" s="191"/>
      <c r="R15" s="232" t="s">
        <v>1264</v>
      </c>
      <c r="S15" s="233">
        <f t="shared" si="2"/>
        <v>109.74849372</v>
      </c>
      <c r="T15" s="43"/>
      <c r="U15" s="232" t="s">
        <v>1264</v>
      </c>
      <c r="V15" s="233">
        <f t="shared" si="3"/>
        <v>118.56753972</v>
      </c>
      <c r="W15" s="43"/>
      <c r="X15" s="232" t="s">
        <v>1264</v>
      </c>
      <c r="Y15" s="233">
        <f t="shared" si="4"/>
        <v>122.70753972</v>
      </c>
      <c r="Z15" s="43"/>
      <c r="AA15" s="232" t="s">
        <v>1264</v>
      </c>
      <c r="AB15" s="234">
        <f>PARÂMETROS!$H$3</f>
        <v>40</v>
      </c>
      <c r="AC15" s="235">
        <v>2.1527777777777798E-2</v>
      </c>
      <c r="AD15" s="235">
        <v>6.9444444444444397E-3</v>
      </c>
      <c r="AE15" s="235">
        <v>2.0833333333333301E-2</v>
      </c>
      <c r="AF15" s="235">
        <v>6.9444444444444397E-3</v>
      </c>
      <c r="AG15" s="236"/>
      <c r="AH15" s="236"/>
      <c r="AI15" s="235">
        <v>6.9444444444444397E-3</v>
      </c>
      <c r="AJ15" s="235">
        <v>3.125E-2</v>
      </c>
      <c r="AK15" s="237">
        <f t="shared" si="5"/>
        <v>9.4444444444444414E-2</v>
      </c>
      <c r="AL15" s="234">
        <f t="shared" si="6"/>
        <v>90.666666666666643</v>
      </c>
      <c r="AM15" s="193"/>
      <c r="AN15" s="232" t="s">
        <v>1264</v>
      </c>
      <c r="AO15" s="234">
        <f>PARÂMETROS!$H$3</f>
        <v>40</v>
      </c>
      <c r="AP15" s="235">
        <v>2.1527777777777798E-2</v>
      </c>
      <c r="AQ15" s="235">
        <v>6.9444444444444397E-3</v>
      </c>
      <c r="AR15" s="235">
        <v>2.0833333333333301E-2</v>
      </c>
      <c r="AS15" s="235">
        <v>6.9444444444444397E-3</v>
      </c>
      <c r="AT15" s="235">
        <v>2.0833333333333301E-2</v>
      </c>
      <c r="AU15" s="236"/>
      <c r="AV15" s="235">
        <v>6.9444444444444397E-3</v>
      </c>
      <c r="AW15" s="235">
        <v>3.125E-2</v>
      </c>
      <c r="AX15" s="237">
        <f t="shared" si="7"/>
        <v>0.11527777777777772</v>
      </c>
      <c r="AY15" s="234">
        <f t="shared" si="8"/>
        <v>110.66666666666661</v>
      </c>
      <c r="AZ15" s="193"/>
      <c r="BA15" s="232" t="s">
        <v>1264</v>
      </c>
      <c r="BB15" s="234">
        <f>PARÂMETROS!$H$3</f>
        <v>40</v>
      </c>
      <c r="BC15" s="235">
        <v>2.1527777777777798E-2</v>
      </c>
      <c r="BD15" s="235">
        <v>6.9444444444444397E-3</v>
      </c>
      <c r="BE15" s="235">
        <v>2.0833333333333301E-2</v>
      </c>
      <c r="BF15" s="235">
        <v>6.9444444444444397E-3</v>
      </c>
      <c r="BG15" s="235">
        <v>2.0833333333333301E-2</v>
      </c>
      <c r="BH15" s="235">
        <v>6.9444444444444397E-3</v>
      </c>
      <c r="BI15" s="235">
        <v>6.9444444444444397E-3</v>
      </c>
      <c r="BJ15" s="235">
        <v>3.125E-2</v>
      </c>
      <c r="BK15" s="237">
        <f t="shared" si="9"/>
        <v>0.12222222222222215</v>
      </c>
      <c r="BL15" s="234">
        <f t="shared" si="10"/>
        <v>117.33333333333326</v>
      </c>
      <c r="BM15" s="43"/>
      <c r="BN15" s="232" t="s">
        <v>1264</v>
      </c>
      <c r="BO15" s="238">
        <f t="shared" si="11"/>
        <v>109.74849372</v>
      </c>
      <c r="BP15" s="239">
        <f t="shared" si="12"/>
        <v>90.666666666666643</v>
      </c>
      <c r="BQ15" s="240">
        <v>15</v>
      </c>
      <c r="BR15" s="241">
        <f t="shared" si="13"/>
        <v>6.0444444444444425</v>
      </c>
      <c r="BS15" s="242">
        <f t="shared" si="14"/>
        <v>115.79293816444444</v>
      </c>
      <c r="BT15" s="240">
        <v>15</v>
      </c>
      <c r="BU15" s="43"/>
      <c r="BV15" s="232" t="s">
        <v>1264</v>
      </c>
      <c r="BW15" s="238">
        <f t="shared" si="15"/>
        <v>118.56753972</v>
      </c>
      <c r="BX15" s="239">
        <f t="shared" si="16"/>
        <v>110.66666666666661</v>
      </c>
      <c r="BY15" s="240">
        <v>10</v>
      </c>
      <c r="BZ15" s="241">
        <f t="shared" si="17"/>
        <v>11.066666666666661</v>
      </c>
      <c r="CA15" s="242">
        <f t="shared" si="18"/>
        <v>129.63420638666665</v>
      </c>
      <c r="CB15" s="240">
        <v>10</v>
      </c>
      <c r="CC15" s="23"/>
      <c r="CD15" s="232" t="s">
        <v>1264</v>
      </c>
      <c r="CE15" s="238">
        <f t="shared" si="19"/>
        <v>122.70753972</v>
      </c>
      <c r="CF15" s="239">
        <f t="shared" si="20"/>
        <v>117.33333333333326</v>
      </c>
      <c r="CG15" s="243">
        <v>1</v>
      </c>
      <c r="CH15" s="241">
        <f t="shared" si="21"/>
        <v>117.33333333333326</v>
      </c>
      <c r="CI15" s="242">
        <f t="shared" si="22"/>
        <v>240.04087305333326</v>
      </c>
      <c r="CJ15" s="244">
        <v>7</v>
      </c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</row>
    <row r="16" spans="1:133" s="223" customFormat="1" ht="27" customHeight="1" x14ac:dyDescent="0.3">
      <c r="A16" s="224" t="s">
        <v>226</v>
      </c>
      <c r="B16" s="225" t="s">
        <v>1254</v>
      </c>
      <c r="C16" s="226">
        <v>0.34861589999999998</v>
      </c>
      <c r="D16" s="470">
        <f>PARÂMETROS!$E$18*C16</f>
        <v>152.79834897000001</v>
      </c>
      <c r="E16" s="470"/>
      <c r="F16" s="228">
        <v>0.24</v>
      </c>
      <c r="G16" s="227">
        <f>F16*PARÂMETROS!$E$22</f>
        <v>10.168799999999999</v>
      </c>
      <c r="H16" s="228">
        <v>2E-3</v>
      </c>
      <c r="I16" s="227">
        <f>H16*PARÂMETROS!$E$22</f>
        <v>8.4739999999999996E-2</v>
      </c>
      <c r="J16" s="228">
        <f t="shared" si="0"/>
        <v>2.4E-2</v>
      </c>
      <c r="K16" s="230">
        <f>J16*PARÂMETROS!$E$8</f>
        <v>0.74136000000000002</v>
      </c>
      <c r="L16" s="229">
        <f t="shared" si="1"/>
        <v>2.0000000000000001E-4</v>
      </c>
      <c r="M16" s="230">
        <f>L16*PARÂMETROS!$E$8</f>
        <v>6.1780000000000003E-3</v>
      </c>
      <c r="N16" s="231">
        <v>1.46</v>
      </c>
      <c r="O16" s="230">
        <f>N16*PARÂMETROS!$E$27</f>
        <v>4.38</v>
      </c>
      <c r="P16" s="170"/>
      <c r="Q16" s="191"/>
      <c r="R16" s="232" t="s">
        <v>1265</v>
      </c>
      <c r="S16" s="233">
        <f t="shared" si="2"/>
        <v>152.88926697000002</v>
      </c>
      <c r="T16" s="43"/>
      <c r="U16" s="232" t="s">
        <v>1265</v>
      </c>
      <c r="V16" s="233">
        <f t="shared" si="3"/>
        <v>163.79942697000001</v>
      </c>
      <c r="W16" s="43"/>
      <c r="X16" s="232" t="s">
        <v>1265</v>
      </c>
      <c r="Y16" s="233">
        <f t="shared" si="4"/>
        <v>168.17942697000001</v>
      </c>
      <c r="Z16" s="43"/>
      <c r="AA16" s="232" t="s">
        <v>1265</v>
      </c>
      <c r="AB16" s="234">
        <f>PARÂMETROS!$H$3</f>
        <v>40</v>
      </c>
      <c r="AC16" s="235">
        <v>2.1527777777777798E-2</v>
      </c>
      <c r="AD16" s="235">
        <v>6.9444444444444397E-3</v>
      </c>
      <c r="AE16" s="235">
        <v>2.0833333333333301E-2</v>
      </c>
      <c r="AF16" s="235">
        <v>6.9444444444444397E-3</v>
      </c>
      <c r="AG16" s="236"/>
      <c r="AH16" s="236"/>
      <c r="AI16" s="235">
        <v>6.9444444444444397E-3</v>
      </c>
      <c r="AJ16" s="235">
        <v>3.125E-2</v>
      </c>
      <c r="AK16" s="237">
        <f t="shared" si="5"/>
        <v>9.4444444444444414E-2</v>
      </c>
      <c r="AL16" s="234">
        <f t="shared" si="6"/>
        <v>90.666666666666643</v>
      </c>
      <c r="AM16" s="193"/>
      <c r="AN16" s="232" t="s">
        <v>1265</v>
      </c>
      <c r="AO16" s="234">
        <f>PARÂMETROS!$H$3</f>
        <v>40</v>
      </c>
      <c r="AP16" s="235">
        <v>2.1527777777777798E-2</v>
      </c>
      <c r="AQ16" s="235">
        <v>6.9444444444444397E-3</v>
      </c>
      <c r="AR16" s="235">
        <v>2.0833333333333301E-2</v>
      </c>
      <c r="AS16" s="235">
        <v>6.9444444444444397E-3</v>
      </c>
      <c r="AT16" s="235">
        <v>2.0833333333333301E-2</v>
      </c>
      <c r="AU16" s="236"/>
      <c r="AV16" s="235">
        <v>6.9444444444444397E-3</v>
      </c>
      <c r="AW16" s="235">
        <v>3.125E-2</v>
      </c>
      <c r="AX16" s="237">
        <f t="shared" si="7"/>
        <v>0.11527777777777772</v>
      </c>
      <c r="AY16" s="234">
        <f t="shared" si="8"/>
        <v>110.66666666666661</v>
      </c>
      <c r="AZ16" s="193"/>
      <c r="BA16" s="232" t="s">
        <v>1265</v>
      </c>
      <c r="BB16" s="234">
        <f>PARÂMETROS!$H$3</f>
        <v>40</v>
      </c>
      <c r="BC16" s="235">
        <v>2.1527777777777798E-2</v>
      </c>
      <c r="BD16" s="235">
        <v>6.9444444444444397E-3</v>
      </c>
      <c r="BE16" s="235">
        <v>2.0833333333333301E-2</v>
      </c>
      <c r="BF16" s="235">
        <v>6.9444444444444397E-3</v>
      </c>
      <c r="BG16" s="235">
        <v>2.0833333333333301E-2</v>
      </c>
      <c r="BH16" s="235">
        <v>6.9444444444444397E-3</v>
      </c>
      <c r="BI16" s="235">
        <v>6.9444444444444397E-3</v>
      </c>
      <c r="BJ16" s="235">
        <v>3.125E-2</v>
      </c>
      <c r="BK16" s="237">
        <f t="shared" si="9"/>
        <v>0.12222222222222215</v>
      </c>
      <c r="BL16" s="234">
        <f t="shared" si="10"/>
        <v>117.33333333333326</v>
      </c>
      <c r="BM16" s="43"/>
      <c r="BN16" s="232" t="s">
        <v>1265</v>
      </c>
      <c r="BO16" s="238">
        <f t="shared" si="11"/>
        <v>152.88926697000002</v>
      </c>
      <c r="BP16" s="239">
        <f t="shared" si="12"/>
        <v>90.666666666666643</v>
      </c>
      <c r="BQ16" s="243">
        <v>7</v>
      </c>
      <c r="BR16" s="241">
        <f t="shared" si="13"/>
        <v>12.952380952380949</v>
      </c>
      <c r="BS16" s="242">
        <f t="shared" si="14"/>
        <v>165.84164792238096</v>
      </c>
      <c r="BT16" s="240">
        <v>7</v>
      </c>
      <c r="BU16" s="43"/>
      <c r="BV16" s="232" t="s">
        <v>1265</v>
      </c>
      <c r="BW16" s="238">
        <f t="shared" si="15"/>
        <v>163.79942697000001</v>
      </c>
      <c r="BX16" s="239">
        <f t="shared" si="16"/>
        <v>110.66666666666661</v>
      </c>
      <c r="BY16" s="243">
        <v>5</v>
      </c>
      <c r="BZ16" s="241">
        <f t="shared" si="17"/>
        <v>22.133333333333322</v>
      </c>
      <c r="CA16" s="242">
        <f t="shared" si="18"/>
        <v>185.93276030333334</v>
      </c>
      <c r="CB16" s="240">
        <v>5</v>
      </c>
      <c r="CC16" s="23"/>
      <c r="CD16" s="232" t="s">
        <v>1265</v>
      </c>
      <c r="CE16" s="238">
        <f t="shared" si="19"/>
        <v>168.17942697000001</v>
      </c>
      <c r="CF16" s="239">
        <f t="shared" si="20"/>
        <v>117.33333333333326</v>
      </c>
      <c r="CG16" s="243">
        <v>4</v>
      </c>
      <c r="CH16" s="241">
        <f t="shared" si="21"/>
        <v>29.333333333333314</v>
      </c>
      <c r="CI16" s="242">
        <f t="shared" si="22"/>
        <v>197.51276030333332</v>
      </c>
      <c r="CJ16" s="244">
        <v>4</v>
      </c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</row>
    <row r="17" spans="1:133" s="223" customFormat="1" ht="27" customHeight="1" x14ac:dyDescent="0.3">
      <c r="A17" s="224" t="s">
        <v>230</v>
      </c>
      <c r="B17" s="225" t="s">
        <v>1254</v>
      </c>
      <c r="C17" s="226">
        <v>0.46994170000000002</v>
      </c>
      <c r="D17" s="470">
        <f>PARÂMETROS!$E$18*C17</f>
        <v>205.97544711</v>
      </c>
      <c r="E17" s="470"/>
      <c r="F17" s="228">
        <v>0.29099999999999998</v>
      </c>
      <c r="G17" s="227">
        <f>F17*PARÂMETROS!$E$22</f>
        <v>12.329669999999998</v>
      </c>
      <c r="H17" s="228">
        <v>2E-3</v>
      </c>
      <c r="I17" s="227">
        <f>H17*PARÂMETROS!$E$22</f>
        <v>8.4739999999999996E-2</v>
      </c>
      <c r="J17" s="228">
        <f t="shared" si="0"/>
        <v>2.9100000000000001E-2</v>
      </c>
      <c r="K17" s="230">
        <f>J17*PARÂMETROS!$E$8</f>
        <v>0.898899</v>
      </c>
      <c r="L17" s="229">
        <f t="shared" si="1"/>
        <v>2.0000000000000001E-4</v>
      </c>
      <c r="M17" s="230">
        <f>L17*PARÂMETROS!$E$8</f>
        <v>6.1780000000000003E-3</v>
      </c>
      <c r="N17" s="231">
        <v>1.56</v>
      </c>
      <c r="O17" s="230">
        <f>N17*PARÂMETROS!$E$27</f>
        <v>4.68</v>
      </c>
      <c r="P17" s="170"/>
      <c r="Q17" s="191"/>
      <c r="R17" s="232" t="s">
        <v>1266</v>
      </c>
      <c r="S17" s="233">
        <f t="shared" si="2"/>
        <v>206.06636511000002</v>
      </c>
      <c r="T17" s="43"/>
      <c r="U17" s="232" t="s">
        <v>1266</v>
      </c>
      <c r="V17" s="233">
        <f t="shared" si="3"/>
        <v>219.29493411000001</v>
      </c>
      <c r="W17" s="43"/>
      <c r="X17" s="232" t="s">
        <v>1266</v>
      </c>
      <c r="Y17" s="233">
        <f t="shared" si="4"/>
        <v>223.97493411000002</v>
      </c>
      <c r="Z17" s="43"/>
      <c r="AA17" s="232" t="s">
        <v>1266</v>
      </c>
      <c r="AB17" s="234">
        <f>PARÂMETROS!$H$3</f>
        <v>40</v>
      </c>
      <c r="AC17" s="235">
        <v>2.1527777777777798E-2</v>
      </c>
      <c r="AD17" s="235">
        <v>6.9444444444444397E-3</v>
      </c>
      <c r="AE17" s="235">
        <v>2.0833333333333301E-2</v>
      </c>
      <c r="AF17" s="235">
        <v>6.9444444444444397E-3</v>
      </c>
      <c r="AG17" s="236"/>
      <c r="AH17" s="236"/>
      <c r="AI17" s="235">
        <v>6.9444444444444397E-3</v>
      </c>
      <c r="AJ17" s="235">
        <v>3.125E-2</v>
      </c>
      <c r="AK17" s="237">
        <f t="shared" si="5"/>
        <v>9.4444444444444414E-2</v>
      </c>
      <c r="AL17" s="234">
        <f t="shared" si="6"/>
        <v>90.666666666666643</v>
      </c>
      <c r="AM17" s="193"/>
      <c r="AN17" s="232" t="s">
        <v>1266</v>
      </c>
      <c r="AO17" s="234">
        <f>PARÂMETROS!$H$3</f>
        <v>40</v>
      </c>
      <c r="AP17" s="235">
        <v>2.1527777777777798E-2</v>
      </c>
      <c r="AQ17" s="235">
        <v>6.9444444444444397E-3</v>
      </c>
      <c r="AR17" s="235">
        <v>2.0833333333333301E-2</v>
      </c>
      <c r="AS17" s="235">
        <v>6.9444444444444397E-3</v>
      </c>
      <c r="AT17" s="235">
        <v>2.0833333333333301E-2</v>
      </c>
      <c r="AU17" s="236"/>
      <c r="AV17" s="235">
        <v>6.9444444444444397E-3</v>
      </c>
      <c r="AW17" s="235">
        <v>3.125E-2</v>
      </c>
      <c r="AX17" s="237">
        <f t="shared" si="7"/>
        <v>0.11527777777777772</v>
      </c>
      <c r="AY17" s="234">
        <f t="shared" si="8"/>
        <v>110.66666666666661</v>
      </c>
      <c r="AZ17" s="193"/>
      <c r="BA17" s="232" t="s">
        <v>1266</v>
      </c>
      <c r="BB17" s="234">
        <f>PARÂMETROS!$H$3</f>
        <v>40</v>
      </c>
      <c r="BC17" s="235">
        <v>2.1527777777777798E-2</v>
      </c>
      <c r="BD17" s="235">
        <v>6.9444444444444397E-3</v>
      </c>
      <c r="BE17" s="235">
        <v>2.0833333333333301E-2</v>
      </c>
      <c r="BF17" s="235">
        <v>6.9444444444444397E-3</v>
      </c>
      <c r="BG17" s="235">
        <v>2.0833333333333301E-2</v>
      </c>
      <c r="BH17" s="235">
        <v>6.9444444444444397E-3</v>
      </c>
      <c r="BI17" s="235">
        <v>6.9444444444444397E-3</v>
      </c>
      <c r="BJ17" s="235">
        <v>3.125E-2</v>
      </c>
      <c r="BK17" s="237">
        <f t="shared" si="9"/>
        <v>0.12222222222222215</v>
      </c>
      <c r="BL17" s="234">
        <f t="shared" si="10"/>
        <v>117.33333333333326</v>
      </c>
      <c r="BM17" s="43"/>
      <c r="BN17" s="232" t="s">
        <v>1266</v>
      </c>
      <c r="BO17" s="238">
        <f t="shared" si="11"/>
        <v>206.06636511000002</v>
      </c>
      <c r="BP17" s="239">
        <f t="shared" si="12"/>
        <v>90.666666666666643</v>
      </c>
      <c r="BQ17" s="243">
        <v>7</v>
      </c>
      <c r="BR17" s="241">
        <f t="shared" si="13"/>
        <v>12.952380952380949</v>
      </c>
      <c r="BS17" s="242">
        <f t="shared" si="14"/>
        <v>219.01874606238096</v>
      </c>
      <c r="BT17" s="240">
        <v>7</v>
      </c>
      <c r="BU17" s="43"/>
      <c r="BV17" s="232" t="s">
        <v>1266</v>
      </c>
      <c r="BW17" s="238">
        <f t="shared" si="15"/>
        <v>219.29493411000001</v>
      </c>
      <c r="BX17" s="239">
        <f t="shared" si="16"/>
        <v>110.66666666666661</v>
      </c>
      <c r="BY17" s="243">
        <v>5</v>
      </c>
      <c r="BZ17" s="241">
        <f t="shared" si="17"/>
        <v>22.133333333333322</v>
      </c>
      <c r="CA17" s="242">
        <f t="shared" si="18"/>
        <v>241.42826744333334</v>
      </c>
      <c r="CB17" s="240">
        <v>5</v>
      </c>
      <c r="CC17" s="23"/>
      <c r="CD17" s="232" t="s">
        <v>1266</v>
      </c>
      <c r="CE17" s="238">
        <f t="shared" si="19"/>
        <v>223.97493411000002</v>
      </c>
      <c r="CF17" s="239">
        <f t="shared" si="20"/>
        <v>117.33333333333326</v>
      </c>
      <c r="CG17" s="243">
        <v>4</v>
      </c>
      <c r="CH17" s="241">
        <f t="shared" si="21"/>
        <v>29.333333333333314</v>
      </c>
      <c r="CI17" s="242">
        <f t="shared" si="22"/>
        <v>253.30826744333334</v>
      </c>
      <c r="CJ17" s="244">
        <v>4</v>
      </c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</row>
    <row r="18" spans="1:133" s="223" customFormat="1" ht="27" customHeight="1" x14ac:dyDescent="0.3">
      <c r="A18" s="224" t="s">
        <v>234</v>
      </c>
      <c r="B18" s="225" t="s">
        <v>1254</v>
      </c>
      <c r="C18" s="226">
        <v>0.61655850000000001</v>
      </c>
      <c r="D18" s="470">
        <f>PARÂMETROS!$E$18*C18</f>
        <v>270.23759054999999</v>
      </c>
      <c r="E18" s="470"/>
      <c r="F18" s="228">
        <v>0.34599999999999997</v>
      </c>
      <c r="G18" s="227">
        <f>F18*PARÂMETROS!$E$22</f>
        <v>14.660019999999998</v>
      </c>
      <c r="H18" s="228">
        <v>2E-3</v>
      </c>
      <c r="I18" s="227">
        <f>H18*PARÂMETROS!$E$22</f>
        <v>8.4739999999999996E-2</v>
      </c>
      <c r="J18" s="228">
        <f t="shared" si="0"/>
        <v>3.4599999999999999E-2</v>
      </c>
      <c r="K18" s="230">
        <f>J18*PARÂMETROS!$E$8</f>
        <v>1.068794</v>
      </c>
      <c r="L18" s="229">
        <f t="shared" si="1"/>
        <v>2.0000000000000001E-4</v>
      </c>
      <c r="M18" s="230">
        <f>L18*PARÂMETROS!$E$8</f>
        <v>6.1780000000000003E-3</v>
      </c>
      <c r="N18" s="231">
        <v>1.66</v>
      </c>
      <c r="O18" s="230">
        <f>N18*PARÂMETROS!$E$27</f>
        <v>4.9799999999999995</v>
      </c>
      <c r="P18" s="170"/>
      <c r="Q18" s="191"/>
      <c r="R18" s="232" t="s">
        <v>1267</v>
      </c>
      <c r="S18" s="233">
        <f t="shared" si="2"/>
        <v>270.32850854999998</v>
      </c>
      <c r="T18" s="43"/>
      <c r="U18" s="232" t="s">
        <v>1267</v>
      </c>
      <c r="V18" s="233">
        <f t="shared" si="3"/>
        <v>286.05732254999998</v>
      </c>
      <c r="W18" s="43"/>
      <c r="X18" s="232" t="s">
        <v>1267</v>
      </c>
      <c r="Y18" s="233">
        <f t="shared" si="4"/>
        <v>291.03732255</v>
      </c>
      <c r="Z18" s="43"/>
      <c r="AA18" s="232" t="s">
        <v>1267</v>
      </c>
      <c r="AB18" s="234">
        <f>PARÂMETROS!$H$3</f>
        <v>40</v>
      </c>
      <c r="AC18" s="235">
        <v>2.1527777777777798E-2</v>
      </c>
      <c r="AD18" s="235">
        <v>6.9444444444444397E-3</v>
      </c>
      <c r="AE18" s="235">
        <v>2.0833333333333301E-2</v>
      </c>
      <c r="AF18" s="235">
        <v>6.9444444444444397E-3</v>
      </c>
      <c r="AG18" s="236"/>
      <c r="AH18" s="236"/>
      <c r="AI18" s="235">
        <v>6.9444444444444397E-3</v>
      </c>
      <c r="AJ18" s="235">
        <v>3.125E-2</v>
      </c>
      <c r="AK18" s="237">
        <f t="shared" si="5"/>
        <v>9.4444444444444414E-2</v>
      </c>
      <c r="AL18" s="234">
        <f t="shared" si="6"/>
        <v>90.666666666666643</v>
      </c>
      <c r="AM18" s="193"/>
      <c r="AN18" s="232" t="s">
        <v>1267</v>
      </c>
      <c r="AO18" s="234">
        <f>PARÂMETROS!$H$3</f>
        <v>40</v>
      </c>
      <c r="AP18" s="235">
        <v>2.1527777777777798E-2</v>
      </c>
      <c r="AQ18" s="235">
        <v>6.9444444444444397E-3</v>
      </c>
      <c r="AR18" s="235">
        <v>2.0833333333333301E-2</v>
      </c>
      <c r="AS18" s="235">
        <v>6.9444444444444397E-3</v>
      </c>
      <c r="AT18" s="235">
        <v>2.0833333333333301E-2</v>
      </c>
      <c r="AU18" s="236"/>
      <c r="AV18" s="235">
        <v>6.9444444444444397E-3</v>
      </c>
      <c r="AW18" s="235">
        <v>3.125E-2</v>
      </c>
      <c r="AX18" s="237">
        <f t="shared" si="7"/>
        <v>0.11527777777777772</v>
      </c>
      <c r="AY18" s="234">
        <f t="shared" si="8"/>
        <v>110.66666666666661</v>
      </c>
      <c r="AZ18" s="193"/>
      <c r="BA18" s="232" t="s">
        <v>1267</v>
      </c>
      <c r="BB18" s="234">
        <f>PARÂMETROS!$H$3</f>
        <v>40</v>
      </c>
      <c r="BC18" s="235">
        <v>2.1527777777777798E-2</v>
      </c>
      <c r="BD18" s="235">
        <v>6.9444444444444397E-3</v>
      </c>
      <c r="BE18" s="235">
        <v>2.0833333333333301E-2</v>
      </c>
      <c r="BF18" s="235">
        <v>6.9444444444444397E-3</v>
      </c>
      <c r="BG18" s="235">
        <v>2.0833333333333301E-2</v>
      </c>
      <c r="BH18" s="235">
        <v>6.9444444444444397E-3</v>
      </c>
      <c r="BI18" s="235">
        <v>6.9444444444444397E-3</v>
      </c>
      <c r="BJ18" s="235">
        <v>3.125E-2</v>
      </c>
      <c r="BK18" s="237">
        <f t="shared" si="9"/>
        <v>0.12222222222222215</v>
      </c>
      <c r="BL18" s="234">
        <f t="shared" si="10"/>
        <v>117.33333333333326</v>
      </c>
      <c r="BM18" s="43"/>
      <c r="BN18" s="232" t="s">
        <v>1267</v>
      </c>
      <c r="BO18" s="238">
        <f t="shared" si="11"/>
        <v>270.32850854999998</v>
      </c>
      <c r="BP18" s="239">
        <f t="shared" si="12"/>
        <v>90.666666666666643</v>
      </c>
      <c r="BQ18" s="243">
        <v>3</v>
      </c>
      <c r="BR18" s="241">
        <f t="shared" si="13"/>
        <v>30.222222222222214</v>
      </c>
      <c r="BS18" s="242">
        <f t="shared" si="14"/>
        <v>300.55073077222221</v>
      </c>
      <c r="BT18" s="240">
        <v>3</v>
      </c>
      <c r="BU18" s="43"/>
      <c r="BV18" s="232" t="s">
        <v>1267</v>
      </c>
      <c r="BW18" s="238">
        <f t="shared" si="15"/>
        <v>286.05732254999998</v>
      </c>
      <c r="BX18" s="239">
        <f t="shared" si="16"/>
        <v>110.66666666666661</v>
      </c>
      <c r="BY18" s="243">
        <v>3</v>
      </c>
      <c r="BZ18" s="241">
        <f t="shared" si="17"/>
        <v>36.888888888888872</v>
      </c>
      <c r="CA18" s="242">
        <f t="shared" si="18"/>
        <v>322.94621143888884</v>
      </c>
      <c r="CB18" s="240">
        <v>3</v>
      </c>
      <c r="CC18" s="23"/>
      <c r="CD18" s="232" t="s">
        <v>1267</v>
      </c>
      <c r="CE18" s="238">
        <f t="shared" si="19"/>
        <v>291.03732255</v>
      </c>
      <c r="CF18" s="239">
        <f t="shared" si="20"/>
        <v>117.33333333333326</v>
      </c>
      <c r="CG18" s="243">
        <v>3</v>
      </c>
      <c r="CH18" s="241">
        <f t="shared" si="21"/>
        <v>39.111111111111086</v>
      </c>
      <c r="CI18" s="242">
        <f t="shared" si="22"/>
        <v>330.14843366111108</v>
      </c>
      <c r="CJ18" s="244">
        <v>3</v>
      </c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</row>
    <row r="19" spans="1:133" s="223" customFormat="1" ht="27" customHeight="1" x14ac:dyDescent="0.3">
      <c r="A19" s="224" t="s">
        <v>238</v>
      </c>
      <c r="B19" s="225" t="s">
        <v>1254</v>
      </c>
      <c r="C19" s="226">
        <v>0.79085879999999997</v>
      </c>
      <c r="D19" s="470">
        <f>PARÂMETROS!$E$18*C19</f>
        <v>346.63341204</v>
      </c>
      <c r="E19" s="470"/>
      <c r="F19" s="228">
        <v>0.40600000000000003</v>
      </c>
      <c r="G19" s="227">
        <f>F19*PARÂMETROS!$E$22</f>
        <v>17.202220000000001</v>
      </c>
      <c r="H19" s="228">
        <v>2E-3</v>
      </c>
      <c r="I19" s="227">
        <f>H19*PARÂMETROS!$E$22</f>
        <v>8.4739999999999996E-2</v>
      </c>
      <c r="J19" s="228">
        <f t="shared" si="0"/>
        <v>4.0600000000000004E-2</v>
      </c>
      <c r="K19" s="230">
        <f>J19*PARÂMETROS!$E$8</f>
        <v>1.2541340000000001</v>
      </c>
      <c r="L19" s="229">
        <f t="shared" si="1"/>
        <v>2.0000000000000001E-4</v>
      </c>
      <c r="M19" s="230">
        <f>L19*PARÂMETROS!$E$8</f>
        <v>6.1780000000000003E-3</v>
      </c>
      <c r="N19" s="231">
        <v>1.8</v>
      </c>
      <c r="O19" s="230">
        <f>N19*PARÂMETROS!$E$27</f>
        <v>5.4</v>
      </c>
      <c r="P19" s="170"/>
      <c r="Q19" s="191"/>
      <c r="R19" s="232" t="s">
        <v>1268</v>
      </c>
      <c r="S19" s="233">
        <f t="shared" si="2"/>
        <v>346.72433003999998</v>
      </c>
      <c r="T19" s="43"/>
      <c r="U19" s="232" t="s">
        <v>1268</v>
      </c>
      <c r="V19" s="233">
        <f t="shared" si="3"/>
        <v>365.18068404000002</v>
      </c>
      <c r="W19" s="43"/>
      <c r="X19" s="232" t="s">
        <v>1268</v>
      </c>
      <c r="Y19" s="233">
        <f t="shared" si="4"/>
        <v>370.58068403999999</v>
      </c>
      <c r="Z19" s="43"/>
      <c r="AA19" s="232" t="s">
        <v>1268</v>
      </c>
      <c r="AB19" s="234">
        <f>PARÂMETROS!$H$3</f>
        <v>40</v>
      </c>
      <c r="AC19" s="235">
        <v>4.1666666666666699E-2</v>
      </c>
      <c r="AD19" s="235">
        <v>6.9444444444444397E-3</v>
      </c>
      <c r="AE19" s="235">
        <v>2.0833333333333301E-2</v>
      </c>
      <c r="AF19" s="235">
        <v>6.9444444444444397E-3</v>
      </c>
      <c r="AG19" s="236"/>
      <c r="AH19" s="236"/>
      <c r="AI19" s="235">
        <v>6.9444444444444397E-3</v>
      </c>
      <c r="AJ19" s="235">
        <v>3.125E-2</v>
      </c>
      <c r="AK19" s="237">
        <f t="shared" si="5"/>
        <v>0.11458333333333331</v>
      </c>
      <c r="AL19" s="234">
        <f t="shared" si="6"/>
        <v>109.99999999999997</v>
      </c>
      <c r="AM19" s="193"/>
      <c r="AN19" s="232" t="s">
        <v>1268</v>
      </c>
      <c r="AO19" s="234">
        <f>PARÂMETROS!$H$3</f>
        <v>40</v>
      </c>
      <c r="AP19" s="235">
        <v>4.1666666666666699E-2</v>
      </c>
      <c r="AQ19" s="235">
        <v>6.9444444444444397E-3</v>
      </c>
      <c r="AR19" s="235">
        <v>2.0833333333333301E-2</v>
      </c>
      <c r="AS19" s="235">
        <v>6.9444444444444397E-3</v>
      </c>
      <c r="AT19" s="235">
        <v>2.0833333333333301E-2</v>
      </c>
      <c r="AU19" s="236"/>
      <c r="AV19" s="235">
        <v>6.9444444444444397E-3</v>
      </c>
      <c r="AW19" s="235">
        <v>3.125E-2</v>
      </c>
      <c r="AX19" s="237">
        <f t="shared" si="7"/>
        <v>0.13541666666666663</v>
      </c>
      <c r="AY19" s="234">
        <f t="shared" si="8"/>
        <v>129.99999999999997</v>
      </c>
      <c r="AZ19" s="193"/>
      <c r="BA19" s="232" t="s">
        <v>1268</v>
      </c>
      <c r="BB19" s="234">
        <f>PARÂMETROS!$H$3</f>
        <v>40</v>
      </c>
      <c r="BC19" s="235">
        <v>4.1666666666666699E-2</v>
      </c>
      <c r="BD19" s="235">
        <v>6.9444444444444397E-3</v>
      </c>
      <c r="BE19" s="235">
        <v>2.0833333333333301E-2</v>
      </c>
      <c r="BF19" s="235">
        <v>6.9444444444444397E-3</v>
      </c>
      <c r="BG19" s="235">
        <v>2.0833333333333301E-2</v>
      </c>
      <c r="BH19" s="235">
        <v>6.9444444444444397E-3</v>
      </c>
      <c r="BI19" s="235">
        <v>6.9444444444444397E-3</v>
      </c>
      <c r="BJ19" s="235">
        <v>3.125E-2</v>
      </c>
      <c r="BK19" s="237">
        <f t="shared" si="9"/>
        <v>0.14236111111111105</v>
      </c>
      <c r="BL19" s="234">
        <f t="shared" si="10"/>
        <v>136.6666666666666</v>
      </c>
      <c r="BM19" s="43"/>
      <c r="BN19" s="232" t="s">
        <v>1268</v>
      </c>
      <c r="BO19" s="238">
        <f t="shared" si="11"/>
        <v>346.72433003999998</v>
      </c>
      <c r="BP19" s="239">
        <f t="shared" si="12"/>
        <v>109.99999999999997</v>
      </c>
      <c r="BQ19" s="243">
        <v>3</v>
      </c>
      <c r="BR19" s="241">
        <f t="shared" si="13"/>
        <v>36.666666666666657</v>
      </c>
      <c r="BS19" s="242">
        <f t="shared" si="14"/>
        <v>383.39099670666667</v>
      </c>
      <c r="BT19" s="240">
        <v>3</v>
      </c>
      <c r="BU19" s="43"/>
      <c r="BV19" s="232" t="s">
        <v>1268</v>
      </c>
      <c r="BW19" s="238">
        <f t="shared" si="15"/>
        <v>365.18068404000002</v>
      </c>
      <c r="BX19" s="239">
        <f t="shared" si="16"/>
        <v>129.99999999999997</v>
      </c>
      <c r="BY19" s="243">
        <v>3</v>
      </c>
      <c r="BZ19" s="241">
        <f t="shared" si="17"/>
        <v>43.333333333333321</v>
      </c>
      <c r="CA19" s="242">
        <f t="shared" si="18"/>
        <v>408.51401737333333</v>
      </c>
      <c r="CB19" s="240">
        <v>3</v>
      </c>
      <c r="CC19" s="23"/>
      <c r="CD19" s="232" t="s">
        <v>1268</v>
      </c>
      <c r="CE19" s="238">
        <f t="shared" si="19"/>
        <v>370.58068403999999</v>
      </c>
      <c r="CF19" s="239">
        <f t="shared" si="20"/>
        <v>136.6666666666666</v>
      </c>
      <c r="CG19" s="243">
        <v>1</v>
      </c>
      <c r="CH19" s="241">
        <f t="shared" si="21"/>
        <v>136.6666666666666</v>
      </c>
      <c r="CI19" s="242">
        <f t="shared" si="22"/>
        <v>507.24735070666657</v>
      </c>
      <c r="CJ19" s="244">
        <v>3</v>
      </c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</row>
    <row r="20" spans="1:133" s="223" customFormat="1" ht="27" customHeight="1" x14ac:dyDescent="0.3">
      <c r="A20" s="224" t="s">
        <v>242</v>
      </c>
      <c r="B20" s="225" t="s">
        <v>1254</v>
      </c>
      <c r="C20" s="226">
        <v>0.99523510000000004</v>
      </c>
      <c r="D20" s="470">
        <f>PARÂMETROS!$E$18*C20</f>
        <v>436.21154433000004</v>
      </c>
      <c r="E20" s="470"/>
      <c r="F20" s="228">
        <v>0.47099999999999997</v>
      </c>
      <c r="G20" s="227">
        <f>F20*PARÂMETROS!$E$22</f>
        <v>19.956269999999996</v>
      </c>
      <c r="H20" s="228">
        <v>2E-3</v>
      </c>
      <c r="I20" s="227">
        <f>H20*PARÂMETROS!$E$22</f>
        <v>8.4739999999999996E-2</v>
      </c>
      <c r="J20" s="228">
        <f t="shared" si="0"/>
        <v>4.7100000000000003E-2</v>
      </c>
      <c r="K20" s="230">
        <f>J20*PARÂMETROS!$E$8</f>
        <v>1.4549190000000001</v>
      </c>
      <c r="L20" s="229">
        <f t="shared" si="1"/>
        <v>2.0000000000000001E-4</v>
      </c>
      <c r="M20" s="230">
        <f>L20*PARÂMETROS!$E$8</f>
        <v>6.1780000000000003E-3</v>
      </c>
      <c r="N20" s="231">
        <v>1.9</v>
      </c>
      <c r="O20" s="230">
        <f>N20*PARÂMETROS!$E$27</f>
        <v>5.6999999999999993</v>
      </c>
      <c r="P20" s="170"/>
      <c r="Q20" s="191"/>
      <c r="R20" s="232" t="s">
        <v>1269</v>
      </c>
      <c r="S20" s="233">
        <f t="shared" si="2"/>
        <v>436.30246233000003</v>
      </c>
      <c r="T20" s="43"/>
      <c r="U20" s="232" t="s">
        <v>1269</v>
      </c>
      <c r="V20" s="233">
        <f t="shared" si="3"/>
        <v>457.71365133000006</v>
      </c>
      <c r="W20" s="43"/>
      <c r="X20" s="232" t="s">
        <v>1269</v>
      </c>
      <c r="Y20" s="233">
        <f t="shared" si="4"/>
        <v>463.41365133000005</v>
      </c>
      <c r="Z20" s="43"/>
      <c r="AA20" s="232" t="s">
        <v>1269</v>
      </c>
      <c r="AB20" s="234">
        <f>PARÂMETROS!$H$3</f>
        <v>40</v>
      </c>
      <c r="AC20" s="235">
        <v>4.1666666666666699E-2</v>
      </c>
      <c r="AD20" s="235">
        <v>6.9444444444444397E-3</v>
      </c>
      <c r="AE20" s="235">
        <v>2.0833333333333301E-2</v>
      </c>
      <c r="AF20" s="235">
        <v>6.9444444444444397E-3</v>
      </c>
      <c r="AG20" s="236"/>
      <c r="AH20" s="236"/>
      <c r="AI20" s="235">
        <v>6.9444444444444397E-3</v>
      </c>
      <c r="AJ20" s="235">
        <v>3.125E-2</v>
      </c>
      <c r="AK20" s="237">
        <f t="shared" si="5"/>
        <v>0.11458333333333331</v>
      </c>
      <c r="AL20" s="234">
        <f t="shared" si="6"/>
        <v>109.99999999999997</v>
      </c>
      <c r="AM20" s="193"/>
      <c r="AN20" s="232" t="s">
        <v>1269</v>
      </c>
      <c r="AO20" s="234">
        <f>PARÂMETROS!$H$3</f>
        <v>40</v>
      </c>
      <c r="AP20" s="235">
        <v>4.1666666666666699E-2</v>
      </c>
      <c r="AQ20" s="235">
        <v>6.9444444444444397E-3</v>
      </c>
      <c r="AR20" s="235">
        <v>2.0833333333333301E-2</v>
      </c>
      <c r="AS20" s="235">
        <v>6.9444444444444397E-3</v>
      </c>
      <c r="AT20" s="235">
        <v>2.0833333333333301E-2</v>
      </c>
      <c r="AU20" s="236"/>
      <c r="AV20" s="235">
        <v>6.9444444444444397E-3</v>
      </c>
      <c r="AW20" s="235">
        <v>3.125E-2</v>
      </c>
      <c r="AX20" s="237">
        <f t="shared" si="7"/>
        <v>0.13541666666666663</v>
      </c>
      <c r="AY20" s="234">
        <f t="shared" si="8"/>
        <v>129.99999999999997</v>
      </c>
      <c r="AZ20" s="193"/>
      <c r="BA20" s="232" t="s">
        <v>1269</v>
      </c>
      <c r="BB20" s="234">
        <f>PARÂMETROS!$H$3</f>
        <v>40</v>
      </c>
      <c r="BC20" s="235">
        <v>4.1666666666666699E-2</v>
      </c>
      <c r="BD20" s="235">
        <v>6.9444444444444397E-3</v>
      </c>
      <c r="BE20" s="235">
        <v>2.0833333333333301E-2</v>
      </c>
      <c r="BF20" s="235">
        <v>6.9444444444444397E-3</v>
      </c>
      <c r="BG20" s="235">
        <v>2.0833333333333301E-2</v>
      </c>
      <c r="BH20" s="235">
        <v>6.9444444444444397E-3</v>
      </c>
      <c r="BI20" s="235">
        <v>6.9444444444444397E-3</v>
      </c>
      <c r="BJ20" s="235">
        <v>3.125E-2</v>
      </c>
      <c r="BK20" s="237">
        <f t="shared" si="9"/>
        <v>0.14236111111111105</v>
      </c>
      <c r="BL20" s="234">
        <f t="shared" si="10"/>
        <v>136.6666666666666</v>
      </c>
      <c r="BM20" s="43"/>
      <c r="BN20" s="232" t="s">
        <v>1269</v>
      </c>
      <c r="BO20" s="238">
        <f t="shared" si="11"/>
        <v>436.30246233000003</v>
      </c>
      <c r="BP20" s="239">
        <f t="shared" si="12"/>
        <v>109.99999999999997</v>
      </c>
      <c r="BQ20" s="243">
        <v>3</v>
      </c>
      <c r="BR20" s="241">
        <f t="shared" si="13"/>
        <v>36.666666666666657</v>
      </c>
      <c r="BS20" s="242">
        <f t="shared" si="14"/>
        <v>472.96912899666665</v>
      </c>
      <c r="BT20" s="240">
        <v>3</v>
      </c>
      <c r="BU20" s="43"/>
      <c r="BV20" s="232" t="s">
        <v>1269</v>
      </c>
      <c r="BW20" s="238">
        <f t="shared" si="15"/>
        <v>457.71365133000006</v>
      </c>
      <c r="BX20" s="239">
        <f t="shared" si="16"/>
        <v>129.99999999999997</v>
      </c>
      <c r="BY20" s="243">
        <v>3</v>
      </c>
      <c r="BZ20" s="241">
        <f t="shared" si="17"/>
        <v>43.333333333333321</v>
      </c>
      <c r="CA20" s="242">
        <f t="shared" si="18"/>
        <v>501.04698466333338</v>
      </c>
      <c r="CB20" s="240">
        <v>3</v>
      </c>
      <c r="CC20" s="23"/>
      <c r="CD20" s="232" t="s">
        <v>1269</v>
      </c>
      <c r="CE20" s="238">
        <f t="shared" si="19"/>
        <v>463.41365133000005</v>
      </c>
      <c r="CF20" s="239">
        <f t="shared" si="20"/>
        <v>136.6666666666666</v>
      </c>
      <c r="CG20" s="243">
        <v>3</v>
      </c>
      <c r="CH20" s="241">
        <f t="shared" si="21"/>
        <v>45.555555555555536</v>
      </c>
      <c r="CI20" s="242">
        <f t="shared" si="22"/>
        <v>508.96920688555559</v>
      </c>
      <c r="CJ20" s="244">
        <v>3</v>
      </c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</row>
    <row r="21" spans="1:133" s="223" customFormat="1" ht="27" customHeight="1" x14ac:dyDescent="0.3">
      <c r="A21" s="224" t="s">
        <v>246</v>
      </c>
      <c r="B21" s="225" t="s">
        <v>1254</v>
      </c>
      <c r="C21" s="226">
        <v>1.2320800999999999</v>
      </c>
      <c r="D21" s="470">
        <f>PARÂMETROS!$E$18*C21</f>
        <v>540.02070782999999</v>
      </c>
      <c r="E21" s="470"/>
      <c r="F21" s="228">
        <v>0.55000000000000004</v>
      </c>
      <c r="G21" s="227">
        <f>F21*PARÂMETROS!$E$22</f>
        <v>23.3035</v>
      </c>
      <c r="H21" s="228">
        <v>2E-3</v>
      </c>
      <c r="I21" s="227">
        <f>H21*PARÂMETROS!$E$22</f>
        <v>8.4739999999999996E-2</v>
      </c>
      <c r="J21" s="228">
        <f t="shared" si="0"/>
        <v>5.5000000000000007E-2</v>
      </c>
      <c r="K21" s="230">
        <f>J21*PARÂMETROS!$E$8</f>
        <v>1.6989500000000002</v>
      </c>
      <c r="L21" s="229">
        <f t="shared" si="1"/>
        <v>2.0000000000000001E-4</v>
      </c>
      <c r="M21" s="230">
        <f>L21*PARÂMETROS!$E$8</f>
        <v>6.1780000000000003E-3</v>
      </c>
      <c r="N21" s="231">
        <v>2</v>
      </c>
      <c r="O21" s="230">
        <f>N21*PARÂMETROS!$E$27</f>
        <v>6</v>
      </c>
      <c r="P21" s="170"/>
      <c r="Q21" s="191"/>
      <c r="R21" s="232" t="s">
        <v>1270</v>
      </c>
      <c r="S21" s="233">
        <f t="shared" si="2"/>
        <v>540.11162582999998</v>
      </c>
      <c r="T21" s="43"/>
      <c r="U21" s="232" t="s">
        <v>1270</v>
      </c>
      <c r="V21" s="233">
        <f t="shared" si="3"/>
        <v>565.11407582999993</v>
      </c>
      <c r="W21" s="43"/>
      <c r="X21" s="232" t="s">
        <v>1270</v>
      </c>
      <c r="Y21" s="233">
        <f t="shared" si="4"/>
        <v>571.11407582999993</v>
      </c>
      <c r="Z21" s="43"/>
      <c r="AA21" s="232" t="s">
        <v>1270</v>
      </c>
      <c r="AB21" s="234">
        <f>PARÂMETROS!$H$3</f>
        <v>40</v>
      </c>
      <c r="AC21" s="235">
        <v>4.1666666666666699E-2</v>
      </c>
      <c r="AD21" s="235">
        <v>6.9444444444444397E-3</v>
      </c>
      <c r="AE21" s="235">
        <v>2.0833333333333301E-2</v>
      </c>
      <c r="AF21" s="235">
        <v>6.9444444444444397E-3</v>
      </c>
      <c r="AG21" s="236"/>
      <c r="AH21" s="236"/>
      <c r="AI21" s="235">
        <v>6.9444444444444397E-3</v>
      </c>
      <c r="AJ21" s="235">
        <v>3.125E-2</v>
      </c>
      <c r="AK21" s="237">
        <f t="shared" si="5"/>
        <v>0.11458333333333331</v>
      </c>
      <c r="AL21" s="234">
        <f t="shared" si="6"/>
        <v>109.99999999999997</v>
      </c>
      <c r="AM21" s="193"/>
      <c r="AN21" s="232" t="s">
        <v>1270</v>
      </c>
      <c r="AO21" s="234">
        <f>PARÂMETROS!$H$3</f>
        <v>40</v>
      </c>
      <c r="AP21" s="235">
        <v>4.1666666666666699E-2</v>
      </c>
      <c r="AQ21" s="235">
        <v>6.9444444444444397E-3</v>
      </c>
      <c r="AR21" s="235">
        <v>2.0833333333333301E-2</v>
      </c>
      <c r="AS21" s="235">
        <v>6.9444444444444397E-3</v>
      </c>
      <c r="AT21" s="235">
        <v>2.0833333333333301E-2</v>
      </c>
      <c r="AU21" s="236"/>
      <c r="AV21" s="235">
        <v>6.9444444444444397E-3</v>
      </c>
      <c r="AW21" s="235">
        <v>3.125E-2</v>
      </c>
      <c r="AX21" s="237">
        <f t="shared" si="7"/>
        <v>0.13541666666666663</v>
      </c>
      <c r="AY21" s="234">
        <f t="shared" si="8"/>
        <v>129.99999999999997</v>
      </c>
      <c r="AZ21" s="193"/>
      <c r="BA21" s="232" t="s">
        <v>1270</v>
      </c>
      <c r="BB21" s="234">
        <f>PARÂMETROS!$H$3</f>
        <v>40</v>
      </c>
      <c r="BC21" s="235">
        <v>4.1666666666666699E-2</v>
      </c>
      <c r="BD21" s="235">
        <v>6.9444444444444397E-3</v>
      </c>
      <c r="BE21" s="235">
        <v>2.0833333333333301E-2</v>
      </c>
      <c r="BF21" s="235">
        <v>6.9444444444444397E-3</v>
      </c>
      <c r="BG21" s="235">
        <v>2.0833333333333301E-2</v>
      </c>
      <c r="BH21" s="235">
        <v>6.9444444444444397E-3</v>
      </c>
      <c r="BI21" s="235">
        <v>6.9444444444444397E-3</v>
      </c>
      <c r="BJ21" s="235">
        <v>3.125E-2</v>
      </c>
      <c r="BK21" s="237">
        <f t="shared" si="9"/>
        <v>0.14236111111111105</v>
      </c>
      <c r="BL21" s="234">
        <f t="shared" si="10"/>
        <v>136.6666666666666</v>
      </c>
      <c r="BM21" s="43"/>
      <c r="BN21" s="232" t="s">
        <v>1270</v>
      </c>
      <c r="BO21" s="238">
        <f t="shared" si="11"/>
        <v>540.11162582999998</v>
      </c>
      <c r="BP21" s="239">
        <f t="shared" si="12"/>
        <v>109.99999999999997</v>
      </c>
      <c r="BQ21" s="243">
        <v>2</v>
      </c>
      <c r="BR21" s="241">
        <f t="shared" si="13"/>
        <v>54.999999999999986</v>
      </c>
      <c r="BS21" s="242">
        <f t="shared" si="14"/>
        <v>595.11162582999998</v>
      </c>
      <c r="BT21" s="240">
        <v>2</v>
      </c>
      <c r="BU21" s="43"/>
      <c r="BV21" s="232" t="s">
        <v>1270</v>
      </c>
      <c r="BW21" s="238">
        <f t="shared" si="15"/>
        <v>565.11407582999993</v>
      </c>
      <c r="BX21" s="239">
        <f t="shared" si="16"/>
        <v>129.99999999999997</v>
      </c>
      <c r="BY21" s="243">
        <v>2</v>
      </c>
      <c r="BZ21" s="241">
        <f t="shared" si="17"/>
        <v>64.999999999999986</v>
      </c>
      <c r="CA21" s="242">
        <f t="shared" si="18"/>
        <v>630.11407582999993</v>
      </c>
      <c r="CB21" s="240">
        <v>2</v>
      </c>
      <c r="CC21" s="23"/>
      <c r="CD21" s="232" t="s">
        <v>1270</v>
      </c>
      <c r="CE21" s="238">
        <f t="shared" si="19"/>
        <v>571.11407582999993</v>
      </c>
      <c r="CF21" s="239">
        <f t="shared" si="20"/>
        <v>136.6666666666666</v>
      </c>
      <c r="CG21" s="243">
        <v>2</v>
      </c>
      <c r="CH21" s="241">
        <f t="shared" si="21"/>
        <v>68.3333333333333</v>
      </c>
      <c r="CI21" s="242">
        <f t="shared" si="22"/>
        <v>639.44740916333319</v>
      </c>
      <c r="CJ21" s="244">
        <v>2</v>
      </c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</row>
    <row r="22" spans="1:133" s="223" customFormat="1" ht="27" customHeight="1" x14ac:dyDescent="0.3">
      <c r="A22" s="224" t="s">
        <v>250</v>
      </c>
      <c r="B22" s="225" t="s">
        <v>1254</v>
      </c>
      <c r="C22" s="226">
        <v>1.5037863</v>
      </c>
      <c r="D22" s="470">
        <f>PARÂMETROS!$E$18*C22</f>
        <v>659.10953529000005</v>
      </c>
      <c r="E22" s="470"/>
      <c r="F22" s="228">
        <v>0.63</v>
      </c>
      <c r="G22" s="227">
        <f>F22*PARÂMETROS!$E$22</f>
        <v>26.693099999999998</v>
      </c>
      <c r="H22" s="228">
        <v>2E-3</v>
      </c>
      <c r="I22" s="227">
        <f>H22*PARÂMETROS!$E$22</f>
        <v>8.4739999999999996E-2</v>
      </c>
      <c r="J22" s="228">
        <f t="shared" si="0"/>
        <v>6.3E-2</v>
      </c>
      <c r="K22" s="230">
        <f>J22*PARÂMETROS!$E$8</f>
        <v>1.94607</v>
      </c>
      <c r="L22" s="229">
        <f t="shared" si="1"/>
        <v>2.0000000000000001E-4</v>
      </c>
      <c r="M22" s="230">
        <f>L22*PARÂMETROS!$E$8</f>
        <v>6.1780000000000003E-3</v>
      </c>
      <c r="N22" s="231">
        <v>2.1</v>
      </c>
      <c r="O22" s="230">
        <f>N22*PARÂMETROS!$E$27</f>
        <v>6.3000000000000007</v>
      </c>
      <c r="P22" s="170"/>
      <c r="Q22" s="191"/>
      <c r="R22" s="232" t="s">
        <v>1271</v>
      </c>
      <c r="S22" s="233">
        <f t="shared" si="2"/>
        <v>659.20045329000004</v>
      </c>
      <c r="T22" s="43"/>
      <c r="U22" s="232" t="s">
        <v>1271</v>
      </c>
      <c r="V22" s="233">
        <f t="shared" si="3"/>
        <v>687.83962328999996</v>
      </c>
      <c r="W22" s="43"/>
      <c r="X22" s="232" t="s">
        <v>1271</v>
      </c>
      <c r="Y22" s="233">
        <f t="shared" si="4"/>
        <v>694.13962328999992</v>
      </c>
      <c r="Z22" s="43"/>
      <c r="AA22" s="232" t="s">
        <v>1271</v>
      </c>
      <c r="AB22" s="234">
        <f>PARÂMETROS!$H$3</f>
        <v>40</v>
      </c>
      <c r="AC22" s="235">
        <v>4.1666666666666699E-2</v>
      </c>
      <c r="AD22" s="235">
        <v>6.9444444444444397E-3</v>
      </c>
      <c r="AE22" s="235">
        <v>2.0833333333333301E-2</v>
      </c>
      <c r="AF22" s="235">
        <v>6.9444444444444397E-3</v>
      </c>
      <c r="AG22" s="236"/>
      <c r="AH22" s="236"/>
      <c r="AI22" s="235">
        <v>6.9444444444444397E-3</v>
      </c>
      <c r="AJ22" s="235">
        <v>3.125E-2</v>
      </c>
      <c r="AK22" s="237">
        <f t="shared" si="5"/>
        <v>0.11458333333333331</v>
      </c>
      <c r="AL22" s="234">
        <f t="shared" si="6"/>
        <v>109.99999999999997</v>
      </c>
      <c r="AM22" s="193"/>
      <c r="AN22" s="232" t="s">
        <v>1271</v>
      </c>
      <c r="AO22" s="234">
        <f>PARÂMETROS!$H$3</f>
        <v>40</v>
      </c>
      <c r="AP22" s="235">
        <v>4.1666666666666699E-2</v>
      </c>
      <c r="AQ22" s="235">
        <v>6.9444444444444397E-3</v>
      </c>
      <c r="AR22" s="235">
        <v>2.0833333333333301E-2</v>
      </c>
      <c r="AS22" s="235">
        <v>6.9444444444444397E-3</v>
      </c>
      <c r="AT22" s="235">
        <v>2.0833333333333301E-2</v>
      </c>
      <c r="AU22" s="236"/>
      <c r="AV22" s="235">
        <v>6.9444444444444397E-3</v>
      </c>
      <c r="AW22" s="235">
        <v>3.125E-2</v>
      </c>
      <c r="AX22" s="237">
        <f t="shared" si="7"/>
        <v>0.13541666666666663</v>
      </c>
      <c r="AY22" s="234">
        <f t="shared" si="8"/>
        <v>129.99999999999997</v>
      </c>
      <c r="AZ22" s="193"/>
      <c r="BA22" s="232" t="s">
        <v>1271</v>
      </c>
      <c r="BB22" s="234">
        <f>PARÂMETROS!$H$3</f>
        <v>40</v>
      </c>
      <c r="BC22" s="235">
        <v>4.1666666666666699E-2</v>
      </c>
      <c r="BD22" s="235">
        <v>6.9444444444444397E-3</v>
      </c>
      <c r="BE22" s="235">
        <v>2.0833333333333301E-2</v>
      </c>
      <c r="BF22" s="235">
        <v>6.9444444444444397E-3</v>
      </c>
      <c r="BG22" s="235">
        <v>2.0833333333333301E-2</v>
      </c>
      <c r="BH22" s="235">
        <v>6.9444444444444397E-3</v>
      </c>
      <c r="BI22" s="235">
        <v>6.9444444444444397E-3</v>
      </c>
      <c r="BJ22" s="235">
        <v>3.125E-2</v>
      </c>
      <c r="BK22" s="237">
        <f t="shared" si="9"/>
        <v>0.14236111111111105</v>
      </c>
      <c r="BL22" s="234">
        <f t="shared" si="10"/>
        <v>136.6666666666666</v>
      </c>
      <c r="BM22" s="43"/>
      <c r="BN22" s="232" t="s">
        <v>1271</v>
      </c>
      <c r="BO22" s="238">
        <f t="shared" si="11"/>
        <v>659.20045329000004</v>
      </c>
      <c r="BP22" s="239">
        <f t="shared" si="12"/>
        <v>109.99999999999997</v>
      </c>
      <c r="BQ22" s="243">
        <v>2</v>
      </c>
      <c r="BR22" s="241">
        <f t="shared" si="13"/>
        <v>54.999999999999986</v>
      </c>
      <c r="BS22" s="242">
        <f t="shared" si="14"/>
        <v>714.20045329000004</v>
      </c>
      <c r="BT22" s="240">
        <v>2</v>
      </c>
      <c r="BU22" s="43"/>
      <c r="BV22" s="232" t="s">
        <v>1271</v>
      </c>
      <c r="BW22" s="238">
        <f t="shared" si="15"/>
        <v>687.83962328999996</v>
      </c>
      <c r="BX22" s="239">
        <f t="shared" si="16"/>
        <v>129.99999999999997</v>
      </c>
      <c r="BY22" s="243">
        <v>2</v>
      </c>
      <c r="BZ22" s="241">
        <f t="shared" si="17"/>
        <v>64.999999999999986</v>
      </c>
      <c r="CA22" s="242">
        <f t="shared" si="18"/>
        <v>752.83962328999996</v>
      </c>
      <c r="CB22" s="240">
        <v>2</v>
      </c>
      <c r="CC22" s="23"/>
      <c r="CD22" s="232" t="s">
        <v>1271</v>
      </c>
      <c r="CE22" s="238">
        <f t="shared" si="19"/>
        <v>694.13962328999992</v>
      </c>
      <c r="CF22" s="239">
        <f t="shared" si="20"/>
        <v>136.6666666666666</v>
      </c>
      <c r="CG22" s="243">
        <v>2</v>
      </c>
      <c r="CH22" s="241">
        <f t="shared" si="21"/>
        <v>68.3333333333333</v>
      </c>
      <c r="CI22" s="242">
        <f t="shared" si="22"/>
        <v>762.47295662333318</v>
      </c>
      <c r="CJ22" s="244">
        <v>2</v>
      </c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</row>
    <row r="23" spans="1:133" s="223" customFormat="1" ht="27" customHeight="1" x14ac:dyDescent="0.3">
      <c r="A23" s="224" t="s">
        <v>254</v>
      </c>
      <c r="B23" s="225" t="s">
        <v>1254</v>
      </c>
      <c r="C23" s="226">
        <v>1.8127464</v>
      </c>
      <c r="D23" s="470">
        <f>PARÂMETROS!$E$18*C23</f>
        <v>794.52674711999998</v>
      </c>
      <c r="E23" s="470"/>
      <c r="F23" s="228">
        <v>0.7</v>
      </c>
      <c r="G23" s="227">
        <f>F23*PARÂMETROS!$E$22</f>
        <v>29.658999999999995</v>
      </c>
      <c r="H23" s="228">
        <v>2E-3</v>
      </c>
      <c r="I23" s="227">
        <f>H23*PARÂMETROS!$E$22</f>
        <v>8.4739999999999996E-2</v>
      </c>
      <c r="J23" s="228">
        <f t="shared" si="0"/>
        <v>6.9999999999999993E-2</v>
      </c>
      <c r="K23" s="230">
        <f>J23*PARÂMETROS!$E$8</f>
        <v>2.1622999999999997</v>
      </c>
      <c r="L23" s="229">
        <f t="shared" si="1"/>
        <v>2.0000000000000001E-4</v>
      </c>
      <c r="M23" s="230">
        <f>L23*PARÂMETROS!$E$8</f>
        <v>6.1780000000000003E-3</v>
      </c>
      <c r="N23" s="231">
        <v>2.2000000000000002</v>
      </c>
      <c r="O23" s="230">
        <f>N23*PARÂMETROS!$E$27</f>
        <v>6.6000000000000005</v>
      </c>
      <c r="P23" s="170"/>
      <c r="Q23" s="191"/>
      <c r="R23" s="232" t="s">
        <v>1272</v>
      </c>
      <c r="S23" s="233">
        <f t="shared" si="2"/>
        <v>794.61766511999997</v>
      </c>
      <c r="T23" s="43"/>
      <c r="U23" s="232" t="s">
        <v>1272</v>
      </c>
      <c r="V23" s="233">
        <f t="shared" si="3"/>
        <v>826.43896511999992</v>
      </c>
      <c r="W23" s="43"/>
      <c r="X23" s="232" t="s">
        <v>1272</v>
      </c>
      <c r="Y23" s="233">
        <f t="shared" si="4"/>
        <v>833.03896511999994</v>
      </c>
      <c r="Z23" s="43"/>
      <c r="AA23" s="232" t="s">
        <v>1272</v>
      </c>
      <c r="AB23" s="234">
        <f>PARÂMETROS!$H$3</f>
        <v>40</v>
      </c>
      <c r="AC23" s="235">
        <v>4.1666666666666699E-2</v>
      </c>
      <c r="AD23" s="235">
        <v>6.9444444444444397E-3</v>
      </c>
      <c r="AE23" s="235">
        <v>2.0833333333333301E-2</v>
      </c>
      <c r="AF23" s="235">
        <v>6.9444444444444397E-3</v>
      </c>
      <c r="AG23" s="236"/>
      <c r="AH23" s="236"/>
      <c r="AI23" s="235">
        <v>6.9444444444444397E-3</v>
      </c>
      <c r="AJ23" s="235">
        <v>3.125E-2</v>
      </c>
      <c r="AK23" s="237">
        <f t="shared" si="5"/>
        <v>0.11458333333333331</v>
      </c>
      <c r="AL23" s="234">
        <f t="shared" si="6"/>
        <v>109.99999999999997</v>
      </c>
      <c r="AM23" s="193"/>
      <c r="AN23" s="232" t="s">
        <v>1272</v>
      </c>
      <c r="AO23" s="234">
        <f>PARÂMETROS!$H$3</f>
        <v>40</v>
      </c>
      <c r="AP23" s="235">
        <v>4.1666666666666699E-2</v>
      </c>
      <c r="AQ23" s="235">
        <v>6.9444444444444397E-3</v>
      </c>
      <c r="AR23" s="235">
        <v>2.0833333333333301E-2</v>
      </c>
      <c r="AS23" s="235">
        <v>6.9444444444444397E-3</v>
      </c>
      <c r="AT23" s="235">
        <v>2.0833333333333301E-2</v>
      </c>
      <c r="AU23" s="236"/>
      <c r="AV23" s="235">
        <v>6.9444444444444397E-3</v>
      </c>
      <c r="AW23" s="235">
        <v>3.125E-2</v>
      </c>
      <c r="AX23" s="237">
        <f t="shared" si="7"/>
        <v>0.13541666666666663</v>
      </c>
      <c r="AY23" s="234">
        <f t="shared" si="8"/>
        <v>129.99999999999997</v>
      </c>
      <c r="AZ23" s="193"/>
      <c r="BA23" s="232" t="s">
        <v>1272</v>
      </c>
      <c r="BB23" s="234">
        <f>PARÂMETROS!$H$3</f>
        <v>40</v>
      </c>
      <c r="BC23" s="235">
        <v>4.1666666666666699E-2</v>
      </c>
      <c r="BD23" s="235">
        <v>6.9444444444444397E-3</v>
      </c>
      <c r="BE23" s="235">
        <v>2.0833333333333301E-2</v>
      </c>
      <c r="BF23" s="235">
        <v>6.9444444444444397E-3</v>
      </c>
      <c r="BG23" s="235">
        <v>2.0833333333333301E-2</v>
      </c>
      <c r="BH23" s="235">
        <v>6.9444444444444397E-3</v>
      </c>
      <c r="BI23" s="235">
        <v>6.9444444444444397E-3</v>
      </c>
      <c r="BJ23" s="235">
        <v>3.125E-2</v>
      </c>
      <c r="BK23" s="237">
        <f t="shared" si="9"/>
        <v>0.14236111111111105</v>
      </c>
      <c r="BL23" s="234">
        <f t="shared" si="10"/>
        <v>136.6666666666666</v>
      </c>
      <c r="BM23" s="43"/>
      <c r="BN23" s="232" t="s">
        <v>1272</v>
      </c>
      <c r="BO23" s="238">
        <f t="shared" si="11"/>
        <v>794.61766511999997</v>
      </c>
      <c r="BP23" s="239">
        <f t="shared" si="12"/>
        <v>109.99999999999997</v>
      </c>
      <c r="BQ23" s="243">
        <v>2</v>
      </c>
      <c r="BR23" s="241">
        <f t="shared" si="13"/>
        <v>54.999999999999986</v>
      </c>
      <c r="BS23" s="242">
        <f t="shared" si="14"/>
        <v>849.61766511999997</v>
      </c>
      <c r="BT23" s="240">
        <v>2</v>
      </c>
      <c r="BU23" s="43"/>
      <c r="BV23" s="232" t="s">
        <v>1272</v>
      </c>
      <c r="BW23" s="238">
        <f t="shared" si="15"/>
        <v>826.43896511999992</v>
      </c>
      <c r="BX23" s="239">
        <f t="shared" si="16"/>
        <v>129.99999999999997</v>
      </c>
      <c r="BY23" s="243">
        <v>2</v>
      </c>
      <c r="BZ23" s="241">
        <f t="shared" si="17"/>
        <v>64.999999999999986</v>
      </c>
      <c r="CA23" s="242">
        <f t="shared" si="18"/>
        <v>891.43896511999992</v>
      </c>
      <c r="CB23" s="240">
        <v>2</v>
      </c>
      <c r="CC23" s="23"/>
      <c r="CD23" s="232" t="s">
        <v>1272</v>
      </c>
      <c r="CE23" s="238">
        <f t="shared" si="19"/>
        <v>833.03896511999994</v>
      </c>
      <c r="CF23" s="239">
        <f t="shared" si="20"/>
        <v>136.6666666666666</v>
      </c>
      <c r="CG23" s="243">
        <v>2</v>
      </c>
      <c r="CH23" s="241">
        <f t="shared" si="21"/>
        <v>68.3333333333333</v>
      </c>
      <c r="CI23" s="242">
        <f t="shared" si="22"/>
        <v>901.3722984533332</v>
      </c>
      <c r="CJ23" s="244">
        <v>2</v>
      </c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</row>
    <row r="24" spans="1:133" s="223" customFormat="1" ht="27" customHeight="1" x14ac:dyDescent="0.3">
      <c r="A24" s="224" t="s">
        <v>258</v>
      </c>
      <c r="B24" s="225" t="s">
        <v>1254</v>
      </c>
      <c r="C24" s="226">
        <v>2.1613528</v>
      </c>
      <c r="D24" s="470">
        <f>PARÂMETROS!$E$18*C24</f>
        <v>947.32093224000005</v>
      </c>
      <c r="E24" s="470"/>
      <c r="F24" s="228">
        <v>0.78</v>
      </c>
      <c r="G24" s="227">
        <f>F24*PARÂMETROS!$E$22</f>
        <v>33.0486</v>
      </c>
      <c r="H24" s="228">
        <v>2E-3</v>
      </c>
      <c r="I24" s="227">
        <f>H24*PARÂMETROS!$E$22</f>
        <v>8.4739999999999996E-2</v>
      </c>
      <c r="J24" s="228">
        <f t="shared" si="0"/>
        <v>7.8000000000000014E-2</v>
      </c>
      <c r="K24" s="230">
        <f>J24*PARÂMETROS!$E$8</f>
        <v>2.4094200000000003</v>
      </c>
      <c r="L24" s="229">
        <f t="shared" si="1"/>
        <v>2.0000000000000001E-4</v>
      </c>
      <c r="M24" s="230">
        <f>L24*PARÂMETROS!$E$8</f>
        <v>6.1780000000000003E-3</v>
      </c>
      <c r="N24" s="231">
        <v>2.2999999999999998</v>
      </c>
      <c r="O24" s="230">
        <f>N24*PARÂMETROS!$E$27</f>
        <v>6.8999999999999995</v>
      </c>
      <c r="P24" s="170"/>
      <c r="Q24" s="191"/>
      <c r="R24" s="232" t="s">
        <v>1273</v>
      </c>
      <c r="S24" s="233">
        <f t="shared" si="2"/>
        <v>947.41185024000004</v>
      </c>
      <c r="T24" s="43"/>
      <c r="U24" s="232" t="s">
        <v>1273</v>
      </c>
      <c r="V24" s="233">
        <f t="shared" si="3"/>
        <v>982.86987023999995</v>
      </c>
      <c r="W24" s="43"/>
      <c r="X24" s="232" t="s">
        <v>1273</v>
      </c>
      <c r="Y24" s="233">
        <f t="shared" si="4"/>
        <v>989.76987023999993</v>
      </c>
      <c r="Z24" s="43"/>
      <c r="AA24" s="232" t="s">
        <v>1273</v>
      </c>
      <c r="AB24" s="234">
        <f>PARÂMETROS!$H$3</f>
        <v>40</v>
      </c>
      <c r="AC24" s="235">
        <v>4.1666666666666699E-2</v>
      </c>
      <c r="AD24" s="235">
        <v>6.9444444444444397E-3</v>
      </c>
      <c r="AE24" s="235">
        <v>2.0833333333333301E-2</v>
      </c>
      <c r="AF24" s="235">
        <v>6.9444444444444397E-3</v>
      </c>
      <c r="AG24" s="236"/>
      <c r="AH24" s="236"/>
      <c r="AI24" s="235">
        <v>6.9444444444444397E-3</v>
      </c>
      <c r="AJ24" s="235">
        <v>3.125E-2</v>
      </c>
      <c r="AK24" s="237">
        <f t="shared" si="5"/>
        <v>0.11458333333333331</v>
      </c>
      <c r="AL24" s="234">
        <f t="shared" si="6"/>
        <v>109.99999999999997</v>
      </c>
      <c r="AM24" s="193"/>
      <c r="AN24" s="232" t="s">
        <v>1273</v>
      </c>
      <c r="AO24" s="234">
        <f>PARÂMETROS!$H$3</f>
        <v>40</v>
      </c>
      <c r="AP24" s="235">
        <v>4.1666666666666699E-2</v>
      </c>
      <c r="AQ24" s="235">
        <v>6.9444444444444397E-3</v>
      </c>
      <c r="AR24" s="235">
        <v>2.0833333333333301E-2</v>
      </c>
      <c r="AS24" s="235">
        <v>6.9444444444444397E-3</v>
      </c>
      <c r="AT24" s="235">
        <v>2.0833333333333301E-2</v>
      </c>
      <c r="AU24" s="236"/>
      <c r="AV24" s="235">
        <v>6.9444444444444397E-3</v>
      </c>
      <c r="AW24" s="235">
        <v>3.125E-2</v>
      </c>
      <c r="AX24" s="237">
        <f t="shared" si="7"/>
        <v>0.13541666666666663</v>
      </c>
      <c r="AY24" s="234">
        <f t="shared" si="8"/>
        <v>129.99999999999997</v>
      </c>
      <c r="AZ24" s="193"/>
      <c r="BA24" s="232" t="s">
        <v>1273</v>
      </c>
      <c r="BB24" s="234">
        <f>PARÂMETROS!$H$3</f>
        <v>40</v>
      </c>
      <c r="BC24" s="235">
        <v>4.1666666666666699E-2</v>
      </c>
      <c r="BD24" s="235">
        <v>6.9444444444444397E-3</v>
      </c>
      <c r="BE24" s="235">
        <v>2.0833333333333301E-2</v>
      </c>
      <c r="BF24" s="235">
        <v>6.9444444444444397E-3</v>
      </c>
      <c r="BG24" s="235">
        <v>2.0833333333333301E-2</v>
      </c>
      <c r="BH24" s="235">
        <v>6.9444444444444397E-3</v>
      </c>
      <c r="BI24" s="235">
        <v>6.9444444444444397E-3</v>
      </c>
      <c r="BJ24" s="235">
        <v>3.125E-2</v>
      </c>
      <c r="BK24" s="237">
        <f t="shared" si="9"/>
        <v>0.14236111111111105</v>
      </c>
      <c r="BL24" s="234">
        <f t="shared" si="10"/>
        <v>136.6666666666666</v>
      </c>
      <c r="BM24" s="43"/>
      <c r="BN24" s="232" t="s">
        <v>1273</v>
      </c>
      <c r="BO24" s="238">
        <f t="shared" si="11"/>
        <v>947.41185024000004</v>
      </c>
      <c r="BP24" s="239">
        <f t="shared" si="12"/>
        <v>109.99999999999997</v>
      </c>
      <c r="BQ24" s="243">
        <v>1</v>
      </c>
      <c r="BR24" s="241">
        <f t="shared" si="13"/>
        <v>109.99999999999997</v>
      </c>
      <c r="BS24" s="242">
        <f t="shared" si="14"/>
        <v>1057.4118502399999</v>
      </c>
      <c r="BT24" s="240">
        <v>1</v>
      </c>
      <c r="BU24" s="43"/>
      <c r="BV24" s="232" t="s">
        <v>1273</v>
      </c>
      <c r="BW24" s="238">
        <f t="shared" si="15"/>
        <v>982.86987023999995</v>
      </c>
      <c r="BX24" s="239">
        <f t="shared" si="16"/>
        <v>129.99999999999997</v>
      </c>
      <c r="BY24" s="243">
        <v>1</v>
      </c>
      <c r="BZ24" s="241">
        <f t="shared" si="17"/>
        <v>129.99999999999997</v>
      </c>
      <c r="CA24" s="242">
        <f t="shared" si="18"/>
        <v>1112.86987024</v>
      </c>
      <c r="CB24" s="240">
        <v>1</v>
      </c>
      <c r="CC24" s="23"/>
      <c r="CD24" s="232" t="s">
        <v>1273</v>
      </c>
      <c r="CE24" s="238">
        <f t="shared" si="19"/>
        <v>989.76987023999993</v>
      </c>
      <c r="CF24" s="239">
        <f t="shared" si="20"/>
        <v>136.6666666666666</v>
      </c>
      <c r="CG24" s="243">
        <v>1</v>
      </c>
      <c r="CH24" s="241">
        <f t="shared" si="21"/>
        <v>136.6666666666666</v>
      </c>
      <c r="CI24" s="242">
        <f t="shared" si="22"/>
        <v>1126.4365369066666</v>
      </c>
      <c r="CJ24" s="244">
        <v>1</v>
      </c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</row>
    <row r="25" spans="1:133" s="223" customFormat="1" ht="27" customHeight="1" x14ac:dyDescent="0.3">
      <c r="A25" s="224" t="s">
        <v>262</v>
      </c>
      <c r="B25" s="225" t="s">
        <v>1254</v>
      </c>
      <c r="C25" s="226">
        <v>2.5519981999999999</v>
      </c>
      <c r="D25" s="470">
        <f>PARÂMETROS!$E$18*C25</f>
        <v>1118.5408110599999</v>
      </c>
      <c r="E25" s="470"/>
      <c r="F25" s="228">
        <v>0.86699999999999999</v>
      </c>
      <c r="G25" s="227">
        <f>F25*PARÂMETROS!$E$22</f>
        <v>36.734789999999997</v>
      </c>
      <c r="H25" s="228">
        <v>2E-3</v>
      </c>
      <c r="I25" s="227">
        <f>H25*PARÂMETROS!$E$22</f>
        <v>8.4739999999999996E-2</v>
      </c>
      <c r="J25" s="228">
        <f t="shared" si="0"/>
        <v>8.6699999999999999E-2</v>
      </c>
      <c r="K25" s="230">
        <f>J25*PARÂMETROS!$E$8</f>
        <v>2.6781630000000001</v>
      </c>
      <c r="L25" s="229">
        <f t="shared" si="1"/>
        <v>2.0000000000000001E-4</v>
      </c>
      <c r="M25" s="230">
        <f>L25*PARÂMETROS!$E$8</f>
        <v>6.1780000000000003E-3</v>
      </c>
      <c r="N25" s="231">
        <v>2.44</v>
      </c>
      <c r="O25" s="230">
        <f>N25*PARÂMETROS!$E$27</f>
        <v>7.32</v>
      </c>
      <c r="P25" s="170"/>
      <c r="Q25" s="191"/>
      <c r="R25" s="232" t="s">
        <v>1274</v>
      </c>
      <c r="S25" s="233">
        <f t="shared" si="2"/>
        <v>1118.63172906</v>
      </c>
      <c r="T25" s="43"/>
      <c r="U25" s="232" t="s">
        <v>1274</v>
      </c>
      <c r="V25" s="233">
        <f t="shared" si="3"/>
        <v>1158.04468206</v>
      </c>
      <c r="W25" s="43"/>
      <c r="X25" s="232" t="s">
        <v>1274</v>
      </c>
      <c r="Y25" s="233">
        <f t="shared" si="4"/>
        <v>1165.36468206</v>
      </c>
      <c r="Z25" s="43"/>
      <c r="AA25" s="232" t="s">
        <v>1274</v>
      </c>
      <c r="AB25" s="234">
        <f>PARÂMETROS!$H$3</f>
        <v>40</v>
      </c>
      <c r="AC25" s="235">
        <v>4.1666666666666699E-2</v>
      </c>
      <c r="AD25" s="235">
        <v>6.9444444444444397E-3</v>
      </c>
      <c r="AE25" s="235">
        <v>2.0833333333333301E-2</v>
      </c>
      <c r="AF25" s="235">
        <v>6.9444444444444397E-3</v>
      </c>
      <c r="AG25" s="236"/>
      <c r="AH25" s="236"/>
      <c r="AI25" s="235">
        <v>6.9444444444444397E-3</v>
      </c>
      <c r="AJ25" s="235">
        <v>3.125E-2</v>
      </c>
      <c r="AK25" s="237">
        <f t="shared" si="5"/>
        <v>0.11458333333333331</v>
      </c>
      <c r="AL25" s="234">
        <f t="shared" si="6"/>
        <v>109.99999999999997</v>
      </c>
      <c r="AM25" s="193"/>
      <c r="AN25" s="232" t="s">
        <v>1274</v>
      </c>
      <c r="AO25" s="234">
        <f>PARÂMETROS!$H$3</f>
        <v>40</v>
      </c>
      <c r="AP25" s="235">
        <v>4.1666666666666699E-2</v>
      </c>
      <c r="AQ25" s="235">
        <v>6.9444444444444397E-3</v>
      </c>
      <c r="AR25" s="235">
        <v>2.0833333333333301E-2</v>
      </c>
      <c r="AS25" s="235">
        <v>6.9444444444444397E-3</v>
      </c>
      <c r="AT25" s="235">
        <v>2.0833333333333301E-2</v>
      </c>
      <c r="AU25" s="236"/>
      <c r="AV25" s="235">
        <v>6.9444444444444397E-3</v>
      </c>
      <c r="AW25" s="235">
        <v>3.125E-2</v>
      </c>
      <c r="AX25" s="237">
        <f t="shared" si="7"/>
        <v>0.13541666666666663</v>
      </c>
      <c r="AY25" s="234">
        <f t="shared" si="8"/>
        <v>129.99999999999997</v>
      </c>
      <c r="AZ25" s="193"/>
      <c r="BA25" s="232" t="s">
        <v>1274</v>
      </c>
      <c r="BB25" s="234">
        <f>PARÂMETROS!$H$3</f>
        <v>40</v>
      </c>
      <c r="BC25" s="235">
        <v>4.1666666666666699E-2</v>
      </c>
      <c r="BD25" s="235">
        <v>6.9444444444444397E-3</v>
      </c>
      <c r="BE25" s="235">
        <v>2.0833333333333301E-2</v>
      </c>
      <c r="BF25" s="235">
        <v>6.9444444444444397E-3</v>
      </c>
      <c r="BG25" s="235">
        <v>2.0833333333333301E-2</v>
      </c>
      <c r="BH25" s="235">
        <v>6.9444444444444397E-3</v>
      </c>
      <c r="BI25" s="235">
        <v>6.9444444444444397E-3</v>
      </c>
      <c r="BJ25" s="235">
        <v>3.125E-2</v>
      </c>
      <c r="BK25" s="237">
        <f t="shared" si="9"/>
        <v>0.14236111111111105</v>
      </c>
      <c r="BL25" s="234">
        <f t="shared" si="10"/>
        <v>136.6666666666666</v>
      </c>
      <c r="BM25" s="43"/>
      <c r="BN25" s="232" t="s">
        <v>1274</v>
      </c>
      <c r="BO25" s="238">
        <f t="shared" si="11"/>
        <v>1118.63172906</v>
      </c>
      <c r="BP25" s="239">
        <f t="shared" si="12"/>
        <v>109.99999999999997</v>
      </c>
      <c r="BQ25" s="243">
        <v>1</v>
      </c>
      <c r="BR25" s="241">
        <f t="shared" si="13"/>
        <v>109.99999999999997</v>
      </c>
      <c r="BS25" s="242">
        <f t="shared" si="14"/>
        <v>1228.63172906</v>
      </c>
      <c r="BT25" s="240">
        <v>1</v>
      </c>
      <c r="BU25" s="43"/>
      <c r="BV25" s="232" t="s">
        <v>1274</v>
      </c>
      <c r="BW25" s="238">
        <f t="shared" si="15"/>
        <v>1158.04468206</v>
      </c>
      <c r="BX25" s="239">
        <f t="shared" si="16"/>
        <v>129.99999999999997</v>
      </c>
      <c r="BY25" s="243">
        <v>1</v>
      </c>
      <c r="BZ25" s="241">
        <f t="shared" si="17"/>
        <v>129.99999999999997</v>
      </c>
      <c r="CA25" s="242">
        <f t="shared" si="18"/>
        <v>1288.04468206</v>
      </c>
      <c r="CB25" s="240">
        <v>1</v>
      </c>
      <c r="CC25" s="23"/>
      <c r="CD25" s="232" t="s">
        <v>1274</v>
      </c>
      <c r="CE25" s="238">
        <f t="shared" si="19"/>
        <v>1165.36468206</v>
      </c>
      <c r="CF25" s="239">
        <f t="shared" si="20"/>
        <v>136.6666666666666</v>
      </c>
      <c r="CG25" s="243">
        <v>1</v>
      </c>
      <c r="CH25" s="241">
        <f t="shared" si="21"/>
        <v>136.6666666666666</v>
      </c>
      <c r="CI25" s="242">
        <f t="shared" si="22"/>
        <v>1302.0313487266665</v>
      </c>
      <c r="CJ25" s="244">
        <v>1</v>
      </c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</row>
    <row r="26" spans="1:133" s="223" customFormat="1" ht="27" customHeight="1" x14ac:dyDescent="0.3">
      <c r="A26" s="224" t="s">
        <v>266</v>
      </c>
      <c r="B26" s="225" t="s">
        <v>1254</v>
      </c>
      <c r="C26" s="226">
        <v>2.9870752</v>
      </c>
      <c r="D26" s="470">
        <f>PARÂMETROS!$E$18*C26</f>
        <v>1309.2350601600001</v>
      </c>
      <c r="E26" s="470"/>
      <c r="F26" s="228">
        <v>1</v>
      </c>
      <c r="G26" s="227">
        <f>F26*PARÂMETROS!$E$22</f>
        <v>42.37</v>
      </c>
      <c r="H26" s="228">
        <v>2E-3</v>
      </c>
      <c r="I26" s="227">
        <f>H26*PARÂMETROS!$E$22</f>
        <v>8.4739999999999996E-2</v>
      </c>
      <c r="J26" s="228">
        <f t="shared" si="0"/>
        <v>0.1</v>
      </c>
      <c r="K26" s="230">
        <f>J26*PARÂMETROS!$E$8</f>
        <v>3.0890000000000004</v>
      </c>
      <c r="L26" s="229">
        <f t="shared" si="1"/>
        <v>2.0000000000000001E-4</v>
      </c>
      <c r="M26" s="230">
        <f>L26*PARÂMETROS!$E$8</f>
        <v>6.1780000000000003E-3</v>
      </c>
      <c r="N26" s="231">
        <v>2.56</v>
      </c>
      <c r="O26" s="230">
        <f>N26*PARÂMETROS!$E$27</f>
        <v>7.68</v>
      </c>
      <c r="P26" s="170"/>
      <c r="Q26" s="191"/>
      <c r="R26" s="232" t="s">
        <v>1275</v>
      </c>
      <c r="S26" s="233">
        <f t="shared" si="2"/>
        <v>1309.3259781600002</v>
      </c>
      <c r="T26" s="43"/>
      <c r="U26" s="232" t="s">
        <v>1275</v>
      </c>
      <c r="V26" s="233">
        <f t="shared" si="3"/>
        <v>1354.78497816</v>
      </c>
      <c r="W26" s="43"/>
      <c r="X26" s="232" t="s">
        <v>1275</v>
      </c>
      <c r="Y26" s="233">
        <f t="shared" si="4"/>
        <v>1362.4649781600001</v>
      </c>
      <c r="Z26" s="43"/>
      <c r="AA26" s="232" t="s">
        <v>1275</v>
      </c>
      <c r="AB26" s="234">
        <f>PARÂMETROS!$H$3</f>
        <v>40</v>
      </c>
      <c r="AC26" s="235">
        <v>8.3333333333333301E-2</v>
      </c>
      <c r="AD26" s="235">
        <v>6.9444444444444397E-3</v>
      </c>
      <c r="AE26" s="235">
        <v>2.0833333333333301E-2</v>
      </c>
      <c r="AF26" s="235">
        <v>6.9444444444444397E-3</v>
      </c>
      <c r="AG26" s="236"/>
      <c r="AH26" s="236"/>
      <c r="AI26" s="235">
        <v>6.9444444444444397E-3</v>
      </c>
      <c r="AJ26" s="235">
        <v>3.125E-2</v>
      </c>
      <c r="AK26" s="237">
        <f t="shared" si="5"/>
        <v>0.15624999999999989</v>
      </c>
      <c r="AL26" s="234">
        <f t="shared" si="6"/>
        <v>149.99999999999989</v>
      </c>
      <c r="AM26" s="193"/>
      <c r="AN26" s="232" t="s">
        <v>1275</v>
      </c>
      <c r="AO26" s="234">
        <f>PARÂMETROS!$H$3</f>
        <v>40</v>
      </c>
      <c r="AP26" s="235">
        <v>8.3333333333333301E-2</v>
      </c>
      <c r="AQ26" s="235">
        <v>6.9444444444444397E-3</v>
      </c>
      <c r="AR26" s="235">
        <v>2.0833333333333301E-2</v>
      </c>
      <c r="AS26" s="235">
        <v>6.9444444444444397E-3</v>
      </c>
      <c r="AT26" s="235">
        <v>2.0833333333333301E-2</v>
      </c>
      <c r="AU26" s="236"/>
      <c r="AV26" s="235">
        <v>6.9444444444444397E-3</v>
      </c>
      <c r="AW26" s="235">
        <v>3.125E-2</v>
      </c>
      <c r="AX26" s="237">
        <f t="shared" si="7"/>
        <v>0.17708333333333323</v>
      </c>
      <c r="AY26" s="234">
        <f t="shared" si="8"/>
        <v>169.99999999999991</v>
      </c>
      <c r="AZ26" s="193"/>
      <c r="BA26" s="232" t="s">
        <v>1275</v>
      </c>
      <c r="BB26" s="234">
        <f>PARÂMETROS!$H$3</f>
        <v>40</v>
      </c>
      <c r="BC26" s="235">
        <v>8.3333333333333301E-2</v>
      </c>
      <c r="BD26" s="235">
        <v>6.9444444444444397E-3</v>
      </c>
      <c r="BE26" s="235">
        <v>2.0833333333333301E-2</v>
      </c>
      <c r="BF26" s="235">
        <v>6.9444444444444397E-3</v>
      </c>
      <c r="BG26" s="235">
        <v>2.0833333333333301E-2</v>
      </c>
      <c r="BH26" s="235">
        <v>6.9444444444444397E-3</v>
      </c>
      <c r="BI26" s="235">
        <v>6.9444444444444397E-3</v>
      </c>
      <c r="BJ26" s="235">
        <v>3.125E-2</v>
      </c>
      <c r="BK26" s="237">
        <f t="shared" si="9"/>
        <v>0.18402777777777768</v>
      </c>
      <c r="BL26" s="234">
        <f t="shared" si="10"/>
        <v>176.66666666666657</v>
      </c>
      <c r="BM26" s="43"/>
      <c r="BN26" s="232" t="s">
        <v>1275</v>
      </c>
      <c r="BO26" s="238">
        <f t="shared" si="11"/>
        <v>1309.3259781600002</v>
      </c>
      <c r="BP26" s="239">
        <f t="shared" si="12"/>
        <v>149.99999999999989</v>
      </c>
      <c r="BQ26" s="243">
        <v>1</v>
      </c>
      <c r="BR26" s="241">
        <f t="shared" si="13"/>
        <v>149.99999999999989</v>
      </c>
      <c r="BS26" s="242">
        <f t="shared" si="14"/>
        <v>1459.32597816</v>
      </c>
      <c r="BT26" s="240">
        <v>1</v>
      </c>
      <c r="BU26" s="43"/>
      <c r="BV26" s="232" t="s">
        <v>1275</v>
      </c>
      <c r="BW26" s="238">
        <f t="shared" si="15"/>
        <v>1354.78497816</v>
      </c>
      <c r="BX26" s="239">
        <f t="shared" si="16"/>
        <v>169.99999999999991</v>
      </c>
      <c r="BY26" s="243">
        <v>1</v>
      </c>
      <c r="BZ26" s="241">
        <f t="shared" si="17"/>
        <v>169.99999999999991</v>
      </c>
      <c r="CA26" s="242">
        <f t="shared" si="18"/>
        <v>1524.78497816</v>
      </c>
      <c r="CB26" s="240">
        <v>1</v>
      </c>
      <c r="CC26" s="23"/>
      <c r="CD26" s="232" t="s">
        <v>1275</v>
      </c>
      <c r="CE26" s="238">
        <f t="shared" si="19"/>
        <v>1362.4649781600001</v>
      </c>
      <c r="CF26" s="239">
        <f t="shared" si="20"/>
        <v>176.66666666666657</v>
      </c>
      <c r="CG26" s="243">
        <v>1</v>
      </c>
      <c r="CH26" s="241">
        <f t="shared" si="21"/>
        <v>176.66666666666657</v>
      </c>
      <c r="CI26" s="242">
        <f t="shared" si="22"/>
        <v>1539.1316448266666</v>
      </c>
      <c r="CJ26" s="244">
        <v>1</v>
      </c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</row>
    <row r="27" spans="1:133" s="223" customFormat="1" ht="27" customHeight="1" x14ac:dyDescent="0.3">
      <c r="A27" s="224" t="s">
        <v>270</v>
      </c>
      <c r="B27" s="225" t="s">
        <v>1254</v>
      </c>
      <c r="C27" s="226">
        <v>3.4689762000000002</v>
      </c>
      <c r="D27" s="470">
        <f>PARÂMETROS!$E$18*C27</f>
        <v>1520.4522684600001</v>
      </c>
      <c r="E27" s="470"/>
      <c r="F27" s="228">
        <v>1.08</v>
      </c>
      <c r="G27" s="227">
        <f>F27*PARÂMETROS!$E$22</f>
        <v>45.759599999999999</v>
      </c>
      <c r="H27" s="228">
        <v>2E-3</v>
      </c>
      <c r="I27" s="227">
        <f>H27*PARÂMETROS!$E$22</f>
        <v>8.4739999999999996E-2</v>
      </c>
      <c r="J27" s="228">
        <f t="shared" si="0"/>
        <v>0.10800000000000001</v>
      </c>
      <c r="K27" s="230">
        <f>J27*PARÂMETROS!$E$8</f>
        <v>3.3361200000000006</v>
      </c>
      <c r="L27" s="229">
        <f t="shared" si="1"/>
        <v>2.0000000000000001E-4</v>
      </c>
      <c r="M27" s="230">
        <f>L27*PARÂMETROS!$E$8</f>
        <v>6.1780000000000003E-3</v>
      </c>
      <c r="N27" s="231">
        <v>2.68</v>
      </c>
      <c r="O27" s="230">
        <f>N27*PARÂMETROS!$E$27</f>
        <v>8.0400000000000009</v>
      </c>
      <c r="P27" s="170"/>
      <c r="Q27" s="191"/>
      <c r="R27" s="232" t="s">
        <v>1276</v>
      </c>
      <c r="S27" s="233">
        <f t="shared" si="2"/>
        <v>1520.5431864600002</v>
      </c>
      <c r="T27" s="43"/>
      <c r="U27" s="232" t="s">
        <v>1276</v>
      </c>
      <c r="V27" s="233">
        <f t="shared" si="3"/>
        <v>1569.6389064600003</v>
      </c>
      <c r="W27" s="43"/>
      <c r="X27" s="232" t="s">
        <v>1276</v>
      </c>
      <c r="Y27" s="233">
        <f t="shared" si="4"/>
        <v>1577.6789064600002</v>
      </c>
      <c r="Z27" s="43"/>
      <c r="AA27" s="232" t="s">
        <v>1276</v>
      </c>
      <c r="AB27" s="234">
        <f>PARÂMETROS!$H$3</f>
        <v>40</v>
      </c>
      <c r="AC27" s="235">
        <v>8.3333333333333301E-2</v>
      </c>
      <c r="AD27" s="235">
        <v>6.9444444444444397E-3</v>
      </c>
      <c r="AE27" s="235">
        <v>2.0833333333333301E-2</v>
      </c>
      <c r="AF27" s="235">
        <v>6.9444444444444397E-3</v>
      </c>
      <c r="AG27" s="236"/>
      <c r="AH27" s="236"/>
      <c r="AI27" s="235">
        <v>6.9444444444444397E-3</v>
      </c>
      <c r="AJ27" s="235">
        <v>3.125E-2</v>
      </c>
      <c r="AK27" s="237">
        <f t="shared" si="5"/>
        <v>0.15624999999999989</v>
      </c>
      <c r="AL27" s="234">
        <f t="shared" si="6"/>
        <v>149.99999999999989</v>
      </c>
      <c r="AM27" s="193"/>
      <c r="AN27" s="232" t="s">
        <v>1276</v>
      </c>
      <c r="AO27" s="234">
        <f>PARÂMETROS!$H$3</f>
        <v>40</v>
      </c>
      <c r="AP27" s="235">
        <v>8.3333333333333301E-2</v>
      </c>
      <c r="AQ27" s="235">
        <v>6.9444444444444397E-3</v>
      </c>
      <c r="AR27" s="235">
        <v>2.0833333333333301E-2</v>
      </c>
      <c r="AS27" s="235">
        <v>6.9444444444444397E-3</v>
      </c>
      <c r="AT27" s="235">
        <v>2.0833333333333301E-2</v>
      </c>
      <c r="AU27" s="236"/>
      <c r="AV27" s="235">
        <v>6.9444444444444397E-3</v>
      </c>
      <c r="AW27" s="235">
        <v>3.125E-2</v>
      </c>
      <c r="AX27" s="237">
        <f t="shared" si="7"/>
        <v>0.17708333333333323</v>
      </c>
      <c r="AY27" s="234">
        <f t="shared" si="8"/>
        <v>169.99999999999991</v>
      </c>
      <c r="AZ27" s="193"/>
      <c r="BA27" s="232" t="s">
        <v>1276</v>
      </c>
      <c r="BB27" s="234">
        <f>PARÂMETROS!$H$3</f>
        <v>40</v>
      </c>
      <c r="BC27" s="235">
        <v>8.3333333333333301E-2</v>
      </c>
      <c r="BD27" s="235">
        <v>6.9444444444444397E-3</v>
      </c>
      <c r="BE27" s="235">
        <v>2.0833333333333301E-2</v>
      </c>
      <c r="BF27" s="235">
        <v>6.9444444444444397E-3</v>
      </c>
      <c r="BG27" s="235">
        <v>2.0833333333333301E-2</v>
      </c>
      <c r="BH27" s="235">
        <v>6.9444444444444397E-3</v>
      </c>
      <c r="BI27" s="235">
        <v>6.9444444444444397E-3</v>
      </c>
      <c r="BJ27" s="235">
        <v>3.125E-2</v>
      </c>
      <c r="BK27" s="237">
        <f t="shared" si="9"/>
        <v>0.18402777777777768</v>
      </c>
      <c r="BL27" s="234">
        <f t="shared" si="10"/>
        <v>176.66666666666657</v>
      </c>
      <c r="BM27" s="43"/>
      <c r="BN27" s="232" t="s">
        <v>1276</v>
      </c>
      <c r="BO27" s="238">
        <f t="shared" si="11"/>
        <v>1520.5431864600002</v>
      </c>
      <c r="BP27" s="239">
        <f t="shared" si="12"/>
        <v>149.99999999999989</v>
      </c>
      <c r="BQ27" s="243">
        <v>1</v>
      </c>
      <c r="BR27" s="241">
        <f t="shared" si="13"/>
        <v>149.99999999999989</v>
      </c>
      <c r="BS27" s="242">
        <f t="shared" si="14"/>
        <v>1670.54318646</v>
      </c>
      <c r="BT27" s="240">
        <v>1</v>
      </c>
      <c r="BU27" s="43"/>
      <c r="BV27" s="232" t="s">
        <v>1276</v>
      </c>
      <c r="BW27" s="238">
        <f t="shared" si="15"/>
        <v>1569.6389064600003</v>
      </c>
      <c r="BX27" s="239">
        <f t="shared" si="16"/>
        <v>169.99999999999991</v>
      </c>
      <c r="BY27" s="243">
        <v>1</v>
      </c>
      <c r="BZ27" s="241">
        <f t="shared" si="17"/>
        <v>169.99999999999991</v>
      </c>
      <c r="CA27" s="242">
        <f t="shared" si="18"/>
        <v>1739.6389064600003</v>
      </c>
      <c r="CB27" s="240">
        <v>1</v>
      </c>
      <c r="CC27" s="23"/>
      <c r="CD27" s="232" t="s">
        <v>1276</v>
      </c>
      <c r="CE27" s="238">
        <f t="shared" si="19"/>
        <v>1577.6789064600002</v>
      </c>
      <c r="CF27" s="239">
        <f t="shared" si="20"/>
        <v>176.66666666666657</v>
      </c>
      <c r="CG27" s="243">
        <v>1</v>
      </c>
      <c r="CH27" s="241">
        <f t="shared" si="21"/>
        <v>176.66666666666657</v>
      </c>
      <c r="CI27" s="242">
        <f t="shared" si="22"/>
        <v>1754.3455731266667</v>
      </c>
      <c r="CJ27" s="244">
        <v>1</v>
      </c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</row>
    <row r="28" spans="1:133" s="223" customFormat="1" ht="27" customHeight="1" x14ac:dyDescent="0.3">
      <c r="A28" s="224" t="s">
        <v>274</v>
      </c>
      <c r="B28" s="225" t="s">
        <v>1254</v>
      </c>
      <c r="C28" s="226">
        <v>4.0000939999999998</v>
      </c>
      <c r="D28" s="470">
        <f>PARÂMETROS!$E$18*C28</f>
        <v>1753.2412001999999</v>
      </c>
      <c r="E28" s="470"/>
      <c r="F28" s="228">
        <v>1.1619999999999999</v>
      </c>
      <c r="G28" s="227">
        <f>F28*PARÂMETROS!$E$22</f>
        <v>49.233939999999997</v>
      </c>
      <c r="H28" s="228">
        <v>2E-3</v>
      </c>
      <c r="I28" s="227">
        <f>H28*PARÂMETROS!$E$22</f>
        <v>8.4739999999999996E-2</v>
      </c>
      <c r="J28" s="228">
        <f t="shared" si="0"/>
        <v>0.1162</v>
      </c>
      <c r="K28" s="230">
        <f>J28*PARÂMETROS!$E$8</f>
        <v>3.5894179999999998</v>
      </c>
      <c r="L28" s="229">
        <f t="shared" si="1"/>
        <v>2.0000000000000001E-4</v>
      </c>
      <c r="M28" s="230">
        <f>L28*PARÂMETROS!$E$8</f>
        <v>6.1780000000000003E-3</v>
      </c>
      <c r="N28" s="231">
        <v>2.76</v>
      </c>
      <c r="O28" s="230">
        <f>N28*PARÂMETROS!$E$27</f>
        <v>8.2799999999999994</v>
      </c>
      <c r="P28" s="170"/>
      <c r="Q28" s="191"/>
      <c r="R28" s="232" t="s">
        <v>1277</v>
      </c>
      <c r="S28" s="233">
        <f t="shared" si="2"/>
        <v>1753.3321182</v>
      </c>
      <c r="T28" s="43"/>
      <c r="U28" s="232" t="s">
        <v>1277</v>
      </c>
      <c r="V28" s="233">
        <f t="shared" si="3"/>
        <v>1806.1554762000001</v>
      </c>
      <c r="W28" s="43"/>
      <c r="X28" s="232" t="s">
        <v>1277</v>
      </c>
      <c r="Y28" s="233">
        <f t="shared" si="4"/>
        <v>1814.4354762</v>
      </c>
      <c r="Z28" s="43"/>
      <c r="AA28" s="232" t="s">
        <v>1277</v>
      </c>
      <c r="AB28" s="234">
        <f>PARÂMETROS!$H$3</f>
        <v>40</v>
      </c>
      <c r="AC28" s="235">
        <v>8.3333333333333301E-2</v>
      </c>
      <c r="AD28" s="235">
        <v>6.9444444444444397E-3</v>
      </c>
      <c r="AE28" s="235">
        <v>2.0833333333333301E-2</v>
      </c>
      <c r="AF28" s="235">
        <v>6.9444444444444397E-3</v>
      </c>
      <c r="AG28" s="236"/>
      <c r="AH28" s="236"/>
      <c r="AI28" s="235">
        <v>6.9444444444444397E-3</v>
      </c>
      <c r="AJ28" s="235">
        <v>3.125E-2</v>
      </c>
      <c r="AK28" s="237">
        <f t="shared" si="5"/>
        <v>0.15624999999999989</v>
      </c>
      <c r="AL28" s="234">
        <f t="shared" si="6"/>
        <v>149.99999999999989</v>
      </c>
      <c r="AM28" s="193"/>
      <c r="AN28" s="232" t="s">
        <v>1277</v>
      </c>
      <c r="AO28" s="234">
        <f>PARÂMETROS!$H$3</f>
        <v>40</v>
      </c>
      <c r="AP28" s="235">
        <v>8.3333333333333301E-2</v>
      </c>
      <c r="AQ28" s="235">
        <v>6.9444444444444397E-3</v>
      </c>
      <c r="AR28" s="235">
        <v>2.0833333333333301E-2</v>
      </c>
      <c r="AS28" s="235">
        <v>6.9444444444444397E-3</v>
      </c>
      <c r="AT28" s="235">
        <v>2.0833333333333301E-2</v>
      </c>
      <c r="AU28" s="236"/>
      <c r="AV28" s="235">
        <v>6.9444444444444397E-3</v>
      </c>
      <c r="AW28" s="235">
        <v>3.125E-2</v>
      </c>
      <c r="AX28" s="237">
        <f t="shared" si="7"/>
        <v>0.17708333333333323</v>
      </c>
      <c r="AY28" s="234">
        <f t="shared" si="8"/>
        <v>169.99999999999991</v>
      </c>
      <c r="AZ28" s="193"/>
      <c r="BA28" s="232" t="s">
        <v>1277</v>
      </c>
      <c r="BB28" s="234">
        <f>PARÂMETROS!$H$3</f>
        <v>40</v>
      </c>
      <c r="BC28" s="235">
        <v>8.3333333333333301E-2</v>
      </c>
      <c r="BD28" s="235">
        <v>6.9444444444444397E-3</v>
      </c>
      <c r="BE28" s="235">
        <v>2.0833333333333301E-2</v>
      </c>
      <c r="BF28" s="235">
        <v>6.9444444444444397E-3</v>
      </c>
      <c r="BG28" s="235">
        <v>2.0833333333333301E-2</v>
      </c>
      <c r="BH28" s="235">
        <v>6.9444444444444397E-3</v>
      </c>
      <c r="BI28" s="235">
        <v>6.9444444444444397E-3</v>
      </c>
      <c r="BJ28" s="235">
        <v>3.125E-2</v>
      </c>
      <c r="BK28" s="237">
        <f t="shared" si="9"/>
        <v>0.18402777777777768</v>
      </c>
      <c r="BL28" s="234">
        <f t="shared" si="10"/>
        <v>176.66666666666657</v>
      </c>
      <c r="BM28" s="43"/>
      <c r="BN28" s="232" t="s">
        <v>1277</v>
      </c>
      <c r="BO28" s="238">
        <f t="shared" si="11"/>
        <v>1753.3321182</v>
      </c>
      <c r="BP28" s="239">
        <f t="shared" si="12"/>
        <v>149.99999999999989</v>
      </c>
      <c r="BQ28" s="243">
        <v>1</v>
      </c>
      <c r="BR28" s="241">
        <f t="shared" si="13"/>
        <v>149.99999999999989</v>
      </c>
      <c r="BS28" s="242">
        <f t="shared" si="14"/>
        <v>1903.3321182</v>
      </c>
      <c r="BT28" s="240">
        <v>1</v>
      </c>
      <c r="BU28" s="43"/>
      <c r="BV28" s="232" t="s">
        <v>1277</v>
      </c>
      <c r="BW28" s="238">
        <f t="shared" si="15"/>
        <v>1806.1554762000001</v>
      </c>
      <c r="BX28" s="239">
        <f t="shared" si="16"/>
        <v>169.99999999999991</v>
      </c>
      <c r="BY28" s="243">
        <v>1</v>
      </c>
      <c r="BZ28" s="241">
        <f t="shared" si="17"/>
        <v>169.99999999999991</v>
      </c>
      <c r="CA28" s="242">
        <f t="shared" si="18"/>
        <v>1976.1554762000001</v>
      </c>
      <c r="CB28" s="240">
        <v>1</v>
      </c>
      <c r="CC28" s="23"/>
      <c r="CD28" s="232" t="s">
        <v>1277</v>
      </c>
      <c r="CE28" s="238">
        <f t="shared" si="19"/>
        <v>1814.4354762</v>
      </c>
      <c r="CF28" s="239">
        <f t="shared" si="20"/>
        <v>176.66666666666657</v>
      </c>
      <c r="CG28" s="243">
        <v>1</v>
      </c>
      <c r="CH28" s="241">
        <f t="shared" si="21"/>
        <v>176.66666666666657</v>
      </c>
      <c r="CI28" s="242">
        <f t="shared" si="22"/>
        <v>1991.1021428666666</v>
      </c>
      <c r="CJ28" s="244">
        <v>1</v>
      </c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</row>
    <row r="29" spans="1:133" s="223" customFormat="1" ht="27" customHeight="1" x14ac:dyDescent="0.3">
      <c r="A29" s="224" t="s">
        <v>278</v>
      </c>
      <c r="B29" s="225" t="s">
        <v>1254</v>
      </c>
      <c r="C29" s="226">
        <v>4.582821</v>
      </c>
      <c r="D29" s="470">
        <f>PARÂMETROS!$E$18*C29</f>
        <v>2008.6504443000001</v>
      </c>
      <c r="E29" s="470"/>
      <c r="F29" s="228">
        <v>1.27</v>
      </c>
      <c r="G29" s="227">
        <f>F29*PARÂMETROS!$E$22</f>
        <v>53.809899999999999</v>
      </c>
      <c r="H29" s="228">
        <v>2E-3</v>
      </c>
      <c r="I29" s="227">
        <f>H29*PARÂMETROS!$E$22</f>
        <v>8.4739999999999996E-2</v>
      </c>
      <c r="J29" s="228">
        <f t="shared" si="0"/>
        <v>0.127</v>
      </c>
      <c r="K29" s="230">
        <f>J29*PARÂMETROS!$E$8</f>
        <v>3.9230300000000002</v>
      </c>
      <c r="L29" s="229">
        <f t="shared" si="1"/>
        <v>2.0000000000000001E-4</v>
      </c>
      <c r="M29" s="230">
        <f>L29*PARÂMETROS!$E$8</f>
        <v>6.1780000000000003E-3</v>
      </c>
      <c r="N29" s="231">
        <v>2.8</v>
      </c>
      <c r="O29" s="230">
        <f>N29*PARÂMETROS!$E$27</f>
        <v>8.3999999999999986</v>
      </c>
      <c r="P29" s="170"/>
      <c r="Q29" s="191"/>
      <c r="R29" s="232" t="s">
        <v>1278</v>
      </c>
      <c r="S29" s="233">
        <f t="shared" si="2"/>
        <v>2008.7413623000002</v>
      </c>
      <c r="T29" s="43"/>
      <c r="U29" s="232" t="s">
        <v>1278</v>
      </c>
      <c r="V29" s="233">
        <f t="shared" si="3"/>
        <v>2066.4742923000003</v>
      </c>
      <c r="W29" s="43"/>
      <c r="X29" s="232" t="s">
        <v>1278</v>
      </c>
      <c r="Y29" s="233">
        <f t="shared" si="4"/>
        <v>2074.8742923000004</v>
      </c>
      <c r="Z29" s="43"/>
      <c r="AA29" s="232" t="s">
        <v>1278</v>
      </c>
      <c r="AB29" s="234">
        <f>PARÂMETROS!$H$3</f>
        <v>40</v>
      </c>
      <c r="AC29" s="235">
        <v>8.3333333333333301E-2</v>
      </c>
      <c r="AD29" s="235">
        <v>6.9444444444444397E-3</v>
      </c>
      <c r="AE29" s="235">
        <v>2.0833333333333301E-2</v>
      </c>
      <c r="AF29" s="235">
        <v>6.9444444444444397E-3</v>
      </c>
      <c r="AG29" s="236"/>
      <c r="AH29" s="236"/>
      <c r="AI29" s="235">
        <v>6.9444444444444397E-3</v>
      </c>
      <c r="AJ29" s="235">
        <v>3.125E-2</v>
      </c>
      <c r="AK29" s="237">
        <f t="shared" si="5"/>
        <v>0.15624999999999989</v>
      </c>
      <c r="AL29" s="234">
        <f t="shared" si="6"/>
        <v>149.99999999999989</v>
      </c>
      <c r="AM29" s="193"/>
      <c r="AN29" s="232" t="s">
        <v>1278</v>
      </c>
      <c r="AO29" s="234">
        <f>PARÂMETROS!$H$3</f>
        <v>40</v>
      </c>
      <c r="AP29" s="235">
        <v>8.3333333333333301E-2</v>
      </c>
      <c r="AQ29" s="235">
        <v>6.9444444444444397E-3</v>
      </c>
      <c r="AR29" s="235">
        <v>2.0833333333333301E-2</v>
      </c>
      <c r="AS29" s="235">
        <v>6.9444444444444397E-3</v>
      </c>
      <c r="AT29" s="235">
        <v>2.0833333333333301E-2</v>
      </c>
      <c r="AU29" s="236"/>
      <c r="AV29" s="235">
        <v>6.9444444444444397E-3</v>
      </c>
      <c r="AW29" s="235">
        <v>3.125E-2</v>
      </c>
      <c r="AX29" s="237">
        <f t="shared" si="7"/>
        <v>0.17708333333333323</v>
      </c>
      <c r="AY29" s="234">
        <f t="shared" si="8"/>
        <v>169.99999999999991</v>
      </c>
      <c r="AZ29" s="193"/>
      <c r="BA29" s="232" t="s">
        <v>1278</v>
      </c>
      <c r="BB29" s="234">
        <f>PARÂMETROS!$H$3</f>
        <v>40</v>
      </c>
      <c r="BC29" s="235">
        <v>8.3333333333333301E-2</v>
      </c>
      <c r="BD29" s="235">
        <v>6.9444444444444397E-3</v>
      </c>
      <c r="BE29" s="235">
        <v>2.0833333333333301E-2</v>
      </c>
      <c r="BF29" s="235">
        <v>6.9444444444444397E-3</v>
      </c>
      <c r="BG29" s="235">
        <v>2.0833333333333301E-2</v>
      </c>
      <c r="BH29" s="235">
        <v>6.9444444444444397E-3</v>
      </c>
      <c r="BI29" s="235">
        <v>6.9444444444444397E-3</v>
      </c>
      <c r="BJ29" s="235">
        <v>3.125E-2</v>
      </c>
      <c r="BK29" s="237">
        <f t="shared" si="9"/>
        <v>0.18402777777777768</v>
      </c>
      <c r="BL29" s="234">
        <f t="shared" si="10"/>
        <v>176.66666666666657</v>
      </c>
      <c r="BM29" s="43"/>
      <c r="BN29" s="232" t="s">
        <v>1278</v>
      </c>
      <c r="BO29" s="238">
        <f t="shared" si="11"/>
        <v>2008.7413623000002</v>
      </c>
      <c r="BP29" s="239">
        <f t="shared" si="12"/>
        <v>149.99999999999989</v>
      </c>
      <c r="BQ29" s="243">
        <v>1</v>
      </c>
      <c r="BR29" s="241">
        <f t="shared" si="13"/>
        <v>149.99999999999989</v>
      </c>
      <c r="BS29" s="242">
        <f t="shared" si="14"/>
        <v>2158.7413623000002</v>
      </c>
      <c r="BT29" s="240">
        <v>1</v>
      </c>
      <c r="BU29" s="43"/>
      <c r="BV29" s="232" t="s">
        <v>1278</v>
      </c>
      <c r="BW29" s="238">
        <f t="shared" si="15"/>
        <v>2066.4742923000003</v>
      </c>
      <c r="BX29" s="239">
        <f t="shared" si="16"/>
        <v>169.99999999999991</v>
      </c>
      <c r="BY29" s="243">
        <v>1</v>
      </c>
      <c r="BZ29" s="241">
        <f t="shared" si="17"/>
        <v>169.99999999999991</v>
      </c>
      <c r="CA29" s="242">
        <f t="shared" si="18"/>
        <v>2236.4742923000003</v>
      </c>
      <c r="CB29" s="240">
        <v>1</v>
      </c>
      <c r="CC29" s="23"/>
      <c r="CD29" s="232" t="s">
        <v>1278</v>
      </c>
      <c r="CE29" s="238">
        <f t="shared" si="19"/>
        <v>2074.8742923000004</v>
      </c>
      <c r="CF29" s="239">
        <f t="shared" si="20"/>
        <v>176.66666666666657</v>
      </c>
      <c r="CG29" s="243">
        <v>1</v>
      </c>
      <c r="CH29" s="241">
        <f t="shared" si="21"/>
        <v>176.66666666666657</v>
      </c>
      <c r="CI29" s="242">
        <f t="shared" si="22"/>
        <v>2251.5409589666669</v>
      </c>
      <c r="CJ29" s="244">
        <v>1</v>
      </c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</row>
    <row r="30" spans="1:133" s="223" customFormat="1" ht="30.75" customHeight="1" x14ac:dyDescent="0.3">
      <c r="A30" s="224" t="s">
        <v>189</v>
      </c>
      <c r="B30" s="225" t="s">
        <v>1279</v>
      </c>
      <c r="C30" s="226">
        <v>3.6650000000000002E-4</v>
      </c>
      <c r="D30" s="470">
        <f>PARÂMETROS!$E$19*C30</f>
        <v>0.44182308000000003</v>
      </c>
      <c r="E30" s="470"/>
      <c r="F30" s="228">
        <v>2E-3</v>
      </c>
      <c r="G30" s="227">
        <f>F30*PARÂMETROS!$E$22</f>
        <v>8.4739999999999996E-2</v>
      </c>
      <c r="H30" s="228">
        <v>2E-3</v>
      </c>
      <c r="I30" s="227">
        <f>H30*PARÂMETROS!$E$22</f>
        <v>8.4739999999999996E-2</v>
      </c>
      <c r="J30" s="228">
        <f t="shared" si="0"/>
        <v>2.0000000000000001E-4</v>
      </c>
      <c r="K30" s="230">
        <f>J30*PARÂMETROS!$E$8</f>
        <v>6.1780000000000003E-3</v>
      </c>
      <c r="L30" s="229">
        <f t="shared" si="1"/>
        <v>2.0000000000000001E-4</v>
      </c>
      <c r="M30" s="230">
        <f>L30*PARÂMETROS!$E$8</f>
        <v>6.1780000000000003E-3</v>
      </c>
      <c r="N30" s="231">
        <v>0.3</v>
      </c>
      <c r="O30" s="230">
        <f>N30*PARÂMETROS!$E$27</f>
        <v>0.89999999999999991</v>
      </c>
      <c r="P30" s="170"/>
      <c r="Q30" s="191"/>
      <c r="R30" s="232" t="s">
        <v>1280</v>
      </c>
      <c r="S30" s="233">
        <f t="shared" si="2"/>
        <v>0.53274108000000009</v>
      </c>
      <c r="T30" s="43"/>
      <c r="U30" s="232" t="s">
        <v>1280</v>
      </c>
      <c r="V30" s="233">
        <f t="shared" si="3"/>
        <v>0.62365908000000014</v>
      </c>
      <c r="W30" s="43"/>
      <c r="X30" s="232" t="s">
        <v>1280</v>
      </c>
      <c r="Y30" s="233">
        <f t="shared" si="4"/>
        <v>1.5236590800000001</v>
      </c>
      <c r="Z30" s="43"/>
      <c r="AA30" s="232" t="s">
        <v>1280</v>
      </c>
      <c r="AB30" s="234">
        <f>PARÂMETROS!$H$3</f>
        <v>40</v>
      </c>
      <c r="AC30" s="235">
        <v>2.1527777777777798E-2</v>
      </c>
      <c r="AD30" s="235">
        <v>6.9444444444444397E-3</v>
      </c>
      <c r="AE30" s="235">
        <v>6.9444444444444397E-3</v>
      </c>
      <c r="AF30" s="235">
        <v>6.9444444444444397E-3</v>
      </c>
      <c r="AG30" s="236"/>
      <c r="AH30" s="236"/>
      <c r="AI30" s="235">
        <v>6.9444444444444397E-3</v>
      </c>
      <c r="AJ30" s="235">
        <v>3.125E-2</v>
      </c>
      <c r="AK30" s="237">
        <f t="shared" si="5"/>
        <v>8.0555555555555561E-2</v>
      </c>
      <c r="AL30" s="234">
        <f t="shared" si="6"/>
        <v>77.333333333333343</v>
      </c>
      <c r="AM30" s="193"/>
      <c r="AN30" s="232" t="s">
        <v>1280</v>
      </c>
      <c r="AO30" s="234">
        <f>PARÂMETROS!$H$3</f>
        <v>40</v>
      </c>
      <c r="AP30" s="235">
        <v>2.1527777777777798E-2</v>
      </c>
      <c r="AQ30" s="235">
        <v>6.9444444444444397E-3</v>
      </c>
      <c r="AR30" s="235">
        <v>6.9444444444444397E-3</v>
      </c>
      <c r="AS30" s="235">
        <v>6.9444444444444397E-3</v>
      </c>
      <c r="AT30" s="235">
        <v>2.0833333333333301E-2</v>
      </c>
      <c r="AU30" s="236"/>
      <c r="AV30" s="235">
        <v>6.9444444444444397E-3</v>
      </c>
      <c r="AW30" s="235">
        <v>3.125E-2</v>
      </c>
      <c r="AX30" s="237">
        <f t="shared" si="7"/>
        <v>0.10138888888888885</v>
      </c>
      <c r="AY30" s="234">
        <f t="shared" si="8"/>
        <v>97.333333333333286</v>
      </c>
      <c r="AZ30" s="193"/>
      <c r="BA30" s="232" t="s">
        <v>1280</v>
      </c>
      <c r="BB30" s="234">
        <f>PARÂMETROS!$H$3</f>
        <v>40</v>
      </c>
      <c r="BC30" s="235">
        <v>2.1527777777777798E-2</v>
      </c>
      <c r="BD30" s="235">
        <v>6.9444444444444397E-3</v>
      </c>
      <c r="BE30" s="235">
        <v>6.9444444444444397E-3</v>
      </c>
      <c r="BF30" s="235">
        <v>6.9444444444444397E-3</v>
      </c>
      <c r="BG30" s="235">
        <v>2.0833333333333301E-2</v>
      </c>
      <c r="BH30" s="235">
        <v>6.9444444444444397E-3</v>
      </c>
      <c r="BI30" s="235">
        <v>6.9444444444444397E-3</v>
      </c>
      <c r="BJ30" s="235">
        <v>3.125E-2</v>
      </c>
      <c r="BK30" s="237">
        <f t="shared" si="9"/>
        <v>0.10833333333333328</v>
      </c>
      <c r="BL30" s="234">
        <f t="shared" si="10"/>
        <v>103.99999999999994</v>
      </c>
      <c r="BM30" s="43"/>
      <c r="BN30" s="232" t="s">
        <v>1280</v>
      </c>
      <c r="BO30" s="238">
        <f t="shared" si="11"/>
        <v>0.53274108000000009</v>
      </c>
      <c r="BP30" s="239">
        <f t="shared" si="12"/>
        <v>77.333333333333343</v>
      </c>
      <c r="BQ30" s="243">
        <v>50</v>
      </c>
      <c r="BR30" s="241">
        <f t="shared" si="13"/>
        <v>1.5466666666666669</v>
      </c>
      <c r="BS30" s="242">
        <f t="shared" si="14"/>
        <v>2.0794077466666669</v>
      </c>
      <c r="BT30" s="240">
        <v>50</v>
      </c>
      <c r="BU30" s="43"/>
      <c r="BV30" s="232" t="s">
        <v>1280</v>
      </c>
      <c r="BW30" s="238">
        <f t="shared" si="15"/>
        <v>0.62365908000000014</v>
      </c>
      <c r="BX30" s="239">
        <f t="shared" si="16"/>
        <v>97.333333333333286</v>
      </c>
      <c r="BY30" s="243">
        <v>35</v>
      </c>
      <c r="BZ30" s="241">
        <f t="shared" si="17"/>
        <v>2.7809523809523795</v>
      </c>
      <c r="CA30" s="242">
        <f t="shared" si="18"/>
        <v>3.4046114609523794</v>
      </c>
      <c r="CB30" s="240">
        <v>35</v>
      </c>
      <c r="CC30" s="23"/>
      <c r="CD30" s="232" t="s">
        <v>1280</v>
      </c>
      <c r="CE30" s="238">
        <f t="shared" si="19"/>
        <v>1.5236590800000001</v>
      </c>
      <c r="CF30" s="239">
        <f t="shared" si="20"/>
        <v>103.99999999999994</v>
      </c>
      <c r="CG30" s="243">
        <v>5</v>
      </c>
      <c r="CH30" s="241">
        <f t="shared" si="21"/>
        <v>20.79999999999999</v>
      </c>
      <c r="CI30" s="242">
        <f t="shared" si="22"/>
        <v>22.323659079999992</v>
      </c>
      <c r="CJ30" s="244">
        <v>5</v>
      </c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</row>
    <row r="31" spans="1:133" s="223" customFormat="1" ht="30.75" customHeight="1" x14ac:dyDescent="0.3">
      <c r="A31" s="224" t="s">
        <v>196</v>
      </c>
      <c r="B31" s="225" t="s">
        <v>1279</v>
      </c>
      <c r="C31" s="226">
        <v>1.3734000000000001E-3</v>
      </c>
      <c r="D31" s="470">
        <f>PARÂMETROS!$E$19*C31</f>
        <v>1.6556611680000002</v>
      </c>
      <c r="E31" s="470"/>
      <c r="F31" s="228">
        <v>6.0000000000000001E-3</v>
      </c>
      <c r="G31" s="227">
        <f>F31*PARÂMETROS!$E$22</f>
        <v>0.25422</v>
      </c>
      <c r="H31" s="228">
        <v>2E-3</v>
      </c>
      <c r="I31" s="227">
        <f>H31*PARÂMETROS!$E$22</f>
        <v>8.4739999999999996E-2</v>
      </c>
      <c r="J31" s="228">
        <f t="shared" si="0"/>
        <v>6.0000000000000006E-4</v>
      </c>
      <c r="K31" s="230">
        <f>J31*PARÂMETROS!$E$8</f>
        <v>1.8534000000000002E-2</v>
      </c>
      <c r="L31" s="229">
        <f t="shared" si="1"/>
        <v>2.0000000000000001E-4</v>
      </c>
      <c r="M31" s="230">
        <f>L31*PARÂMETROS!$E$8</f>
        <v>6.1780000000000003E-3</v>
      </c>
      <c r="N31" s="231">
        <v>0.35</v>
      </c>
      <c r="O31" s="230">
        <f>N31*PARÂMETROS!$E$27</f>
        <v>1.0499999999999998</v>
      </c>
      <c r="P31" s="170"/>
      <c r="Q31" s="191"/>
      <c r="R31" s="232" t="s">
        <v>1281</v>
      </c>
      <c r="S31" s="233">
        <f t="shared" si="2"/>
        <v>1.7465791680000002</v>
      </c>
      <c r="T31" s="43"/>
      <c r="U31" s="232" t="s">
        <v>1281</v>
      </c>
      <c r="V31" s="233">
        <f t="shared" si="3"/>
        <v>2.0193331680000002</v>
      </c>
      <c r="W31" s="43"/>
      <c r="X31" s="232" t="s">
        <v>1281</v>
      </c>
      <c r="Y31" s="233">
        <f t="shared" si="4"/>
        <v>3.069333168</v>
      </c>
      <c r="Z31" s="43"/>
      <c r="AA31" s="232" t="s">
        <v>1281</v>
      </c>
      <c r="AB31" s="234">
        <f>PARÂMETROS!$H$3</f>
        <v>40</v>
      </c>
      <c r="AC31" s="235">
        <v>2.1527777777777798E-2</v>
      </c>
      <c r="AD31" s="235">
        <v>6.9444444444444397E-3</v>
      </c>
      <c r="AE31" s="235">
        <v>6.9444444444444397E-3</v>
      </c>
      <c r="AF31" s="235">
        <v>6.9444444444444397E-3</v>
      </c>
      <c r="AG31" s="236"/>
      <c r="AH31" s="236"/>
      <c r="AI31" s="235">
        <v>6.9444444444444397E-3</v>
      </c>
      <c r="AJ31" s="235">
        <v>3.125E-2</v>
      </c>
      <c r="AK31" s="237">
        <f t="shared" si="5"/>
        <v>8.0555555555555561E-2</v>
      </c>
      <c r="AL31" s="234">
        <f t="shared" si="6"/>
        <v>77.333333333333343</v>
      </c>
      <c r="AM31" s="193"/>
      <c r="AN31" s="232" t="s">
        <v>1281</v>
      </c>
      <c r="AO31" s="234">
        <f>PARÂMETROS!$H$3</f>
        <v>40</v>
      </c>
      <c r="AP31" s="235">
        <v>2.1527777777777798E-2</v>
      </c>
      <c r="AQ31" s="235">
        <v>6.9444444444444397E-3</v>
      </c>
      <c r="AR31" s="235">
        <v>6.9444444444444397E-3</v>
      </c>
      <c r="AS31" s="235">
        <v>6.9444444444444397E-3</v>
      </c>
      <c r="AT31" s="235">
        <v>2.0833333333333301E-2</v>
      </c>
      <c r="AU31" s="236"/>
      <c r="AV31" s="235">
        <v>6.9444444444444397E-3</v>
      </c>
      <c r="AW31" s="235">
        <v>3.125E-2</v>
      </c>
      <c r="AX31" s="237">
        <f t="shared" si="7"/>
        <v>0.10138888888888885</v>
      </c>
      <c r="AY31" s="234">
        <f t="shared" si="8"/>
        <v>97.333333333333286</v>
      </c>
      <c r="AZ31" s="193"/>
      <c r="BA31" s="232" t="s">
        <v>1281</v>
      </c>
      <c r="BB31" s="234">
        <f>PARÂMETROS!$H$3</f>
        <v>40</v>
      </c>
      <c r="BC31" s="235">
        <v>2.1527777777777798E-2</v>
      </c>
      <c r="BD31" s="235">
        <v>6.9444444444444397E-3</v>
      </c>
      <c r="BE31" s="235">
        <v>6.9444444444444397E-3</v>
      </c>
      <c r="BF31" s="235">
        <v>6.9444444444444397E-3</v>
      </c>
      <c r="BG31" s="235">
        <v>2.0833333333333301E-2</v>
      </c>
      <c r="BH31" s="235">
        <v>6.9444444444444397E-3</v>
      </c>
      <c r="BI31" s="235">
        <v>6.9444444444444397E-3</v>
      </c>
      <c r="BJ31" s="235">
        <v>3.125E-2</v>
      </c>
      <c r="BK31" s="237">
        <f t="shared" si="9"/>
        <v>0.10833333333333328</v>
      </c>
      <c r="BL31" s="234">
        <f t="shared" si="10"/>
        <v>103.99999999999994</v>
      </c>
      <c r="BM31" s="43"/>
      <c r="BN31" s="232" t="s">
        <v>1281</v>
      </c>
      <c r="BO31" s="238">
        <f t="shared" si="11"/>
        <v>1.7465791680000002</v>
      </c>
      <c r="BP31" s="239">
        <f t="shared" si="12"/>
        <v>77.333333333333343</v>
      </c>
      <c r="BQ31" s="243">
        <v>50</v>
      </c>
      <c r="BR31" s="241">
        <f t="shared" si="13"/>
        <v>1.5466666666666669</v>
      </c>
      <c r="BS31" s="242">
        <f t="shared" si="14"/>
        <v>3.2932458346666671</v>
      </c>
      <c r="BT31" s="240">
        <v>50</v>
      </c>
      <c r="BU31" s="43"/>
      <c r="BV31" s="232" t="s">
        <v>1281</v>
      </c>
      <c r="BW31" s="238">
        <f t="shared" si="15"/>
        <v>2.0193331680000002</v>
      </c>
      <c r="BX31" s="239">
        <f t="shared" si="16"/>
        <v>97.333333333333286</v>
      </c>
      <c r="BY31" s="243">
        <v>35</v>
      </c>
      <c r="BZ31" s="241">
        <f t="shared" si="17"/>
        <v>2.7809523809523795</v>
      </c>
      <c r="CA31" s="242">
        <f t="shared" si="18"/>
        <v>4.8002855489523792</v>
      </c>
      <c r="CB31" s="240">
        <v>35</v>
      </c>
      <c r="CC31" s="23"/>
      <c r="CD31" s="232" t="s">
        <v>1281</v>
      </c>
      <c r="CE31" s="238">
        <f t="shared" si="19"/>
        <v>3.069333168</v>
      </c>
      <c r="CF31" s="239">
        <f t="shared" si="20"/>
        <v>103.99999999999994</v>
      </c>
      <c r="CG31" s="243">
        <v>50</v>
      </c>
      <c r="CH31" s="241">
        <f t="shared" si="21"/>
        <v>2.0799999999999987</v>
      </c>
      <c r="CI31" s="242">
        <f t="shared" si="22"/>
        <v>5.1493331679999983</v>
      </c>
      <c r="CJ31" s="244">
        <v>20</v>
      </c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</row>
    <row r="32" spans="1:133" s="223" customFormat="1" ht="30.75" customHeight="1" x14ac:dyDescent="0.3">
      <c r="A32" s="224" t="s">
        <v>200</v>
      </c>
      <c r="B32" s="225" t="s">
        <v>1279</v>
      </c>
      <c r="C32" s="226">
        <v>3.3197999999999999E-3</v>
      </c>
      <c r="D32" s="470">
        <f>PARÂMETROS!$E$19*C32</f>
        <v>4.0020852959999997</v>
      </c>
      <c r="E32" s="470"/>
      <c r="F32" s="228">
        <v>0.01</v>
      </c>
      <c r="G32" s="227">
        <f>F32*PARÂMETROS!$E$22</f>
        <v>0.42369999999999997</v>
      </c>
      <c r="H32" s="228">
        <v>2E-3</v>
      </c>
      <c r="I32" s="227">
        <f>H32*PARÂMETROS!$E$22</f>
        <v>8.4739999999999996E-2</v>
      </c>
      <c r="J32" s="228">
        <f t="shared" si="0"/>
        <v>1E-3</v>
      </c>
      <c r="K32" s="230">
        <f>J32*PARÂMETROS!$E$8</f>
        <v>3.0890000000000001E-2</v>
      </c>
      <c r="L32" s="229">
        <f t="shared" si="1"/>
        <v>2.0000000000000001E-4</v>
      </c>
      <c r="M32" s="230">
        <f>L32*PARÂMETROS!$E$8</f>
        <v>6.1780000000000003E-3</v>
      </c>
      <c r="N32" s="231">
        <v>0.38</v>
      </c>
      <c r="O32" s="230">
        <f>N32*PARÂMETROS!$E$27</f>
        <v>1.1400000000000001</v>
      </c>
      <c r="P32" s="170"/>
      <c r="Q32" s="191"/>
      <c r="R32" s="232" t="s">
        <v>1282</v>
      </c>
      <c r="S32" s="233">
        <f t="shared" si="2"/>
        <v>4.093003296</v>
      </c>
      <c r="T32" s="43"/>
      <c r="U32" s="232" t="s">
        <v>1282</v>
      </c>
      <c r="V32" s="233">
        <f t="shared" si="3"/>
        <v>4.5475932960000005</v>
      </c>
      <c r="W32" s="43"/>
      <c r="X32" s="232" t="s">
        <v>1282</v>
      </c>
      <c r="Y32" s="233">
        <f t="shared" si="4"/>
        <v>5.6875932960000011</v>
      </c>
      <c r="Z32" s="43"/>
      <c r="AA32" s="232" t="s">
        <v>1282</v>
      </c>
      <c r="AB32" s="234">
        <f>PARÂMETROS!$H$3</f>
        <v>40</v>
      </c>
      <c r="AC32" s="235">
        <v>2.1527777777777798E-2</v>
      </c>
      <c r="AD32" s="235">
        <v>6.9444444444444397E-3</v>
      </c>
      <c r="AE32" s="235">
        <v>6.9444444444444397E-3</v>
      </c>
      <c r="AF32" s="235">
        <v>6.9444444444444397E-3</v>
      </c>
      <c r="AG32" s="236"/>
      <c r="AH32" s="236"/>
      <c r="AI32" s="235">
        <v>6.9444444444444397E-3</v>
      </c>
      <c r="AJ32" s="235">
        <v>3.125E-2</v>
      </c>
      <c r="AK32" s="237">
        <f t="shared" si="5"/>
        <v>8.0555555555555561E-2</v>
      </c>
      <c r="AL32" s="234">
        <f t="shared" si="6"/>
        <v>77.333333333333343</v>
      </c>
      <c r="AM32" s="193"/>
      <c r="AN32" s="232" t="s">
        <v>1282</v>
      </c>
      <c r="AO32" s="234">
        <f>PARÂMETROS!$H$3</f>
        <v>40</v>
      </c>
      <c r="AP32" s="235">
        <v>2.1527777777777798E-2</v>
      </c>
      <c r="AQ32" s="235">
        <v>6.9444444444444397E-3</v>
      </c>
      <c r="AR32" s="235">
        <v>6.9444444444444397E-3</v>
      </c>
      <c r="AS32" s="235">
        <v>6.9444444444444397E-3</v>
      </c>
      <c r="AT32" s="235">
        <v>2.0833333333333301E-2</v>
      </c>
      <c r="AU32" s="236"/>
      <c r="AV32" s="235">
        <v>6.9444444444444397E-3</v>
      </c>
      <c r="AW32" s="235">
        <v>3.125E-2</v>
      </c>
      <c r="AX32" s="237">
        <f t="shared" si="7"/>
        <v>0.10138888888888885</v>
      </c>
      <c r="AY32" s="234">
        <f t="shared" si="8"/>
        <v>97.333333333333286</v>
      </c>
      <c r="AZ32" s="193"/>
      <c r="BA32" s="232" t="s">
        <v>1282</v>
      </c>
      <c r="BB32" s="234">
        <f>PARÂMETROS!$H$3</f>
        <v>40</v>
      </c>
      <c r="BC32" s="235">
        <v>2.1527777777777798E-2</v>
      </c>
      <c r="BD32" s="235">
        <v>6.9444444444444397E-3</v>
      </c>
      <c r="BE32" s="235">
        <v>6.9444444444444397E-3</v>
      </c>
      <c r="BF32" s="235">
        <v>6.9444444444444397E-3</v>
      </c>
      <c r="BG32" s="235">
        <v>2.0833333333333301E-2</v>
      </c>
      <c r="BH32" s="235">
        <v>6.9444444444444397E-3</v>
      </c>
      <c r="BI32" s="235">
        <v>6.9444444444444397E-3</v>
      </c>
      <c r="BJ32" s="235">
        <v>3.125E-2</v>
      </c>
      <c r="BK32" s="237">
        <f t="shared" si="9"/>
        <v>0.10833333333333328</v>
      </c>
      <c r="BL32" s="234">
        <f t="shared" si="10"/>
        <v>103.99999999999994</v>
      </c>
      <c r="BM32" s="43"/>
      <c r="BN32" s="232" t="s">
        <v>1282</v>
      </c>
      <c r="BO32" s="238">
        <f t="shared" si="11"/>
        <v>4.093003296</v>
      </c>
      <c r="BP32" s="239">
        <f t="shared" si="12"/>
        <v>77.333333333333343</v>
      </c>
      <c r="BQ32" s="243">
        <v>30</v>
      </c>
      <c r="BR32" s="241">
        <f t="shared" si="13"/>
        <v>2.5777777777777779</v>
      </c>
      <c r="BS32" s="242">
        <f t="shared" si="14"/>
        <v>6.6707810737777784</v>
      </c>
      <c r="BT32" s="240">
        <v>30</v>
      </c>
      <c r="BU32" s="43"/>
      <c r="BV32" s="232" t="s">
        <v>1282</v>
      </c>
      <c r="BW32" s="238">
        <f t="shared" si="15"/>
        <v>4.5475932960000005</v>
      </c>
      <c r="BX32" s="239">
        <f t="shared" si="16"/>
        <v>97.333333333333286</v>
      </c>
      <c r="BY32" s="243">
        <v>25</v>
      </c>
      <c r="BZ32" s="241">
        <f t="shared" si="17"/>
        <v>3.8933333333333313</v>
      </c>
      <c r="CA32" s="242">
        <f t="shared" si="18"/>
        <v>8.4409266293333314</v>
      </c>
      <c r="CB32" s="240">
        <v>25</v>
      </c>
      <c r="CC32" s="23"/>
      <c r="CD32" s="232" t="s">
        <v>1282</v>
      </c>
      <c r="CE32" s="238">
        <f t="shared" si="19"/>
        <v>5.6875932960000011</v>
      </c>
      <c r="CF32" s="239">
        <f t="shared" si="20"/>
        <v>103.99999999999994</v>
      </c>
      <c r="CG32" s="243">
        <v>50</v>
      </c>
      <c r="CH32" s="241">
        <f t="shared" si="21"/>
        <v>2.0799999999999987</v>
      </c>
      <c r="CI32" s="242">
        <f t="shared" si="22"/>
        <v>7.7675932959999994</v>
      </c>
      <c r="CJ32" s="244">
        <v>20</v>
      </c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</row>
    <row r="33" spans="1:133" s="223" customFormat="1" ht="30.75" customHeight="1" x14ac:dyDescent="0.3">
      <c r="A33" s="224" t="s">
        <v>185</v>
      </c>
      <c r="B33" s="225" t="s">
        <v>1279</v>
      </c>
      <c r="C33" s="226">
        <v>6.5046000000000001E-3</v>
      </c>
      <c r="D33" s="470">
        <f>PARÂMETROS!$E$19*C33</f>
        <v>7.8414253919999997</v>
      </c>
      <c r="E33" s="470"/>
      <c r="F33" s="228">
        <v>1.6E-2</v>
      </c>
      <c r="G33" s="227">
        <f>F33*PARÂMETROS!$E$22</f>
        <v>0.67791999999999997</v>
      </c>
      <c r="H33" s="228">
        <v>2E-3</v>
      </c>
      <c r="I33" s="227">
        <f>H33*PARÂMETROS!$E$22</f>
        <v>8.4739999999999996E-2</v>
      </c>
      <c r="J33" s="228">
        <f t="shared" si="0"/>
        <v>1.6000000000000001E-3</v>
      </c>
      <c r="K33" s="230">
        <f>J33*PARÂMETROS!$E$8</f>
        <v>4.9424000000000003E-2</v>
      </c>
      <c r="L33" s="229">
        <f t="shared" si="1"/>
        <v>2.0000000000000001E-4</v>
      </c>
      <c r="M33" s="230">
        <f>L33*PARÂMETROS!$E$8</f>
        <v>6.1780000000000003E-3</v>
      </c>
      <c r="N33" s="231">
        <v>0.46</v>
      </c>
      <c r="O33" s="230">
        <f>N33*PARÂMETROS!$E$27</f>
        <v>1.3800000000000001</v>
      </c>
      <c r="P33" s="170"/>
      <c r="Q33" s="191"/>
      <c r="R33" s="232" t="s">
        <v>1283</v>
      </c>
      <c r="S33" s="233">
        <f t="shared" si="2"/>
        <v>7.9323433919999999</v>
      </c>
      <c r="T33" s="43"/>
      <c r="U33" s="232" t="s">
        <v>1283</v>
      </c>
      <c r="V33" s="233">
        <f t="shared" si="3"/>
        <v>8.6596873920000004</v>
      </c>
      <c r="W33" s="43"/>
      <c r="X33" s="232" t="s">
        <v>1283</v>
      </c>
      <c r="Y33" s="233">
        <f t="shared" si="4"/>
        <v>10.039687392000001</v>
      </c>
      <c r="Z33" s="43"/>
      <c r="AA33" s="232" t="s">
        <v>1283</v>
      </c>
      <c r="AB33" s="234">
        <f>PARÂMETROS!$H$3</f>
        <v>40</v>
      </c>
      <c r="AC33" s="235">
        <v>2.1527777777777798E-2</v>
      </c>
      <c r="AD33" s="235">
        <v>6.9444444444444397E-3</v>
      </c>
      <c r="AE33" s="235">
        <v>6.9444444444444397E-3</v>
      </c>
      <c r="AF33" s="235">
        <v>6.9444444444444397E-3</v>
      </c>
      <c r="AG33" s="236"/>
      <c r="AH33" s="236"/>
      <c r="AI33" s="235">
        <v>6.9444444444444397E-3</v>
      </c>
      <c r="AJ33" s="235">
        <v>3.125E-2</v>
      </c>
      <c r="AK33" s="237">
        <f t="shared" si="5"/>
        <v>8.0555555555555561E-2</v>
      </c>
      <c r="AL33" s="234">
        <f t="shared" si="6"/>
        <v>77.333333333333343</v>
      </c>
      <c r="AM33" s="193"/>
      <c r="AN33" s="232" t="s">
        <v>1283</v>
      </c>
      <c r="AO33" s="234">
        <f>PARÂMETROS!$H$3</f>
        <v>40</v>
      </c>
      <c r="AP33" s="235">
        <v>2.1527777777777798E-2</v>
      </c>
      <c r="AQ33" s="235">
        <v>6.9444444444444397E-3</v>
      </c>
      <c r="AR33" s="235">
        <v>6.9444444444444397E-3</v>
      </c>
      <c r="AS33" s="235">
        <v>6.9444444444444397E-3</v>
      </c>
      <c r="AT33" s="235">
        <v>2.0833333333333301E-2</v>
      </c>
      <c r="AU33" s="236"/>
      <c r="AV33" s="235">
        <v>6.9444444444444397E-3</v>
      </c>
      <c r="AW33" s="235">
        <v>3.125E-2</v>
      </c>
      <c r="AX33" s="237">
        <f t="shared" si="7"/>
        <v>0.10138888888888885</v>
      </c>
      <c r="AY33" s="234">
        <f t="shared" si="8"/>
        <v>97.333333333333286</v>
      </c>
      <c r="AZ33" s="193"/>
      <c r="BA33" s="232" t="s">
        <v>1283</v>
      </c>
      <c r="BB33" s="234">
        <f>PARÂMETROS!$H$3</f>
        <v>40</v>
      </c>
      <c r="BC33" s="235">
        <v>2.1527777777777798E-2</v>
      </c>
      <c r="BD33" s="235">
        <v>6.9444444444444397E-3</v>
      </c>
      <c r="BE33" s="235">
        <v>6.9444444444444397E-3</v>
      </c>
      <c r="BF33" s="235">
        <v>6.9444444444444397E-3</v>
      </c>
      <c r="BG33" s="235">
        <v>2.0833333333333301E-2</v>
      </c>
      <c r="BH33" s="235">
        <v>6.9444444444444397E-3</v>
      </c>
      <c r="BI33" s="235">
        <v>6.9444444444444397E-3</v>
      </c>
      <c r="BJ33" s="235">
        <v>3.125E-2</v>
      </c>
      <c r="BK33" s="237">
        <f t="shared" si="9"/>
        <v>0.10833333333333328</v>
      </c>
      <c r="BL33" s="234">
        <f t="shared" si="10"/>
        <v>103.99999999999994</v>
      </c>
      <c r="BM33" s="43"/>
      <c r="BN33" s="232" t="s">
        <v>1283</v>
      </c>
      <c r="BO33" s="238">
        <f t="shared" si="11"/>
        <v>7.9323433919999999</v>
      </c>
      <c r="BP33" s="239">
        <f t="shared" si="12"/>
        <v>77.333333333333343</v>
      </c>
      <c r="BQ33" s="243">
        <v>4</v>
      </c>
      <c r="BR33" s="241">
        <f t="shared" si="13"/>
        <v>19.333333333333336</v>
      </c>
      <c r="BS33" s="242">
        <f t="shared" si="14"/>
        <v>27.265676725333336</v>
      </c>
      <c r="BT33" s="240">
        <v>30</v>
      </c>
      <c r="BU33" s="43"/>
      <c r="BV33" s="232" t="s">
        <v>1283</v>
      </c>
      <c r="BW33" s="238">
        <f t="shared" si="15"/>
        <v>8.6596873920000004</v>
      </c>
      <c r="BX33" s="239">
        <f t="shared" si="16"/>
        <v>97.333333333333286</v>
      </c>
      <c r="BY33" s="243">
        <v>25</v>
      </c>
      <c r="BZ33" s="241">
        <f t="shared" si="17"/>
        <v>3.8933333333333313</v>
      </c>
      <c r="CA33" s="242">
        <f t="shared" si="18"/>
        <v>12.553020725333331</v>
      </c>
      <c r="CB33" s="240">
        <v>25</v>
      </c>
      <c r="CC33" s="23"/>
      <c r="CD33" s="232" t="s">
        <v>1283</v>
      </c>
      <c r="CE33" s="238">
        <f t="shared" si="19"/>
        <v>10.039687392000001</v>
      </c>
      <c r="CF33" s="239">
        <f t="shared" si="20"/>
        <v>103.99999999999994</v>
      </c>
      <c r="CG33" s="243">
        <v>30</v>
      </c>
      <c r="CH33" s="241">
        <f t="shared" si="21"/>
        <v>3.4666666666666646</v>
      </c>
      <c r="CI33" s="242">
        <f t="shared" si="22"/>
        <v>13.506354058666666</v>
      </c>
      <c r="CJ33" s="244">
        <v>15</v>
      </c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</row>
    <row r="34" spans="1:133" s="223" customFormat="1" ht="30.75" customHeight="1" x14ac:dyDescent="0.3">
      <c r="A34" s="224" t="s">
        <v>39</v>
      </c>
      <c r="B34" s="225" t="s">
        <v>1279</v>
      </c>
      <c r="C34" s="226">
        <v>1.7786099999999999E-2</v>
      </c>
      <c r="D34" s="470">
        <f>PARÂMETROS!$E$19*C34</f>
        <v>21.441499271999998</v>
      </c>
      <c r="E34" s="470"/>
      <c r="F34" s="228">
        <v>3.1E-2</v>
      </c>
      <c r="G34" s="227">
        <f>F34*PARÂMETROS!$E$22</f>
        <v>1.3134699999999999</v>
      </c>
      <c r="H34" s="228">
        <v>2E-3</v>
      </c>
      <c r="I34" s="227">
        <f>H34*PARÂMETROS!$E$22</f>
        <v>8.4739999999999996E-2</v>
      </c>
      <c r="J34" s="228">
        <f t="shared" si="0"/>
        <v>3.1000000000000003E-3</v>
      </c>
      <c r="K34" s="230">
        <f>J34*PARÂMETROS!$E$8</f>
        <v>9.5759000000000011E-2</v>
      </c>
      <c r="L34" s="229">
        <f t="shared" si="1"/>
        <v>2.0000000000000001E-4</v>
      </c>
      <c r="M34" s="230">
        <f>L34*PARÂMETROS!$E$8</f>
        <v>6.1780000000000003E-3</v>
      </c>
      <c r="N34" s="231">
        <v>0.86</v>
      </c>
      <c r="O34" s="230">
        <f>N34*PARÂMETROS!$E$27</f>
        <v>2.58</v>
      </c>
      <c r="P34" s="170"/>
      <c r="Q34" s="191"/>
      <c r="R34" s="232" t="s">
        <v>1284</v>
      </c>
      <c r="S34" s="233">
        <f t="shared" si="2"/>
        <v>21.532417271999996</v>
      </c>
      <c r="T34" s="43"/>
      <c r="U34" s="232" t="s">
        <v>1284</v>
      </c>
      <c r="V34" s="233">
        <f t="shared" si="3"/>
        <v>22.941646271999996</v>
      </c>
      <c r="W34" s="43"/>
      <c r="X34" s="232" t="s">
        <v>1284</v>
      </c>
      <c r="Y34" s="233">
        <f t="shared" si="4"/>
        <v>25.521646271999998</v>
      </c>
      <c r="Z34" s="43"/>
      <c r="AA34" s="232" t="s">
        <v>1284</v>
      </c>
      <c r="AB34" s="234">
        <f>PARÂMETROS!$H$3</f>
        <v>40</v>
      </c>
      <c r="AC34" s="235">
        <v>2.1527777777777798E-2</v>
      </c>
      <c r="AD34" s="235">
        <v>6.9444444444444397E-3</v>
      </c>
      <c r="AE34" s="235">
        <v>6.9444444444444397E-3</v>
      </c>
      <c r="AF34" s="235">
        <v>6.9444444444444397E-3</v>
      </c>
      <c r="AG34" s="236"/>
      <c r="AH34" s="236"/>
      <c r="AI34" s="235">
        <v>6.9444444444444397E-3</v>
      </c>
      <c r="AJ34" s="235">
        <v>3.125E-2</v>
      </c>
      <c r="AK34" s="237">
        <f t="shared" si="5"/>
        <v>8.0555555555555561E-2</v>
      </c>
      <c r="AL34" s="234">
        <f t="shared" si="6"/>
        <v>77.333333333333343</v>
      </c>
      <c r="AM34" s="193"/>
      <c r="AN34" s="232" t="s">
        <v>1284</v>
      </c>
      <c r="AO34" s="234">
        <f>PARÂMETROS!$H$3</f>
        <v>40</v>
      </c>
      <c r="AP34" s="235">
        <v>2.1527777777777798E-2</v>
      </c>
      <c r="AQ34" s="235">
        <v>6.9444444444444397E-3</v>
      </c>
      <c r="AR34" s="235">
        <v>6.9444444444444397E-3</v>
      </c>
      <c r="AS34" s="235">
        <v>6.9444444444444397E-3</v>
      </c>
      <c r="AT34" s="235">
        <v>2.0833333333333301E-2</v>
      </c>
      <c r="AU34" s="236"/>
      <c r="AV34" s="235">
        <v>6.9444444444444397E-3</v>
      </c>
      <c r="AW34" s="235">
        <v>3.125E-2</v>
      </c>
      <c r="AX34" s="237">
        <f t="shared" si="7"/>
        <v>0.10138888888888885</v>
      </c>
      <c r="AY34" s="234">
        <f t="shared" si="8"/>
        <v>97.333333333333286</v>
      </c>
      <c r="AZ34" s="193"/>
      <c r="BA34" s="232" t="s">
        <v>1284</v>
      </c>
      <c r="BB34" s="234">
        <f>PARÂMETROS!$H$3</f>
        <v>40</v>
      </c>
      <c r="BC34" s="235">
        <v>2.1527777777777798E-2</v>
      </c>
      <c r="BD34" s="235">
        <v>6.9444444444444397E-3</v>
      </c>
      <c r="BE34" s="235">
        <v>6.9444444444444397E-3</v>
      </c>
      <c r="BF34" s="235">
        <v>6.9444444444444397E-3</v>
      </c>
      <c r="BG34" s="235">
        <v>2.0833333333333301E-2</v>
      </c>
      <c r="BH34" s="235">
        <v>6.9444444444444397E-3</v>
      </c>
      <c r="BI34" s="235">
        <v>6.9444444444444397E-3</v>
      </c>
      <c r="BJ34" s="235">
        <v>3.125E-2</v>
      </c>
      <c r="BK34" s="237">
        <f t="shared" si="9"/>
        <v>0.10833333333333328</v>
      </c>
      <c r="BL34" s="234">
        <f t="shared" si="10"/>
        <v>103.99999999999994</v>
      </c>
      <c r="BM34" s="43"/>
      <c r="BN34" s="232" t="s">
        <v>1284</v>
      </c>
      <c r="BO34" s="238">
        <f t="shared" si="11"/>
        <v>21.532417271999996</v>
      </c>
      <c r="BP34" s="239">
        <f t="shared" si="12"/>
        <v>77.333333333333343</v>
      </c>
      <c r="BQ34" s="243">
        <v>30</v>
      </c>
      <c r="BR34" s="241">
        <f t="shared" si="13"/>
        <v>2.5777777777777779</v>
      </c>
      <c r="BS34" s="242">
        <f t="shared" si="14"/>
        <v>24.110195049777776</v>
      </c>
      <c r="BT34" s="240">
        <v>30</v>
      </c>
      <c r="BU34" s="43"/>
      <c r="BV34" s="232" t="s">
        <v>1284</v>
      </c>
      <c r="BW34" s="238">
        <f t="shared" si="15"/>
        <v>22.941646271999996</v>
      </c>
      <c r="BX34" s="239">
        <f t="shared" si="16"/>
        <v>97.333333333333286</v>
      </c>
      <c r="BY34" s="243">
        <v>25</v>
      </c>
      <c r="BZ34" s="241">
        <f t="shared" si="17"/>
        <v>3.8933333333333313</v>
      </c>
      <c r="CA34" s="242">
        <f t="shared" si="18"/>
        <v>26.834979605333327</v>
      </c>
      <c r="CB34" s="240">
        <v>25</v>
      </c>
      <c r="CC34" s="23"/>
      <c r="CD34" s="232" t="s">
        <v>1284</v>
      </c>
      <c r="CE34" s="238">
        <f t="shared" si="19"/>
        <v>25.521646271999998</v>
      </c>
      <c r="CF34" s="239">
        <f t="shared" si="20"/>
        <v>103.99999999999994</v>
      </c>
      <c r="CG34" s="243">
        <v>20</v>
      </c>
      <c r="CH34" s="241">
        <f t="shared" si="21"/>
        <v>5.1999999999999975</v>
      </c>
      <c r="CI34" s="242">
        <f t="shared" si="22"/>
        <v>30.721646271999994</v>
      </c>
      <c r="CJ34" s="244">
        <v>15</v>
      </c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</row>
    <row r="35" spans="1:133" s="223" customFormat="1" ht="30.75" customHeight="1" x14ac:dyDescent="0.3">
      <c r="A35" s="224" t="s">
        <v>300</v>
      </c>
      <c r="B35" s="225" t="s">
        <v>1279</v>
      </c>
      <c r="C35" s="226">
        <v>2.6480900000000002E-2</v>
      </c>
      <c r="D35" s="470">
        <f>PARÂMETROS!$E$19*C35</f>
        <v>31.923254568000001</v>
      </c>
      <c r="E35" s="470"/>
      <c r="F35" s="228">
        <v>3.6999999999999998E-2</v>
      </c>
      <c r="G35" s="227">
        <f>F35*PARÂMETROS!$E$22</f>
        <v>1.5676899999999998</v>
      </c>
      <c r="H35" s="228">
        <v>2E-3</v>
      </c>
      <c r="I35" s="227">
        <f>H35*PARÂMETROS!$E$22</f>
        <v>8.4739999999999996E-2</v>
      </c>
      <c r="J35" s="228">
        <f t="shared" si="0"/>
        <v>3.7000000000000002E-3</v>
      </c>
      <c r="K35" s="230">
        <f>J35*PARÂMETROS!$E$8</f>
        <v>0.11429300000000001</v>
      </c>
      <c r="L35" s="229">
        <f t="shared" si="1"/>
        <v>2.0000000000000001E-4</v>
      </c>
      <c r="M35" s="230">
        <f>L35*PARÂMETROS!$E$8</f>
        <v>6.1780000000000003E-3</v>
      </c>
      <c r="N35" s="231">
        <v>0.9</v>
      </c>
      <c r="O35" s="230">
        <f>N35*PARÂMETROS!$E$27</f>
        <v>2.7</v>
      </c>
      <c r="P35" s="170"/>
      <c r="Q35" s="191"/>
      <c r="R35" s="232" t="s">
        <v>1285</v>
      </c>
      <c r="S35" s="233">
        <f t="shared" si="2"/>
        <v>32.014172567999999</v>
      </c>
      <c r="T35" s="43"/>
      <c r="U35" s="232" t="s">
        <v>1285</v>
      </c>
      <c r="V35" s="233">
        <f t="shared" si="3"/>
        <v>33.696155568000002</v>
      </c>
      <c r="W35" s="43"/>
      <c r="X35" s="232" t="s">
        <v>1285</v>
      </c>
      <c r="Y35" s="233">
        <f t="shared" si="4"/>
        <v>36.396155568000005</v>
      </c>
      <c r="Z35" s="43"/>
      <c r="AA35" s="232" t="s">
        <v>1285</v>
      </c>
      <c r="AB35" s="234">
        <f>PARÂMETROS!$H$3</f>
        <v>40</v>
      </c>
      <c r="AC35" s="235">
        <v>2.1527777777777798E-2</v>
      </c>
      <c r="AD35" s="235">
        <v>6.9444444444444397E-3</v>
      </c>
      <c r="AE35" s="235">
        <v>1.0416666666666701E-2</v>
      </c>
      <c r="AF35" s="235">
        <v>6.9444444444444397E-3</v>
      </c>
      <c r="AG35" s="236"/>
      <c r="AH35" s="236"/>
      <c r="AI35" s="235">
        <v>6.9444444444444397E-3</v>
      </c>
      <c r="AJ35" s="235">
        <v>3.125E-2</v>
      </c>
      <c r="AK35" s="237">
        <f t="shared" si="5"/>
        <v>8.4027777777777812E-2</v>
      </c>
      <c r="AL35" s="234">
        <f t="shared" si="6"/>
        <v>80.6666666666667</v>
      </c>
      <c r="AM35" s="193"/>
      <c r="AN35" s="232" t="s">
        <v>1285</v>
      </c>
      <c r="AO35" s="234">
        <f>PARÂMETROS!$H$3</f>
        <v>40</v>
      </c>
      <c r="AP35" s="235">
        <v>2.1527777777777798E-2</v>
      </c>
      <c r="AQ35" s="235">
        <v>6.9444444444444397E-3</v>
      </c>
      <c r="AR35" s="235">
        <v>1.0416666666666701E-2</v>
      </c>
      <c r="AS35" s="235">
        <v>6.9444444444444397E-3</v>
      </c>
      <c r="AT35" s="235">
        <v>2.0833333333333301E-2</v>
      </c>
      <c r="AU35" s="236"/>
      <c r="AV35" s="235">
        <v>6.9444444444444397E-3</v>
      </c>
      <c r="AW35" s="235">
        <v>3.125E-2</v>
      </c>
      <c r="AX35" s="237">
        <f t="shared" si="7"/>
        <v>0.10486111111111111</v>
      </c>
      <c r="AY35" s="234">
        <f t="shared" si="8"/>
        <v>100.66666666666667</v>
      </c>
      <c r="AZ35" s="193"/>
      <c r="BA35" s="232" t="s">
        <v>1285</v>
      </c>
      <c r="BB35" s="234">
        <f>PARÂMETROS!$H$3</f>
        <v>40</v>
      </c>
      <c r="BC35" s="235">
        <v>2.1527777777777798E-2</v>
      </c>
      <c r="BD35" s="235">
        <v>6.9444444444444397E-3</v>
      </c>
      <c r="BE35" s="235">
        <v>1.0416666666666701E-2</v>
      </c>
      <c r="BF35" s="235">
        <v>6.9444444444444397E-3</v>
      </c>
      <c r="BG35" s="235">
        <v>2.0833333333333301E-2</v>
      </c>
      <c r="BH35" s="235">
        <v>6.9444444444444397E-3</v>
      </c>
      <c r="BI35" s="235">
        <v>6.9444444444444397E-3</v>
      </c>
      <c r="BJ35" s="235">
        <v>3.125E-2</v>
      </c>
      <c r="BK35" s="237">
        <f t="shared" si="9"/>
        <v>0.11180555555555555</v>
      </c>
      <c r="BL35" s="234">
        <f t="shared" si="10"/>
        <v>107.33333333333331</v>
      </c>
      <c r="BM35" s="43"/>
      <c r="BN35" s="232" t="s">
        <v>1285</v>
      </c>
      <c r="BO35" s="238">
        <f t="shared" si="11"/>
        <v>32.014172567999999</v>
      </c>
      <c r="BP35" s="239">
        <f t="shared" si="12"/>
        <v>80.6666666666667</v>
      </c>
      <c r="BQ35" s="243">
        <v>30</v>
      </c>
      <c r="BR35" s="241">
        <f t="shared" si="13"/>
        <v>2.68888888888889</v>
      </c>
      <c r="BS35" s="242">
        <f t="shared" si="14"/>
        <v>34.703061456888889</v>
      </c>
      <c r="BT35" s="240">
        <v>30</v>
      </c>
      <c r="BU35" s="43"/>
      <c r="BV35" s="232" t="s">
        <v>1285</v>
      </c>
      <c r="BW35" s="238">
        <f t="shared" si="15"/>
        <v>33.696155568000002</v>
      </c>
      <c r="BX35" s="239">
        <f t="shared" si="16"/>
        <v>100.66666666666667</v>
      </c>
      <c r="BY35" s="243">
        <v>25</v>
      </c>
      <c r="BZ35" s="241">
        <f t="shared" si="17"/>
        <v>4.0266666666666673</v>
      </c>
      <c r="CA35" s="242">
        <f t="shared" si="18"/>
        <v>37.722822234666666</v>
      </c>
      <c r="CB35" s="240">
        <v>25</v>
      </c>
      <c r="CC35" s="23"/>
      <c r="CD35" s="232" t="s">
        <v>1285</v>
      </c>
      <c r="CE35" s="238">
        <f t="shared" si="19"/>
        <v>36.396155568000005</v>
      </c>
      <c r="CF35" s="239">
        <f t="shared" si="20"/>
        <v>107.33333333333331</v>
      </c>
      <c r="CG35" s="243">
        <v>20</v>
      </c>
      <c r="CH35" s="241">
        <f t="shared" si="21"/>
        <v>5.3666666666666654</v>
      </c>
      <c r="CI35" s="242">
        <f t="shared" si="22"/>
        <v>41.762822234666672</v>
      </c>
      <c r="CJ35" s="244">
        <v>15</v>
      </c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</row>
    <row r="36" spans="1:133" s="223" customFormat="1" ht="30.75" customHeight="1" x14ac:dyDescent="0.3">
      <c r="A36" s="224" t="s">
        <v>41</v>
      </c>
      <c r="B36" s="225" t="s">
        <v>1279</v>
      </c>
      <c r="C36" s="226">
        <v>3.7610499999999998E-2</v>
      </c>
      <c r="D36" s="470">
        <f>PARÂMETROS!$E$19*C36</f>
        <v>45.340209959999996</v>
      </c>
      <c r="E36" s="470"/>
      <c r="F36" s="228">
        <v>5.0999999999999997E-2</v>
      </c>
      <c r="G36" s="227">
        <f>F36*PARÂMETROS!$E$22</f>
        <v>2.1608699999999996</v>
      </c>
      <c r="H36" s="228">
        <v>2E-3</v>
      </c>
      <c r="I36" s="227">
        <f>H36*PARÂMETROS!$E$22</f>
        <v>8.4739999999999996E-2</v>
      </c>
      <c r="J36" s="228">
        <f t="shared" si="0"/>
        <v>5.1000000000000004E-3</v>
      </c>
      <c r="K36" s="230">
        <f>J36*PARÂMETROS!$E$8</f>
        <v>0.15753900000000001</v>
      </c>
      <c r="L36" s="229">
        <f t="shared" si="1"/>
        <v>2.0000000000000001E-4</v>
      </c>
      <c r="M36" s="230">
        <f>L36*PARÂMETROS!$E$8</f>
        <v>6.1780000000000003E-3</v>
      </c>
      <c r="N36" s="231">
        <v>0.96</v>
      </c>
      <c r="O36" s="230">
        <f>N36*PARÂMETROS!$E$27</f>
        <v>2.88</v>
      </c>
      <c r="P36" s="170"/>
      <c r="Q36" s="191"/>
      <c r="R36" s="232" t="s">
        <v>1286</v>
      </c>
      <c r="S36" s="233">
        <f t="shared" si="2"/>
        <v>45.431127959999991</v>
      </c>
      <c r="T36" s="43"/>
      <c r="U36" s="232" t="s">
        <v>1286</v>
      </c>
      <c r="V36" s="233">
        <f t="shared" si="3"/>
        <v>47.749536959999993</v>
      </c>
      <c r="W36" s="43"/>
      <c r="X36" s="232" t="s">
        <v>1286</v>
      </c>
      <c r="Y36" s="233">
        <f t="shared" si="4"/>
        <v>50.629536959999996</v>
      </c>
      <c r="Z36" s="43"/>
      <c r="AA36" s="232" t="s">
        <v>1286</v>
      </c>
      <c r="AB36" s="234">
        <f>PARÂMETROS!$H$3</f>
        <v>40</v>
      </c>
      <c r="AC36" s="235">
        <v>2.1527777777777798E-2</v>
      </c>
      <c r="AD36" s="235">
        <v>6.9444444444444397E-3</v>
      </c>
      <c r="AE36" s="235">
        <v>1.0416666666666701E-2</v>
      </c>
      <c r="AF36" s="235">
        <v>6.9444444444444397E-3</v>
      </c>
      <c r="AG36" s="236"/>
      <c r="AH36" s="236"/>
      <c r="AI36" s="235">
        <v>6.9444444444444397E-3</v>
      </c>
      <c r="AJ36" s="235">
        <v>3.125E-2</v>
      </c>
      <c r="AK36" s="237">
        <f t="shared" si="5"/>
        <v>8.4027777777777812E-2</v>
      </c>
      <c r="AL36" s="234">
        <f t="shared" si="6"/>
        <v>80.6666666666667</v>
      </c>
      <c r="AM36" s="193"/>
      <c r="AN36" s="232" t="s">
        <v>1286</v>
      </c>
      <c r="AO36" s="234">
        <f>PARÂMETROS!$H$3</f>
        <v>40</v>
      </c>
      <c r="AP36" s="235">
        <v>2.1527777777777798E-2</v>
      </c>
      <c r="AQ36" s="235">
        <v>6.9444444444444397E-3</v>
      </c>
      <c r="AR36" s="235">
        <v>1.0416666666666701E-2</v>
      </c>
      <c r="AS36" s="235">
        <v>6.9444444444444397E-3</v>
      </c>
      <c r="AT36" s="235">
        <v>2.0833333333333301E-2</v>
      </c>
      <c r="AU36" s="236"/>
      <c r="AV36" s="235">
        <v>6.9444444444444397E-3</v>
      </c>
      <c r="AW36" s="235">
        <v>3.125E-2</v>
      </c>
      <c r="AX36" s="237">
        <f t="shared" si="7"/>
        <v>0.10486111111111111</v>
      </c>
      <c r="AY36" s="234">
        <f t="shared" si="8"/>
        <v>100.66666666666667</v>
      </c>
      <c r="AZ36" s="193"/>
      <c r="BA36" s="232" t="s">
        <v>1286</v>
      </c>
      <c r="BB36" s="234">
        <f>PARÂMETROS!$H$3</f>
        <v>40</v>
      </c>
      <c r="BC36" s="235">
        <v>2.1527777777777798E-2</v>
      </c>
      <c r="BD36" s="235">
        <v>6.9444444444444397E-3</v>
      </c>
      <c r="BE36" s="235">
        <v>1.0416666666666701E-2</v>
      </c>
      <c r="BF36" s="235">
        <v>6.9444444444444397E-3</v>
      </c>
      <c r="BG36" s="235">
        <v>2.0833333333333301E-2</v>
      </c>
      <c r="BH36" s="235">
        <v>6.9444444444444397E-3</v>
      </c>
      <c r="BI36" s="235">
        <v>6.9444444444444397E-3</v>
      </c>
      <c r="BJ36" s="235">
        <v>3.125E-2</v>
      </c>
      <c r="BK36" s="237">
        <f t="shared" si="9"/>
        <v>0.11180555555555555</v>
      </c>
      <c r="BL36" s="234">
        <f t="shared" si="10"/>
        <v>107.33333333333331</v>
      </c>
      <c r="BM36" s="43"/>
      <c r="BN36" s="232" t="s">
        <v>1286</v>
      </c>
      <c r="BO36" s="238">
        <f t="shared" si="11"/>
        <v>45.431127959999991</v>
      </c>
      <c r="BP36" s="239">
        <f t="shared" si="12"/>
        <v>80.6666666666667</v>
      </c>
      <c r="BQ36" s="243">
        <v>20</v>
      </c>
      <c r="BR36" s="241">
        <f t="shared" si="13"/>
        <v>4.033333333333335</v>
      </c>
      <c r="BS36" s="242">
        <f t="shared" si="14"/>
        <v>49.464461293333329</v>
      </c>
      <c r="BT36" s="240">
        <v>20</v>
      </c>
      <c r="BU36" s="43"/>
      <c r="BV36" s="232" t="s">
        <v>1286</v>
      </c>
      <c r="BW36" s="238">
        <f t="shared" si="15"/>
        <v>47.749536959999993</v>
      </c>
      <c r="BX36" s="239">
        <f t="shared" si="16"/>
        <v>100.66666666666667</v>
      </c>
      <c r="BY36" s="243">
        <v>15</v>
      </c>
      <c r="BZ36" s="241">
        <f t="shared" si="17"/>
        <v>6.7111111111111112</v>
      </c>
      <c r="CA36" s="242">
        <f t="shared" si="18"/>
        <v>54.460648071111102</v>
      </c>
      <c r="CB36" s="240">
        <v>15</v>
      </c>
      <c r="CC36" s="23"/>
      <c r="CD36" s="232" t="s">
        <v>1286</v>
      </c>
      <c r="CE36" s="238">
        <f t="shared" si="19"/>
        <v>50.629536959999996</v>
      </c>
      <c r="CF36" s="239">
        <f t="shared" si="20"/>
        <v>107.33333333333331</v>
      </c>
      <c r="CG36" s="243">
        <v>15</v>
      </c>
      <c r="CH36" s="241">
        <f t="shared" si="21"/>
        <v>7.1555555555555541</v>
      </c>
      <c r="CI36" s="242">
        <f t="shared" si="22"/>
        <v>57.785092515555547</v>
      </c>
      <c r="CJ36" s="244">
        <v>10</v>
      </c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</row>
    <row r="37" spans="1:133" s="223" customFormat="1" ht="30.75" customHeight="1" x14ac:dyDescent="0.3">
      <c r="A37" s="224" t="s">
        <v>43</v>
      </c>
      <c r="B37" s="225" t="s">
        <v>1279</v>
      </c>
      <c r="C37" s="226">
        <v>6.8370299999999995E-2</v>
      </c>
      <c r="D37" s="470">
        <f>PARÂMETROS!$E$19*C37</f>
        <v>82.421764055999986</v>
      </c>
      <c r="E37" s="470"/>
      <c r="F37" s="228">
        <v>7.4999999999999997E-2</v>
      </c>
      <c r="G37" s="227">
        <f>F37*PARÂMETROS!$E$22</f>
        <v>3.1777499999999996</v>
      </c>
      <c r="H37" s="228">
        <v>2E-3</v>
      </c>
      <c r="I37" s="227">
        <f>H37*PARÂMETROS!$E$22</f>
        <v>8.4739999999999996E-2</v>
      </c>
      <c r="J37" s="228">
        <f t="shared" si="0"/>
        <v>7.4999999999999997E-3</v>
      </c>
      <c r="K37" s="230">
        <f>J37*PARÂMETROS!$E$8</f>
        <v>0.23167499999999999</v>
      </c>
      <c r="L37" s="229">
        <f t="shared" si="1"/>
        <v>2.0000000000000001E-4</v>
      </c>
      <c r="M37" s="230">
        <f>L37*PARÂMETROS!$E$8</f>
        <v>6.1780000000000003E-3</v>
      </c>
      <c r="N37" s="231">
        <v>1.06</v>
      </c>
      <c r="O37" s="230">
        <f>N37*PARÂMETROS!$E$27</f>
        <v>3.18</v>
      </c>
      <c r="P37" s="170"/>
      <c r="Q37" s="191"/>
      <c r="R37" s="232" t="s">
        <v>1287</v>
      </c>
      <c r="S37" s="233">
        <f t="shared" si="2"/>
        <v>82.512682055999989</v>
      </c>
      <c r="T37" s="43"/>
      <c r="U37" s="232" t="s">
        <v>1287</v>
      </c>
      <c r="V37" s="233">
        <f t="shared" si="3"/>
        <v>85.922107055999987</v>
      </c>
      <c r="W37" s="43"/>
      <c r="X37" s="232" t="s">
        <v>1287</v>
      </c>
      <c r="Y37" s="233">
        <f t="shared" si="4"/>
        <v>89.102107055999994</v>
      </c>
      <c r="Z37" s="43"/>
      <c r="AA37" s="232" t="s">
        <v>1287</v>
      </c>
      <c r="AB37" s="234">
        <f>PARÂMETROS!$H$3</f>
        <v>40</v>
      </c>
      <c r="AC37" s="235">
        <v>2.1527777777777798E-2</v>
      </c>
      <c r="AD37" s="235">
        <v>6.9444444444444397E-3</v>
      </c>
      <c r="AE37" s="235">
        <v>1.0416666666666701E-2</v>
      </c>
      <c r="AF37" s="235">
        <v>6.9444444444444397E-3</v>
      </c>
      <c r="AG37" s="236"/>
      <c r="AH37" s="236"/>
      <c r="AI37" s="235">
        <v>6.9444444444444397E-3</v>
      </c>
      <c r="AJ37" s="235">
        <v>3.125E-2</v>
      </c>
      <c r="AK37" s="237">
        <f t="shared" si="5"/>
        <v>8.4027777777777812E-2</v>
      </c>
      <c r="AL37" s="234">
        <f t="shared" si="6"/>
        <v>80.6666666666667</v>
      </c>
      <c r="AM37" s="193"/>
      <c r="AN37" s="232" t="s">
        <v>1287</v>
      </c>
      <c r="AO37" s="234">
        <f>PARÂMETROS!$H$3</f>
        <v>40</v>
      </c>
      <c r="AP37" s="235">
        <v>2.1527777777777798E-2</v>
      </c>
      <c r="AQ37" s="235">
        <v>6.9444444444444397E-3</v>
      </c>
      <c r="AR37" s="235">
        <v>1.0416666666666701E-2</v>
      </c>
      <c r="AS37" s="235">
        <v>6.9444444444444397E-3</v>
      </c>
      <c r="AT37" s="235">
        <v>2.0833333333333301E-2</v>
      </c>
      <c r="AU37" s="236"/>
      <c r="AV37" s="235">
        <v>6.9444444444444397E-3</v>
      </c>
      <c r="AW37" s="235">
        <v>3.125E-2</v>
      </c>
      <c r="AX37" s="237">
        <f t="shared" si="7"/>
        <v>0.10486111111111111</v>
      </c>
      <c r="AY37" s="234">
        <f t="shared" si="8"/>
        <v>100.66666666666667</v>
      </c>
      <c r="AZ37" s="193"/>
      <c r="BA37" s="232" t="s">
        <v>1287</v>
      </c>
      <c r="BB37" s="234">
        <f>PARÂMETROS!$H$3</f>
        <v>40</v>
      </c>
      <c r="BC37" s="235">
        <v>2.1527777777777798E-2</v>
      </c>
      <c r="BD37" s="235">
        <v>6.9444444444444397E-3</v>
      </c>
      <c r="BE37" s="235">
        <v>1.0416666666666701E-2</v>
      </c>
      <c r="BF37" s="235">
        <v>6.9444444444444397E-3</v>
      </c>
      <c r="BG37" s="235">
        <v>2.0833333333333301E-2</v>
      </c>
      <c r="BH37" s="235">
        <v>6.9444444444444397E-3</v>
      </c>
      <c r="BI37" s="235">
        <v>6.9444444444444397E-3</v>
      </c>
      <c r="BJ37" s="235">
        <v>3.125E-2</v>
      </c>
      <c r="BK37" s="237">
        <f t="shared" si="9"/>
        <v>0.11180555555555555</v>
      </c>
      <c r="BL37" s="234">
        <f t="shared" si="10"/>
        <v>107.33333333333331</v>
      </c>
      <c r="BM37" s="43"/>
      <c r="BN37" s="232" t="s">
        <v>1287</v>
      </c>
      <c r="BO37" s="238">
        <f t="shared" si="11"/>
        <v>82.512682055999989</v>
      </c>
      <c r="BP37" s="239">
        <f t="shared" si="12"/>
        <v>80.6666666666667</v>
      </c>
      <c r="BQ37" s="243">
        <v>20</v>
      </c>
      <c r="BR37" s="241">
        <f t="shared" si="13"/>
        <v>4.033333333333335</v>
      </c>
      <c r="BS37" s="242">
        <f t="shared" si="14"/>
        <v>86.54601538933332</v>
      </c>
      <c r="BT37" s="240">
        <v>20</v>
      </c>
      <c r="BU37" s="43"/>
      <c r="BV37" s="232" t="s">
        <v>1287</v>
      </c>
      <c r="BW37" s="238">
        <f t="shared" si="15"/>
        <v>85.922107055999987</v>
      </c>
      <c r="BX37" s="239">
        <f t="shared" si="16"/>
        <v>100.66666666666667</v>
      </c>
      <c r="BY37" s="243">
        <v>15</v>
      </c>
      <c r="BZ37" s="241">
        <f t="shared" si="17"/>
        <v>6.7111111111111112</v>
      </c>
      <c r="CA37" s="242">
        <f t="shared" si="18"/>
        <v>92.633218167111096</v>
      </c>
      <c r="CB37" s="240">
        <v>15</v>
      </c>
      <c r="CC37" s="23"/>
      <c r="CD37" s="232" t="s">
        <v>1287</v>
      </c>
      <c r="CE37" s="238">
        <f t="shared" si="19"/>
        <v>89.102107055999994</v>
      </c>
      <c r="CF37" s="239">
        <f t="shared" si="20"/>
        <v>107.33333333333331</v>
      </c>
      <c r="CG37" s="243">
        <v>15</v>
      </c>
      <c r="CH37" s="241">
        <f t="shared" si="21"/>
        <v>7.1555555555555541</v>
      </c>
      <c r="CI37" s="242">
        <f t="shared" si="22"/>
        <v>96.257662611555546</v>
      </c>
      <c r="CJ37" s="244">
        <v>10</v>
      </c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</row>
    <row r="38" spans="1:133" s="223" customFormat="1" ht="30.75" customHeight="1" x14ac:dyDescent="0.3">
      <c r="A38" s="224" t="s">
        <v>45</v>
      </c>
      <c r="B38" s="225" t="s">
        <v>1279</v>
      </c>
      <c r="C38" s="226">
        <v>0.1234582</v>
      </c>
      <c r="D38" s="470">
        <f>PARÂMETROS!$E$19*C38</f>
        <v>148.831329264</v>
      </c>
      <c r="E38" s="470"/>
      <c r="F38" s="228">
        <v>0.105</v>
      </c>
      <c r="G38" s="227">
        <f>F38*PARÂMETROS!$E$22</f>
        <v>4.4488499999999993</v>
      </c>
      <c r="H38" s="228">
        <v>2E-3</v>
      </c>
      <c r="I38" s="227">
        <f>H38*PARÂMETROS!$E$22</f>
        <v>8.4739999999999996E-2</v>
      </c>
      <c r="J38" s="228">
        <f t="shared" ref="J38:J69" si="23">0.1 * F38</f>
        <v>1.0500000000000001E-2</v>
      </c>
      <c r="K38" s="230">
        <f>J38*PARÂMETROS!$E$8</f>
        <v>0.32434500000000005</v>
      </c>
      <c r="L38" s="229">
        <f t="shared" ref="L38:L69" si="24">0.1*H38</f>
        <v>2.0000000000000001E-4</v>
      </c>
      <c r="M38" s="230">
        <f>L38*PARÂMETROS!$E$8</f>
        <v>6.1780000000000003E-3</v>
      </c>
      <c r="N38" s="231">
        <v>1.1599999999999999</v>
      </c>
      <c r="O38" s="230">
        <f>N38*PARÂMETROS!$E$27</f>
        <v>3.4799999999999995</v>
      </c>
      <c r="P38" s="170"/>
      <c r="Q38" s="191"/>
      <c r="R38" s="232" t="s">
        <v>1288</v>
      </c>
      <c r="S38" s="233">
        <f t="shared" ref="S38:S69" si="25">D38+I38+M38</f>
        <v>148.92224726400002</v>
      </c>
      <c r="T38" s="43"/>
      <c r="U38" s="232" t="s">
        <v>1288</v>
      </c>
      <c r="V38" s="233">
        <f t="shared" ref="V38:V69" si="26">S38+G38+K38</f>
        <v>153.69544226400001</v>
      </c>
      <c r="W38" s="43"/>
      <c r="X38" s="232" t="s">
        <v>1288</v>
      </c>
      <c r="Y38" s="233">
        <f t="shared" ref="Y38:Y69" si="27">V38+O38</f>
        <v>157.175442264</v>
      </c>
      <c r="Z38" s="43"/>
      <c r="AA38" s="232" t="s">
        <v>1288</v>
      </c>
      <c r="AB38" s="234">
        <f>PARÂMETROS!$H$3</f>
        <v>40</v>
      </c>
      <c r="AC38" s="235">
        <v>2.1527777777777798E-2</v>
      </c>
      <c r="AD38" s="235">
        <v>6.9444444444444397E-3</v>
      </c>
      <c r="AE38" s="235">
        <v>1.0416666666666701E-2</v>
      </c>
      <c r="AF38" s="235">
        <v>6.9444444444444397E-3</v>
      </c>
      <c r="AG38" s="236"/>
      <c r="AH38" s="236"/>
      <c r="AI38" s="235">
        <v>6.9444444444444397E-3</v>
      </c>
      <c r="AJ38" s="235">
        <v>3.125E-2</v>
      </c>
      <c r="AK38" s="237">
        <f t="shared" ref="AK38:AK69" si="28">AC38+AD38+AE38+AF38+AG38+AH38+AI38+AJ38</f>
        <v>8.4027777777777812E-2</v>
      </c>
      <c r="AL38" s="234">
        <f t="shared" ref="AL38:AL69" si="29">AB38*AK38*24</f>
        <v>80.6666666666667</v>
      </c>
      <c r="AM38" s="193"/>
      <c r="AN38" s="232" t="s">
        <v>1288</v>
      </c>
      <c r="AO38" s="234">
        <f>PARÂMETROS!$H$3</f>
        <v>40</v>
      </c>
      <c r="AP38" s="235">
        <v>2.1527777777777798E-2</v>
      </c>
      <c r="AQ38" s="235">
        <v>6.9444444444444397E-3</v>
      </c>
      <c r="AR38" s="235">
        <v>1.0416666666666701E-2</v>
      </c>
      <c r="AS38" s="235">
        <v>6.9444444444444397E-3</v>
      </c>
      <c r="AT38" s="235">
        <v>2.0833333333333301E-2</v>
      </c>
      <c r="AU38" s="236"/>
      <c r="AV38" s="235">
        <v>6.9444444444444397E-3</v>
      </c>
      <c r="AW38" s="235">
        <v>3.125E-2</v>
      </c>
      <c r="AX38" s="237">
        <f t="shared" ref="AX38:AX69" si="30">AP38+AQ38+AR38+AS38+AT38+AU38+AV38+AW38</f>
        <v>0.10486111111111111</v>
      </c>
      <c r="AY38" s="234">
        <f t="shared" ref="AY38:AY69" si="31">AO38*AX38*24</f>
        <v>100.66666666666667</v>
      </c>
      <c r="AZ38" s="193"/>
      <c r="BA38" s="232" t="s">
        <v>1288</v>
      </c>
      <c r="BB38" s="234">
        <f>PARÂMETROS!$H$3</f>
        <v>40</v>
      </c>
      <c r="BC38" s="235">
        <v>2.1527777777777798E-2</v>
      </c>
      <c r="BD38" s="235">
        <v>6.9444444444444397E-3</v>
      </c>
      <c r="BE38" s="235">
        <v>1.0416666666666701E-2</v>
      </c>
      <c r="BF38" s="235">
        <v>6.9444444444444397E-3</v>
      </c>
      <c r="BG38" s="235">
        <v>2.0833333333333301E-2</v>
      </c>
      <c r="BH38" s="235">
        <v>6.9444444444444397E-3</v>
      </c>
      <c r="BI38" s="235">
        <v>6.9444444444444397E-3</v>
      </c>
      <c r="BJ38" s="235">
        <v>3.125E-2</v>
      </c>
      <c r="BK38" s="237">
        <f t="shared" ref="BK38:BK69" si="32">BC38+BD38+BE38+BF38+BG38+BH38+BI38+BJ38</f>
        <v>0.11180555555555555</v>
      </c>
      <c r="BL38" s="234">
        <f t="shared" ref="BL38:BL69" si="33">BB38*BK38*24</f>
        <v>107.33333333333331</v>
      </c>
      <c r="BM38" s="43"/>
      <c r="BN38" s="232" t="s">
        <v>1288</v>
      </c>
      <c r="BO38" s="238">
        <f t="shared" ref="BO38:BO69" si="34">S38</f>
        <v>148.92224726400002</v>
      </c>
      <c r="BP38" s="239">
        <f t="shared" ref="BP38:BP69" si="35">AL38</f>
        <v>80.6666666666667</v>
      </c>
      <c r="BQ38" s="243">
        <v>20</v>
      </c>
      <c r="BR38" s="241">
        <f t="shared" ref="BR38:BR69" si="36">IFERROR(BP38/BQ38,0)</f>
        <v>4.033333333333335</v>
      </c>
      <c r="BS38" s="242">
        <f t="shared" ref="BS38:BS69" si="37">BR38+BO38</f>
        <v>152.95558059733335</v>
      </c>
      <c r="BT38" s="240">
        <v>20</v>
      </c>
      <c r="BU38" s="43"/>
      <c r="BV38" s="232" t="s">
        <v>1288</v>
      </c>
      <c r="BW38" s="238">
        <f t="shared" ref="BW38:BW69" si="38">V38</f>
        <v>153.69544226400001</v>
      </c>
      <c r="BX38" s="239">
        <f t="shared" ref="BX38:BX69" si="39">AY38</f>
        <v>100.66666666666667</v>
      </c>
      <c r="BY38" s="243">
        <v>15</v>
      </c>
      <c r="BZ38" s="241">
        <f t="shared" ref="BZ38:BZ69" si="40">IFERROR(BX38/BY38,0)</f>
        <v>6.7111111111111112</v>
      </c>
      <c r="CA38" s="242">
        <f t="shared" ref="CA38:CA69" si="41">BZ38+BW38</f>
        <v>160.40655337511112</v>
      </c>
      <c r="CB38" s="240">
        <v>15</v>
      </c>
      <c r="CC38" s="23"/>
      <c r="CD38" s="232" t="s">
        <v>1288</v>
      </c>
      <c r="CE38" s="238">
        <f t="shared" ref="CE38:CE69" si="42">Y38</f>
        <v>157.175442264</v>
      </c>
      <c r="CF38" s="239">
        <f t="shared" ref="CF38:CF69" si="43">BL38</f>
        <v>107.33333333333331</v>
      </c>
      <c r="CG38" s="243">
        <v>10</v>
      </c>
      <c r="CH38" s="241">
        <f t="shared" ref="CH38:CH69" si="44">IFERROR(CF38/CG38,0)</f>
        <v>10.733333333333331</v>
      </c>
      <c r="CI38" s="242">
        <f t="shared" ref="CI38:CI69" si="45">CH38+CE38</f>
        <v>167.90877559733332</v>
      </c>
      <c r="CJ38" s="244">
        <v>10</v>
      </c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</row>
    <row r="39" spans="1:133" s="223" customFormat="1" ht="30.75" customHeight="1" x14ac:dyDescent="0.3">
      <c r="A39" s="224" t="s">
        <v>47</v>
      </c>
      <c r="B39" s="225" t="s">
        <v>1279</v>
      </c>
      <c r="C39" s="226">
        <v>0.17226669999999999</v>
      </c>
      <c r="D39" s="470">
        <f>PARÂMETROS!$E$19*C39</f>
        <v>207.67095218399999</v>
      </c>
      <c r="E39" s="470"/>
      <c r="F39" s="228">
        <v>0.15</v>
      </c>
      <c r="G39" s="227">
        <f>F39*PARÂMETROS!$E$22</f>
        <v>6.3554999999999993</v>
      </c>
      <c r="H39" s="228">
        <v>2E-3</v>
      </c>
      <c r="I39" s="227">
        <f>H39*PARÂMETROS!$E$22</f>
        <v>8.4739999999999996E-2</v>
      </c>
      <c r="J39" s="228">
        <f t="shared" si="23"/>
        <v>1.4999999999999999E-2</v>
      </c>
      <c r="K39" s="230">
        <f>J39*PARÂMETROS!$E$8</f>
        <v>0.46334999999999998</v>
      </c>
      <c r="L39" s="229">
        <f t="shared" si="24"/>
        <v>2.0000000000000001E-4</v>
      </c>
      <c r="M39" s="230">
        <f>L39*PARÂMETROS!$E$8</f>
        <v>6.1780000000000003E-3</v>
      </c>
      <c r="N39" s="231">
        <v>1.26</v>
      </c>
      <c r="O39" s="230">
        <f>N39*PARÂMETROS!$E$27</f>
        <v>3.7800000000000002</v>
      </c>
      <c r="P39" s="170"/>
      <c r="Q39" s="191"/>
      <c r="R39" s="232" t="s">
        <v>1289</v>
      </c>
      <c r="S39" s="233">
        <f t="shared" si="25"/>
        <v>207.761870184</v>
      </c>
      <c r="T39" s="43"/>
      <c r="U39" s="232" t="s">
        <v>1289</v>
      </c>
      <c r="V39" s="233">
        <f t="shared" si="26"/>
        <v>214.580720184</v>
      </c>
      <c r="W39" s="43"/>
      <c r="X39" s="232" t="s">
        <v>1289</v>
      </c>
      <c r="Y39" s="233">
        <f t="shared" si="27"/>
        <v>218.360720184</v>
      </c>
      <c r="Z39" s="43"/>
      <c r="AA39" s="232" t="s">
        <v>1289</v>
      </c>
      <c r="AB39" s="234">
        <f>PARÂMETROS!$H$3</f>
        <v>40</v>
      </c>
      <c r="AC39" s="235">
        <v>2.1527777777777798E-2</v>
      </c>
      <c r="AD39" s="235">
        <v>6.9444444444444397E-3</v>
      </c>
      <c r="AE39" s="235">
        <v>2.0833333333333301E-2</v>
      </c>
      <c r="AF39" s="235">
        <v>6.9444444444444397E-3</v>
      </c>
      <c r="AG39" s="236"/>
      <c r="AH39" s="236"/>
      <c r="AI39" s="235">
        <v>6.9444444444444397E-3</v>
      </c>
      <c r="AJ39" s="235">
        <v>3.125E-2</v>
      </c>
      <c r="AK39" s="237">
        <f t="shared" si="28"/>
        <v>9.4444444444444414E-2</v>
      </c>
      <c r="AL39" s="234">
        <f t="shared" si="29"/>
        <v>90.666666666666643</v>
      </c>
      <c r="AM39" s="193"/>
      <c r="AN39" s="232" t="s">
        <v>1289</v>
      </c>
      <c r="AO39" s="234">
        <f>PARÂMETROS!$H$3</f>
        <v>40</v>
      </c>
      <c r="AP39" s="235">
        <v>2.1527777777777798E-2</v>
      </c>
      <c r="AQ39" s="235">
        <v>6.9444444444444397E-3</v>
      </c>
      <c r="AR39" s="235">
        <v>2.0833333333333301E-2</v>
      </c>
      <c r="AS39" s="235">
        <v>6.9444444444444397E-3</v>
      </c>
      <c r="AT39" s="235">
        <v>2.0833333333333301E-2</v>
      </c>
      <c r="AU39" s="236"/>
      <c r="AV39" s="235">
        <v>6.9444444444444397E-3</v>
      </c>
      <c r="AW39" s="235">
        <v>3.125E-2</v>
      </c>
      <c r="AX39" s="237">
        <f t="shared" si="30"/>
        <v>0.11527777777777772</v>
      </c>
      <c r="AY39" s="234">
        <f t="shared" si="31"/>
        <v>110.66666666666661</v>
      </c>
      <c r="AZ39" s="193"/>
      <c r="BA39" s="232" t="s">
        <v>1289</v>
      </c>
      <c r="BB39" s="234">
        <f>PARÂMETROS!$H$3</f>
        <v>40</v>
      </c>
      <c r="BC39" s="235">
        <v>2.1527777777777798E-2</v>
      </c>
      <c r="BD39" s="235">
        <v>6.9444444444444397E-3</v>
      </c>
      <c r="BE39" s="235">
        <v>2.0833333333333301E-2</v>
      </c>
      <c r="BF39" s="235">
        <v>6.9444444444444397E-3</v>
      </c>
      <c r="BG39" s="235">
        <v>2.0833333333333301E-2</v>
      </c>
      <c r="BH39" s="235">
        <v>6.9444444444444397E-3</v>
      </c>
      <c r="BI39" s="235">
        <v>6.9444444444444397E-3</v>
      </c>
      <c r="BJ39" s="235">
        <v>3.125E-2</v>
      </c>
      <c r="BK39" s="237">
        <f t="shared" si="32"/>
        <v>0.12222222222222215</v>
      </c>
      <c r="BL39" s="234">
        <f t="shared" si="33"/>
        <v>117.33333333333326</v>
      </c>
      <c r="BM39" s="43"/>
      <c r="BN39" s="232" t="s">
        <v>1289</v>
      </c>
      <c r="BO39" s="238">
        <f t="shared" si="34"/>
        <v>207.761870184</v>
      </c>
      <c r="BP39" s="239">
        <f t="shared" si="35"/>
        <v>90.666666666666643</v>
      </c>
      <c r="BQ39" s="243">
        <v>16</v>
      </c>
      <c r="BR39" s="241">
        <f t="shared" si="36"/>
        <v>5.6666666666666652</v>
      </c>
      <c r="BS39" s="242">
        <f t="shared" si="37"/>
        <v>213.42853685066666</v>
      </c>
      <c r="BT39" s="240">
        <v>16</v>
      </c>
      <c r="BU39" s="43"/>
      <c r="BV39" s="232" t="s">
        <v>1289</v>
      </c>
      <c r="BW39" s="238">
        <f t="shared" si="38"/>
        <v>214.580720184</v>
      </c>
      <c r="BX39" s="239">
        <f t="shared" si="39"/>
        <v>110.66666666666661</v>
      </c>
      <c r="BY39" s="243">
        <v>10</v>
      </c>
      <c r="BZ39" s="241">
        <f t="shared" si="40"/>
        <v>11.066666666666661</v>
      </c>
      <c r="CA39" s="242">
        <f t="shared" si="41"/>
        <v>225.64738685066666</v>
      </c>
      <c r="CB39" s="240">
        <v>10</v>
      </c>
      <c r="CC39" s="23"/>
      <c r="CD39" s="232" t="s">
        <v>1289</v>
      </c>
      <c r="CE39" s="238">
        <f t="shared" si="42"/>
        <v>218.360720184</v>
      </c>
      <c r="CF39" s="239">
        <f t="shared" si="43"/>
        <v>117.33333333333326</v>
      </c>
      <c r="CG39" s="243">
        <v>5</v>
      </c>
      <c r="CH39" s="241">
        <f t="shared" si="44"/>
        <v>23.466666666666651</v>
      </c>
      <c r="CI39" s="242">
        <f t="shared" si="45"/>
        <v>241.82738685066664</v>
      </c>
      <c r="CJ39" s="244">
        <v>7</v>
      </c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</row>
    <row r="40" spans="1:133" s="223" customFormat="1" ht="30.75" customHeight="1" x14ac:dyDescent="0.3">
      <c r="A40" s="224" t="s">
        <v>222</v>
      </c>
      <c r="B40" s="225" t="s">
        <v>1279</v>
      </c>
      <c r="C40" s="226">
        <v>0.25018839999999998</v>
      </c>
      <c r="D40" s="470">
        <f>PARÂMETROS!$E$19*C40</f>
        <v>301.60711996799995</v>
      </c>
      <c r="E40" s="470"/>
      <c r="F40" s="228">
        <v>0.19400000000000001</v>
      </c>
      <c r="G40" s="227">
        <f>F40*PARÂMETROS!$E$22</f>
        <v>8.2197800000000001</v>
      </c>
      <c r="H40" s="228">
        <v>2E-3</v>
      </c>
      <c r="I40" s="227">
        <f>H40*PARÂMETROS!$E$22</f>
        <v>8.4739999999999996E-2</v>
      </c>
      <c r="J40" s="228">
        <f t="shared" si="23"/>
        <v>1.9400000000000001E-2</v>
      </c>
      <c r="K40" s="230">
        <f>J40*PARÂMETROS!$E$8</f>
        <v>0.59926600000000008</v>
      </c>
      <c r="L40" s="229">
        <f t="shared" si="24"/>
        <v>2.0000000000000001E-4</v>
      </c>
      <c r="M40" s="230">
        <f>L40*PARÂMETROS!$E$8</f>
        <v>6.1780000000000003E-3</v>
      </c>
      <c r="N40" s="231">
        <v>1.38</v>
      </c>
      <c r="O40" s="230">
        <f>N40*PARÂMETROS!$E$27</f>
        <v>4.1399999999999997</v>
      </c>
      <c r="P40" s="170"/>
      <c r="Q40" s="191"/>
      <c r="R40" s="232" t="s">
        <v>1290</v>
      </c>
      <c r="S40" s="233">
        <f t="shared" si="25"/>
        <v>301.69803796799994</v>
      </c>
      <c r="T40" s="43"/>
      <c r="U40" s="232" t="s">
        <v>1290</v>
      </c>
      <c r="V40" s="233">
        <f t="shared" si="26"/>
        <v>310.51708396799995</v>
      </c>
      <c r="W40" s="43"/>
      <c r="X40" s="232" t="s">
        <v>1290</v>
      </c>
      <c r="Y40" s="233">
        <f t="shared" si="27"/>
        <v>314.65708396799994</v>
      </c>
      <c r="Z40" s="43"/>
      <c r="AA40" s="232" t="s">
        <v>1290</v>
      </c>
      <c r="AB40" s="234">
        <f>PARÂMETROS!$H$3</f>
        <v>40</v>
      </c>
      <c r="AC40" s="235">
        <v>2.1527777777777798E-2</v>
      </c>
      <c r="AD40" s="235">
        <v>6.9444444444444397E-3</v>
      </c>
      <c r="AE40" s="235">
        <v>2.0833333333333301E-2</v>
      </c>
      <c r="AF40" s="235">
        <v>6.9444444444444397E-3</v>
      </c>
      <c r="AG40" s="236"/>
      <c r="AH40" s="236"/>
      <c r="AI40" s="235">
        <v>6.9444444444444397E-3</v>
      </c>
      <c r="AJ40" s="235">
        <v>3.125E-2</v>
      </c>
      <c r="AK40" s="237">
        <f t="shared" si="28"/>
        <v>9.4444444444444414E-2</v>
      </c>
      <c r="AL40" s="234">
        <f t="shared" si="29"/>
        <v>90.666666666666643</v>
      </c>
      <c r="AM40" s="193"/>
      <c r="AN40" s="232" t="s">
        <v>1290</v>
      </c>
      <c r="AO40" s="234">
        <f>PARÂMETROS!$H$3</f>
        <v>40</v>
      </c>
      <c r="AP40" s="235">
        <v>2.1527777777777798E-2</v>
      </c>
      <c r="AQ40" s="235">
        <v>6.9444444444444397E-3</v>
      </c>
      <c r="AR40" s="235">
        <v>2.0833333333333301E-2</v>
      </c>
      <c r="AS40" s="235">
        <v>6.9444444444444397E-3</v>
      </c>
      <c r="AT40" s="235">
        <v>2.0833333333333301E-2</v>
      </c>
      <c r="AU40" s="236"/>
      <c r="AV40" s="235">
        <v>6.9444444444444397E-3</v>
      </c>
      <c r="AW40" s="235">
        <v>3.125E-2</v>
      </c>
      <c r="AX40" s="237">
        <f t="shared" si="30"/>
        <v>0.11527777777777772</v>
      </c>
      <c r="AY40" s="234">
        <f t="shared" si="31"/>
        <v>110.66666666666661</v>
      </c>
      <c r="AZ40" s="193"/>
      <c r="BA40" s="232" t="s">
        <v>1290</v>
      </c>
      <c r="BB40" s="234">
        <f>PARÂMETROS!$H$3</f>
        <v>40</v>
      </c>
      <c r="BC40" s="235">
        <v>2.1527777777777798E-2</v>
      </c>
      <c r="BD40" s="235">
        <v>6.9444444444444397E-3</v>
      </c>
      <c r="BE40" s="235">
        <v>2.0833333333333301E-2</v>
      </c>
      <c r="BF40" s="235">
        <v>6.9444444444444397E-3</v>
      </c>
      <c r="BG40" s="235">
        <v>2.0833333333333301E-2</v>
      </c>
      <c r="BH40" s="235">
        <v>6.9444444444444397E-3</v>
      </c>
      <c r="BI40" s="235">
        <v>6.9444444444444397E-3</v>
      </c>
      <c r="BJ40" s="235">
        <v>3.125E-2</v>
      </c>
      <c r="BK40" s="237">
        <f t="shared" si="32"/>
        <v>0.12222222222222215</v>
      </c>
      <c r="BL40" s="234">
        <f t="shared" si="33"/>
        <v>117.33333333333326</v>
      </c>
      <c r="BM40" s="43"/>
      <c r="BN40" s="232" t="s">
        <v>1290</v>
      </c>
      <c r="BO40" s="238">
        <f t="shared" si="34"/>
        <v>301.69803796799994</v>
      </c>
      <c r="BP40" s="239">
        <f t="shared" si="35"/>
        <v>90.666666666666643</v>
      </c>
      <c r="BQ40" s="243">
        <v>15</v>
      </c>
      <c r="BR40" s="241">
        <f t="shared" si="36"/>
        <v>6.0444444444444425</v>
      </c>
      <c r="BS40" s="242">
        <f t="shared" si="37"/>
        <v>307.74248241244436</v>
      </c>
      <c r="BT40" s="240">
        <v>15</v>
      </c>
      <c r="BU40" s="43"/>
      <c r="BV40" s="232" t="s">
        <v>1290</v>
      </c>
      <c r="BW40" s="238">
        <f t="shared" si="38"/>
        <v>310.51708396799995</v>
      </c>
      <c r="BX40" s="239">
        <f t="shared" si="39"/>
        <v>110.66666666666661</v>
      </c>
      <c r="BY40" s="243">
        <v>10</v>
      </c>
      <c r="BZ40" s="241">
        <f t="shared" si="40"/>
        <v>11.066666666666661</v>
      </c>
      <c r="CA40" s="242">
        <f t="shared" si="41"/>
        <v>321.58375063466661</v>
      </c>
      <c r="CB40" s="240">
        <v>10</v>
      </c>
      <c r="CC40" s="23"/>
      <c r="CD40" s="232" t="s">
        <v>1290</v>
      </c>
      <c r="CE40" s="238">
        <f t="shared" si="42"/>
        <v>314.65708396799994</v>
      </c>
      <c r="CF40" s="239">
        <f t="shared" si="43"/>
        <v>117.33333333333326</v>
      </c>
      <c r="CG40" s="243">
        <v>5</v>
      </c>
      <c r="CH40" s="241">
        <f t="shared" si="44"/>
        <v>23.466666666666651</v>
      </c>
      <c r="CI40" s="242">
        <f t="shared" si="45"/>
        <v>338.12375063466658</v>
      </c>
      <c r="CJ40" s="244">
        <v>7</v>
      </c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</row>
    <row r="41" spans="1:133" s="223" customFormat="1" ht="30.75" customHeight="1" x14ac:dyDescent="0.3">
      <c r="A41" s="224" t="s">
        <v>226</v>
      </c>
      <c r="B41" s="225" t="s">
        <v>1279</v>
      </c>
      <c r="C41" s="226">
        <v>0.34861589999999998</v>
      </c>
      <c r="D41" s="470">
        <f>PARÂMETROS!$E$19*C41</f>
        <v>420.26343976799996</v>
      </c>
      <c r="E41" s="470"/>
      <c r="F41" s="228">
        <v>0.24</v>
      </c>
      <c r="G41" s="227">
        <f>F41*PARÂMETROS!$E$22</f>
        <v>10.168799999999999</v>
      </c>
      <c r="H41" s="228">
        <v>2E-3</v>
      </c>
      <c r="I41" s="227">
        <f>H41*PARÂMETROS!$E$22</f>
        <v>8.4739999999999996E-2</v>
      </c>
      <c r="J41" s="228">
        <f t="shared" si="23"/>
        <v>2.4E-2</v>
      </c>
      <c r="K41" s="230">
        <f>J41*PARÂMETROS!$E$8</f>
        <v>0.74136000000000002</v>
      </c>
      <c r="L41" s="229">
        <f t="shared" si="24"/>
        <v>2.0000000000000001E-4</v>
      </c>
      <c r="M41" s="230">
        <f>L41*PARÂMETROS!$E$8</f>
        <v>6.1780000000000003E-3</v>
      </c>
      <c r="N41" s="231">
        <v>1.46</v>
      </c>
      <c r="O41" s="230">
        <f>N41*PARÂMETROS!$E$27</f>
        <v>4.38</v>
      </c>
      <c r="P41" s="170"/>
      <c r="Q41" s="191"/>
      <c r="R41" s="232" t="s">
        <v>1291</v>
      </c>
      <c r="S41" s="233">
        <f t="shared" si="25"/>
        <v>420.35435776799994</v>
      </c>
      <c r="T41" s="43"/>
      <c r="U41" s="232" t="s">
        <v>1291</v>
      </c>
      <c r="V41" s="233">
        <f t="shared" si="26"/>
        <v>431.26451776799991</v>
      </c>
      <c r="W41" s="43"/>
      <c r="X41" s="232" t="s">
        <v>1291</v>
      </c>
      <c r="Y41" s="233">
        <f t="shared" si="27"/>
        <v>435.6445177679999</v>
      </c>
      <c r="Z41" s="43"/>
      <c r="AA41" s="232" t="s">
        <v>1291</v>
      </c>
      <c r="AB41" s="234">
        <f>PARÂMETROS!$H$3</f>
        <v>40</v>
      </c>
      <c r="AC41" s="235">
        <v>2.1527777777777798E-2</v>
      </c>
      <c r="AD41" s="235">
        <v>6.9444444444444397E-3</v>
      </c>
      <c r="AE41" s="235">
        <v>2.0833333333333301E-2</v>
      </c>
      <c r="AF41" s="235">
        <v>6.9444444444444397E-3</v>
      </c>
      <c r="AG41" s="236"/>
      <c r="AH41" s="236"/>
      <c r="AI41" s="235">
        <v>6.9444444444444397E-3</v>
      </c>
      <c r="AJ41" s="235">
        <v>3.125E-2</v>
      </c>
      <c r="AK41" s="237">
        <f t="shared" si="28"/>
        <v>9.4444444444444414E-2</v>
      </c>
      <c r="AL41" s="234">
        <f t="shared" si="29"/>
        <v>90.666666666666643</v>
      </c>
      <c r="AM41" s="193"/>
      <c r="AN41" s="232" t="s">
        <v>1291</v>
      </c>
      <c r="AO41" s="234">
        <f>PARÂMETROS!$H$3</f>
        <v>40</v>
      </c>
      <c r="AP41" s="235">
        <v>2.1527777777777798E-2</v>
      </c>
      <c r="AQ41" s="235">
        <v>6.9444444444444397E-3</v>
      </c>
      <c r="AR41" s="235">
        <v>2.0833333333333301E-2</v>
      </c>
      <c r="AS41" s="235">
        <v>6.9444444444444397E-3</v>
      </c>
      <c r="AT41" s="235">
        <v>2.0833333333333301E-2</v>
      </c>
      <c r="AU41" s="236"/>
      <c r="AV41" s="235">
        <v>6.9444444444444397E-3</v>
      </c>
      <c r="AW41" s="235">
        <v>3.125E-2</v>
      </c>
      <c r="AX41" s="237">
        <f t="shared" si="30"/>
        <v>0.11527777777777772</v>
      </c>
      <c r="AY41" s="234">
        <f t="shared" si="31"/>
        <v>110.66666666666661</v>
      </c>
      <c r="AZ41" s="193"/>
      <c r="BA41" s="232" t="s">
        <v>1291</v>
      </c>
      <c r="BB41" s="234">
        <f>PARÂMETROS!$H$3</f>
        <v>40</v>
      </c>
      <c r="BC41" s="235">
        <v>2.1527777777777798E-2</v>
      </c>
      <c r="BD41" s="235">
        <v>6.9444444444444397E-3</v>
      </c>
      <c r="BE41" s="235">
        <v>2.0833333333333301E-2</v>
      </c>
      <c r="BF41" s="235">
        <v>6.9444444444444397E-3</v>
      </c>
      <c r="BG41" s="235">
        <v>2.0833333333333301E-2</v>
      </c>
      <c r="BH41" s="235">
        <v>6.9444444444444397E-3</v>
      </c>
      <c r="BI41" s="235">
        <v>6.9444444444444397E-3</v>
      </c>
      <c r="BJ41" s="235">
        <v>3.125E-2</v>
      </c>
      <c r="BK41" s="237">
        <f t="shared" si="32"/>
        <v>0.12222222222222215</v>
      </c>
      <c r="BL41" s="234">
        <f t="shared" si="33"/>
        <v>117.33333333333326</v>
      </c>
      <c r="BM41" s="43"/>
      <c r="BN41" s="232" t="s">
        <v>1291</v>
      </c>
      <c r="BO41" s="238">
        <f t="shared" si="34"/>
        <v>420.35435776799994</v>
      </c>
      <c r="BP41" s="239">
        <f t="shared" si="35"/>
        <v>90.666666666666643</v>
      </c>
      <c r="BQ41" s="243">
        <v>7</v>
      </c>
      <c r="BR41" s="241">
        <f t="shared" si="36"/>
        <v>12.952380952380949</v>
      </c>
      <c r="BS41" s="242">
        <f t="shared" si="37"/>
        <v>433.30673872038091</v>
      </c>
      <c r="BT41" s="240">
        <v>7</v>
      </c>
      <c r="BU41" s="43"/>
      <c r="BV41" s="232" t="s">
        <v>1291</v>
      </c>
      <c r="BW41" s="238">
        <f t="shared" si="38"/>
        <v>431.26451776799991</v>
      </c>
      <c r="BX41" s="239">
        <f t="shared" si="39"/>
        <v>110.66666666666661</v>
      </c>
      <c r="BY41" s="243">
        <v>5</v>
      </c>
      <c r="BZ41" s="241">
        <f t="shared" si="40"/>
        <v>22.133333333333322</v>
      </c>
      <c r="CA41" s="242">
        <f t="shared" si="41"/>
        <v>453.39785110133323</v>
      </c>
      <c r="CB41" s="240">
        <v>5</v>
      </c>
      <c r="CC41" s="23"/>
      <c r="CD41" s="232" t="s">
        <v>1291</v>
      </c>
      <c r="CE41" s="238">
        <f t="shared" si="42"/>
        <v>435.6445177679999</v>
      </c>
      <c r="CF41" s="239">
        <f t="shared" si="43"/>
        <v>117.33333333333326</v>
      </c>
      <c r="CG41" s="243">
        <v>5</v>
      </c>
      <c r="CH41" s="241">
        <f t="shared" si="44"/>
        <v>23.466666666666651</v>
      </c>
      <c r="CI41" s="242">
        <f t="shared" si="45"/>
        <v>459.11118443466654</v>
      </c>
      <c r="CJ41" s="244">
        <v>4</v>
      </c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  <row r="42" spans="1:133" s="223" customFormat="1" ht="30.75" customHeight="1" x14ac:dyDescent="0.3">
      <c r="A42" s="224" t="s">
        <v>230</v>
      </c>
      <c r="B42" s="225" t="s">
        <v>1279</v>
      </c>
      <c r="C42" s="226">
        <v>0.46994170000000002</v>
      </c>
      <c r="D42" s="470">
        <f>PARÂMETROS!$E$19*C42</f>
        <v>566.52411818400003</v>
      </c>
      <c r="E42" s="470"/>
      <c r="F42" s="228">
        <v>0.29099999999999998</v>
      </c>
      <c r="G42" s="227">
        <f>F42*PARÂMETROS!$E$22</f>
        <v>12.329669999999998</v>
      </c>
      <c r="H42" s="228">
        <v>2E-3</v>
      </c>
      <c r="I42" s="227">
        <f>H42*PARÂMETROS!$E$22</f>
        <v>8.4739999999999996E-2</v>
      </c>
      <c r="J42" s="228">
        <f t="shared" si="23"/>
        <v>2.9100000000000001E-2</v>
      </c>
      <c r="K42" s="230">
        <f>J42*PARÂMETROS!$E$8</f>
        <v>0.898899</v>
      </c>
      <c r="L42" s="229">
        <f t="shared" si="24"/>
        <v>2.0000000000000001E-4</v>
      </c>
      <c r="M42" s="230">
        <f>L42*PARÂMETROS!$E$8</f>
        <v>6.1780000000000003E-3</v>
      </c>
      <c r="N42" s="231">
        <v>1.56</v>
      </c>
      <c r="O42" s="230">
        <f>N42*PARÂMETROS!$E$27</f>
        <v>4.68</v>
      </c>
      <c r="P42" s="170"/>
      <c r="Q42" s="191"/>
      <c r="R42" s="232" t="s">
        <v>1292</v>
      </c>
      <c r="S42" s="233">
        <f t="shared" si="25"/>
        <v>566.61503618400002</v>
      </c>
      <c r="T42" s="43"/>
      <c r="U42" s="232" t="s">
        <v>1292</v>
      </c>
      <c r="V42" s="233">
        <f t="shared" si="26"/>
        <v>579.84360518400001</v>
      </c>
      <c r="W42" s="43"/>
      <c r="X42" s="232" t="s">
        <v>1292</v>
      </c>
      <c r="Y42" s="233">
        <f t="shared" si="27"/>
        <v>584.52360518399996</v>
      </c>
      <c r="Z42" s="43"/>
      <c r="AA42" s="232" t="s">
        <v>1292</v>
      </c>
      <c r="AB42" s="234">
        <f>PARÂMETROS!$H$3</f>
        <v>40</v>
      </c>
      <c r="AC42" s="235">
        <v>2.1527777777777798E-2</v>
      </c>
      <c r="AD42" s="235">
        <v>6.9444444444444397E-3</v>
      </c>
      <c r="AE42" s="235">
        <v>2.0833333333333301E-2</v>
      </c>
      <c r="AF42" s="235">
        <v>6.9444444444444397E-3</v>
      </c>
      <c r="AG42" s="236"/>
      <c r="AH42" s="236"/>
      <c r="AI42" s="235">
        <v>6.9444444444444397E-3</v>
      </c>
      <c r="AJ42" s="235">
        <v>3.125E-2</v>
      </c>
      <c r="AK42" s="237">
        <f t="shared" si="28"/>
        <v>9.4444444444444414E-2</v>
      </c>
      <c r="AL42" s="234">
        <f t="shared" si="29"/>
        <v>90.666666666666643</v>
      </c>
      <c r="AM42" s="193"/>
      <c r="AN42" s="232" t="s">
        <v>1292</v>
      </c>
      <c r="AO42" s="234">
        <f>PARÂMETROS!$H$3</f>
        <v>40</v>
      </c>
      <c r="AP42" s="235">
        <v>2.1527777777777798E-2</v>
      </c>
      <c r="AQ42" s="235">
        <v>6.9444444444444397E-3</v>
      </c>
      <c r="AR42" s="235">
        <v>2.0833333333333301E-2</v>
      </c>
      <c r="AS42" s="235">
        <v>6.9444444444444397E-3</v>
      </c>
      <c r="AT42" s="235">
        <v>2.0833333333333301E-2</v>
      </c>
      <c r="AU42" s="236"/>
      <c r="AV42" s="235">
        <v>6.9444444444444397E-3</v>
      </c>
      <c r="AW42" s="235">
        <v>3.125E-2</v>
      </c>
      <c r="AX42" s="237">
        <f t="shared" si="30"/>
        <v>0.11527777777777772</v>
      </c>
      <c r="AY42" s="234">
        <f t="shared" si="31"/>
        <v>110.66666666666661</v>
      </c>
      <c r="AZ42" s="193"/>
      <c r="BA42" s="232" t="s">
        <v>1292</v>
      </c>
      <c r="BB42" s="234">
        <f>PARÂMETROS!$H$3</f>
        <v>40</v>
      </c>
      <c r="BC42" s="235">
        <v>2.1527777777777798E-2</v>
      </c>
      <c r="BD42" s="235">
        <v>6.9444444444444397E-3</v>
      </c>
      <c r="BE42" s="235">
        <v>2.0833333333333301E-2</v>
      </c>
      <c r="BF42" s="235">
        <v>6.9444444444444397E-3</v>
      </c>
      <c r="BG42" s="235">
        <v>2.0833333333333301E-2</v>
      </c>
      <c r="BH42" s="235">
        <v>6.9444444444444397E-3</v>
      </c>
      <c r="BI42" s="235">
        <v>6.9444444444444397E-3</v>
      </c>
      <c r="BJ42" s="235">
        <v>3.125E-2</v>
      </c>
      <c r="BK42" s="237">
        <f t="shared" si="32"/>
        <v>0.12222222222222215</v>
      </c>
      <c r="BL42" s="234">
        <f t="shared" si="33"/>
        <v>117.33333333333326</v>
      </c>
      <c r="BM42" s="43"/>
      <c r="BN42" s="232" t="s">
        <v>1292</v>
      </c>
      <c r="BO42" s="238">
        <f t="shared" si="34"/>
        <v>566.61503618400002</v>
      </c>
      <c r="BP42" s="239">
        <f t="shared" si="35"/>
        <v>90.666666666666643</v>
      </c>
      <c r="BQ42" s="243">
        <v>7</v>
      </c>
      <c r="BR42" s="241">
        <f t="shared" si="36"/>
        <v>12.952380952380949</v>
      </c>
      <c r="BS42" s="242">
        <f t="shared" si="37"/>
        <v>579.56741713638098</v>
      </c>
      <c r="BT42" s="240">
        <v>7</v>
      </c>
      <c r="BU42" s="43"/>
      <c r="BV42" s="232" t="s">
        <v>1292</v>
      </c>
      <c r="BW42" s="238">
        <f t="shared" si="38"/>
        <v>579.84360518400001</v>
      </c>
      <c r="BX42" s="239">
        <f t="shared" si="39"/>
        <v>110.66666666666661</v>
      </c>
      <c r="BY42" s="243">
        <v>5</v>
      </c>
      <c r="BZ42" s="241">
        <f t="shared" si="40"/>
        <v>22.133333333333322</v>
      </c>
      <c r="CA42" s="242">
        <f t="shared" si="41"/>
        <v>601.97693851733334</v>
      </c>
      <c r="CB42" s="240">
        <v>5</v>
      </c>
      <c r="CC42" s="23"/>
      <c r="CD42" s="232" t="s">
        <v>1292</v>
      </c>
      <c r="CE42" s="238">
        <f t="shared" si="42"/>
        <v>584.52360518399996</v>
      </c>
      <c r="CF42" s="239">
        <f t="shared" si="43"/>
        <v>117.33333333333326</v>
      </c>
      <c r="CG42" s="243">
        <v>3</v>
      </c>
      <c r="CH42" s="241">
        <f t="shared" si="44"/>
        <v>39.111111111111086</v>
      </c>
      <c r="CI42" s="242">
        <f t="shared" si="45"/>
        <v>623.63471629511105</v>
      </c>
      <c r="CJ42" s="244">
        <v>4</v>
      </c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</row>
    <row r="43" spans="1:133" s="223" customFormat="1" ht="30.75" customHeight="1" x14ac:dyDescent="0.3">
      <c r="A43" s="224" t="s">
        <v>234</v>
      </c>
      <c r="B43" s="225" t="s">
        <v>1279</v>
      </c>
      <c r="C43" s="226">
        <v>0.61655850000000001</v>
      </c>
      <c r="D43" s="470">
        <f>PARÂMETROS!$E$19*C43</f>
        <v>743.27360292000003</v>
      </c>
      <c r="E43" s="470"/>
      <c r="F43" s="228">
        <v>0.34599999999999997</v>
      </c>
      <c r="G43" s="227">
        <f>F43*PARÂMETROS!$E$22</f>
        <v>14.660019999999998</v>
      </c>
      <c r="H43" s="228">
        <v>2E-3</v>
      </c>
      <c r="I43" s="227">
        <f>H43*PARÂMETROS!$E$22</f>
        <v>8.4739999999999996E-2</v>
      </c>
      <c r="J43" s="228">
        <f t="shared" si="23"/>
        <v>3.4599999999999999E-2</v>
      </c>
      <c r="K43" s="230">
        <f>J43*PARÂMETROS!$E$8</f>
        <v>1.068794</v>
      </c>
      <c r="L43" s="229">
        <f t="shared" si="24"/>
        <v>2.0000000000000001E-4</v>
      </c>
      <c r="M43" s="230">
        <f>L43*PARÂMETROS!$E$8</f>
        <v>6.1780000000000003E-3</v>
      </c>
      <c r="N43" s="231">
        <v>1.66</v>
      </c>
      <c r="O43" s="230">
        <f>N43*PARÂMETROS!$E$27</f>
        <v>4.9799999999999995</v>
      </c>
      <c r="P43" s="170"/>
      <c r="Q43" s="191"/>
      <c r="R43" s="232" t="s">
        <v>1293</v>
      </c>
      <c r="S43" s="233">
        <f t="shared" si="25"/>
        <v>743.36452092000002</v>
      </c>
      <c r="T43" s="43"/>
      <c r="U43" s="232" t="s">
        <v>1293</v>
      </c>
      <c r="V43" s="233">
        <f t="shared" si="26"/>
        <v>759.09333492000007</v>
      </c>
      <c r="W43" s="43"/>
      <c r="X43" s="232" t="s">
        <v>1293</v>
      </c>
      <c r="Y43" s="233">
        <f t="shared" si="27"/>
        <v>764.07333492000009</v>
      </c>
      <c r="Z43" s="43"/>
      <c r="AA43" s="232" t="s">
        <v>1293</v>
      </c>
      <c r="AB43" s="234">
        <f>PARÂMETROS!$H$3</f>
        <v>40</v>
      </c>
      <c r="AC43" s="235">
        <v>2.1527777777777798E-2</v>
      </c>
      <c r="AD43" s="235">
        <v>6.9444444444444397E-3</v>
      </c>
      <c r="AE43" s="235">
        <v>2.0833333333333301E-2</v>
      </c>
      <c r="AF43" s="235">
        <v>6.9444444444444397E-3</v>
      </c>
      <c r="AG43" s="236"/>
      <c r="AH43" s="236"/>
      <c r="AI43" s="235">
        <v>6.9444444444444397E-3</v>
      </c>
      <c r="AJ43" s="235">
        <v>3.125E-2</v>
      </c>
      <c r="AK43" s="237">
        <f t="shared" si="28"/>
        <v>9.4444444444444414E-2</v>
      </c>
      <c r="AL43" s="234">
        <f t="shared" si="29"/>
        <v>90.666666666666643</v>
      </c>
      <c r="AM43" s="193"/>
      <c r="AN43" s="232" t="s">
        <v>1293</v>
      </c>
      <c r="AO43" s="234">
        <f>PARÂMETROS!$H$3</f>
        <v>40</v>
      </c>
      <c r="AP43" s="235">
        <v>2.1527777777777798E-2</v>
      </c>
      <c r="AQ43" s="235">
        <v>6.9444444444444397E-3</v>
      </c>
      <c r="AR43" s="235">
        <v>2.0833333333333301E-2</v>
      </c>
      <c r="AS43" s="235">
        <v>6.9444444444444397E-3</v>
      </c>
      <c r="AT43" s="235">
        <v>2.0833333333333301E-2</v>
      </c>
      <c r="AU43" s="236"/>
      <c r="AV43" s="235">
        <v>6.9444444444444397E-3</v>
      </c>
      <c r="AW43" s="235">
        <v>3.125E-2</v>
      </c>
      <c r="AX43" s="237">
        <f t="shared" si="30"/>
        <v>0.11527777777777772</v>
      </c>
      <c r="AY43" s="234">
        <f t="shared" si="31"/>
        <v>110.66666666666661</v>
      </c>
      <c r="AZ43" s="193"/>
      <c r="BA43" s="232" t="s">
        <v>1293</v>
      </c>
      <c r="BB43" s="234">
        <f>PARÂMETROS!$H$3</f>
        <v>40</v>
      </c>
      <c r="BC43" s="235">
        <v>2.1527777777777798E-2</v>
      </c>
      <c r="BD43" s="235">
        <v>6.9444444444444397E-3</v>
      </c>
      <c r="BE43" s="235">
        <v>2.0833333333333301E-2</v>
      </c>
      <c r="BF43" s="235">
        <v>6.9444444444444397E-3</v>
      </c>
      <c r="BG43" s="235">
        <v>2.0833333333333301E-2</v>
      </c>
      <c r="BH43" s="235">
        <v>6.9444444444444397E-3</v>
      </c>
      <c r="BI43" s="235">
        <v>6.9444444444444397E-3</v>
      </c>
      <c r="BJ43" s="235">
        <v>3.125E-2</v>
      </c>
      <c r="BK43" s="237">
        <f t="shared" si="32"/>
        <v>0.12222222222222215</v>
      </c>
      <c r="BL43" s="234">
        <f t="shared" si="33"/>
        <v>117.33333333333326</v>
      </c>
      <c r="BM43" s="43"/>
      <c r="BN43" s="232" t="s">
        <v>1293</v>
      </c>
      <c r="BO43" s="238">
        <f t="shared" si="34"/>
        <v>743.36452092000002</v>
      </c>
      <c r="BP43" s="239">
        <f t="shared" si="35"/>
        <v>90.666666666666643</v>
      </c>
      <c r="BQ43" s="243">
        <v>3</v>
      </c>
      <c r="BR43" s="241">
        <f t="shared" si="36"/>
        <v>30.222222222222214</v>
      </c>
      <c r="BS43" s="242">
        <f t="shared" si="37"/>
        <v>773.58674314222219</v>
      </c>
      <c r="BT43" s="240">
        <v>3</v>
      </c>
      <c r="BU43" s="43"/>
      <c r="BV43" s="232" t="s">
        <v>1293</v>
      </c>
      <c r="BW43" s="238">
        <f t="shared" si="38"/>
        <v>759.09333492000007</v>
      </c>
      <c r="BX43" s="239">
        <f t="shared" si="39"/>
        <v>110.66666666666661</v>
      </c>
      <c r="BY43" s="243">
        <v>3</v>
      </c>
      <c r="BZ43" s="241">
        <f t="shared" si="40"/>
        <v>36.888888888888872</v>
      </c>
      <c r="CA43" s="242">
        <f t="shared" si="41"/>
        <v>795.98222380888899</v>
      </c>
      <c r="CB43" s="240">
        <v>3</v>
      </c>
      <c r="CC43" s="23"/>
      <c r="CD43" s="232" t="s">
        <v>1293</v>
      </c>
      <c r="CE43" s="238">
        <f t="shared" si="42"/>
        <v>764.07333492000009</v>
      </c>
      <c r="CF43" s="239">
        <f t="shared" si="43"/>
        <v>117.33333333333326</v>
      </c>
      <c r="CG43" s="243">
        <v>3</v>
      </c>
      <c r="CH43" s="241">
        <f t="shared" si="44"/>
        <v>39.111111111111086</v>
      </c>
      <c r="CI43" s="242">
        <f t="shared" si="45"/>
        <v>803.18444603111118</v>
      </c>
      <c r="CJ43" s="244">
        <v>3</v>
      </c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</row>
    <row r="44" spans="1:133" s="223" customFormat="1" ht="30.75" customHeight="1" x14ac:dyDescent="0.3">
      <c r="A44" s="224" t="s">
        <v>238</v>
      </c>
      <c r="B44" s="225" t="s">
        <v>1279</v>
      </c>
      <c r="C44" s="226">
        <v>0.79085879999999997</v>
      </c>
      <c r="D44" s="470">
        <f>PARÂMETROS!$E$19*C44</f>
        <v>953.39610057599998</v>
      </c>
      <c r="E44" s="470"/>
      <c r="F44" s="228">
        <v>0.40600000000000003</v>
      </c>
      <c r="G44" s="227">
        <f>F44*PARÂMETROS!$E$22</f>
        <v>17.202220000000001</v>
      </c>
      <c r="H44" s="228">
        <v>2E-3</v>
      </c>
      <c r="I44" s="227">
        <f>H44*PARÂMETROS!$E$22</f>
        <v>8.4739999999999996E-2</v>
      </c>
      <c r="J44" s="228">
        <f t="shared" si="23"/>
        <v>4.0600000000000004E-2</v>
      </c>
      <c r="K44" s="230">
        <f>J44*PARÂMETROS!$E$8</f>
        <v>1.2541340000000001</v>
      </c>
      <c r="L44" s="229">
        <f t="shared" si="24"/>
        <v>2.0000000000000001E-4</v>
      </c>
      <c r="M44" s="230">
        <f>L44*PARÂMETROS!$E$8</f>
        <v>6.1780000000000003E-3</v>
      </c>
      <c r="N44" s="231">
        <v>1.8</v>
      </c>
      <c r="O44" s="230">
        <f>N44*PARÂMETROS!$E$27</f>
        <v>5.4</v>
      </c>
      <c r="P44" s="170"/>
      <c r="Q44" s="191"/>
      <c r="R44" s="232" t="s">
        <v>1294</v>
      </c>
      <c r="S44" s="233">
        <f t="shared" si="25"/>
        <v>953.48701857599997</v>
      </c>
      <c r="T44" s="43"/>
      <c r="U44" s="232" t="s">
        <v>1294</v>
      </c>
      <c r="V44" s="233">
        <f t="shared" si="26"/>
        <v>971.943372576</v>
      </c>
      <c r="W44" s="43"/>
      <c r="X44" s="232" t="s">
        <v>1294</v>
      </c>
      <c r="Y44" s="233">
        <f t="shared" si="27"/>
        <v>977.34337257599998</v>
      </c>
      <c r="Z44" s="43"/>
      <c r="AA44" s="232" t="s">
        <v>1294</v>
      </c>
      <c r="AB44" s="234">
        <f>PARÂMETROS!$H$3</f>
        <v>40</v>
      </c>
      <c r="AC44" s="235">
        <v>4.1666666666666699E-2</v>
      </c>
      <c r="AD44" s="235">
        <v>6.9444444444444397E-3</v>
      </c>
      <c r="AE44" s="235">
        <v>2.0833333333333301E-2</v>
      </c>
      <c r="AF44" s="235">
        <v>6.9444444444444397E-3</v>
      </c>
      <c r="AG44" s="236"/>
      <c r="AH44" s="236"/>
      <c r="AI44" s="235">
        <v>6.9444444444444397E-3</v>
      </c>
      <c r="AJ44" s="235">
        <v>3.125E-2</v>
      </c>
      <c r="AK44" s="237">
        <f t="shared" si="28"/>
        <v>0.11458333333333331</v>
      </c>
      <c r="AL44" s="234">
        <f t="shared" si="29"/>
        <v>109.99999999999997</v>
      </c>
      <c r="AM44" s="193"/>
      <c r="AN44" s="232" t="s">
        <v>1294</v>
      </c>
      <c r="AO44" s="234">
        <f>PARÂMETROS!$H$3</f>
        <v>40</v>
      </c>
      <c r="AP44" s="235">
        <v>4.1666666666666699E-2</v>
      </c>
      <c r="AQ44" s="235">
        <v>6.9444444444444397E-3</v>
      </c>
      <c r="AR44" s="235">
        <v>2.0833333333333301E-2</v>
      </c>
      <c r="AS44" s="235">
        <v>6.9444444444444397E-3</v>
      </c>
      <c r="AT44" s="235">
        <v>2.0833333333333301E-2</v>
      </c>
      <c r="AU44" s="236"/>
      <c r="AV44" s="235">
        <v>6.9444444444444397E-3</v>
      </c>
      <c r="AW44" s="235">
        <v>3.125E-2</v>
      </c>
      <c r="AX44" s="237">
        <f t="shared" si="30"/>
        <v>0.13541666666666663</v>
      </c>
      <c r="AY44" s="234">
        <f t="shared" si="31"/>
        <v>129.99999999999997</v>
      </c>
      <c r="AZ44" s="193"/>
      <c r="BA44" s="232" t="s">
        <v>1294</v>
      </c>
      <c r="BB44" s="234">
        <f>PARÂMETROS!$H$3</f>
        <v>40</v>
      </c>
      <c r="BC44" s="235">
        <v>4.1666666666666699E-2</v>
      </c>
      <c r="BD44" s="235">
        <v>6.9444444444444397E-3</v>
      </c>
      <c r="BE44" s="235">
        <v>2.0833333333333301E-2</v>
      </c>
      <c r="BF44" s="235">
        <v>6.9444444444444397E-3</v>
      </c>
      <c r="BG44" s="235">
        <v>2.0833333333333301E-2</v>
      </c>
      <c r="BH44" s="235">
        <v>6.9444444444444397E-3</v>
      </c>
      <c r="BI44" s="235">
        <v>6.9444444444444397E-3</v>
      </c>
      <c r="BJ44" s="235">
        <v>3.125E-2</v>
      </c>
      <c r="BK44" s="237">
        <f t="shared" si="32"/>
        <v>0.14236111111111105</v>
      </c>
      <c r="BL44" s="234">
        <f t="shared" si="33"/>
        <v>136.6666666666666</v>
      </c>
      <c r="BM44" s="43"/>
      <c r="BN44" s="232" t="s">
        <v>1294</v>
      </c>
      <c r="BO44" s="238">
        <f t="shared" si="34"/>
        <v>953.48701857599997</v>
      </c>
      <c r="BP44" s="239">
        <f t="shared" si="35"/>
        <v>109.99999999999997</v>
      </c>
      <c r="BQ44" s="243">
        <v>3</v>
      </c>
      <c r="BR44" s="241">
        <f t="shared" si="36"/>
        <v>36.666666666666657</v>
      </c>
      <c r="BS44" s="242">
        <f t="shared" si="37"/>
        <v>990.1536852426666</v>
      </c>
      <c r="BT44" s="240">
        <v>3</v>
      </c>
      <c r="BU44" s="43"/>
      <c r="BV44" s="232" t="s">
        <v>1294</v>
      </c>
      <c r="BW44" s="238">
        <f t="shared" si="38"/>
        <v>971.943372576</v>
      </c>
      <c r="BX44" s="239">
        <f t="shared" si="39"/>
        <v>129.99999999999997</v>
      </c>
      <c r="BY44" s="243">
        <v>3</v>
      </c>
      <c r="BZ44" s="241">
        <f t="shared" si="40"/>
        <v>43.333333333333321</v>
      </c>
      <c r="CA44" s="242">
        <f t="shared" si="41"/>
        <v>1015.2767059093334</v>
      </c>
      <c r="CB44" s="240">
        <v>3</v>
      </c>
      <c r="CC44" s="23"/>
      <c r="CD44" s="232" t="s">
        <v>1294</v>
      </c>
      <c r="CE44" s="238">
        <f t="shared" si="42"/>
        <v>977.34337257599998</v>
      </c>
      <c r="CF44" s="239">
        <f t="shared" si="43"/>
        <v>136.6666666666666</v>
      </c>
      <c r="CG44" s="243">
        <v>3</v>
      </c>
      <c r="CH44" s="241">
        <f t="shared" si="44"/>
        <v>45.555555555555536</v>
      </c>
      <c r="CI44" s="242">
        <f t="shared" si="45"/>
        <v>1022.8989281315555</v>
      </c>
      <c r="CJ44" s="244">
        <v>3</v>
      </c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</row>
    <row r="45" spans="1:133" s="223" customFormat="1" ht="30.75" customHeight="1" x14ac:dyDescent="0.3">
      <c r="A45" s="224" t="s">
        <v>242</v>
      </c>
      <c r="B45" s="225" t="s">
        <v>1279</v>
      </c>
      <c r="C45" s="226">
        <v>0.99523510000000004</v>
      </c>
      <c r="D45" s="470">
        <f>PARÂMETROS!$E$19*C45</f>
        <v>1199.775817752</v>
      </c>
      <c r="E45" s="470"/>
      <c r="F45" s="228">
        <v>0.47099999999999997</v>
      </c>
      <c r="G45" s="227">
        <f>F45*PARÂMETROS!$E$22</f>
        <v>19.956269999999996</v>
      </c>
      <c r="H45" s="228">
        <v>2E-3</v>
      </c>
      <c r="I45" s="227">
        <f>H45*PARÂMETROS!$E$22</f>
        <v>8.4739999999999996E-2</v>
      </c>
      <c r="J45" s="228">
        <f t="shared" si="23"/>
        <v>4.7100000000000003E-2</v>
      </c>
      <c r="K45" s="230">
        <f>J45*PARÂMETROS!$E$8</f>
        <v>1.4549190000000001</v>
      </c>
      <c r="L45" s="229">
        <f t="shared" si="24"/>
        <v>2.0000000000000001E-4</v>
      </c>
      <c r="M45" s="230">
        <f>L45*PARÂMETROS!$E$8</f>
        <v>6.1780000000000003E-3</v>
      </c>
      <c r="N45" s="231">
        <v>1.9</v>
      </c>
      <c r="O45" s="230">
        <f>N45*PARÂMETROS!$E$27</f>
        <v>5.6999999999999993</v>
      </c>
      <c r="P45" s="170"/>
      <c r="Q45" s="191"/>
      <c r="R45" s="232" t="s">
        <v>1295</v>
      </c>
      <c r="S45" s="233">
        <f t="shared" si="25"/>
        <v>1199.8667357520001</v>
      </c>
      <c r="T45" s="43"/>
      <c r="U45" s="232" t="s">
        <v>1295</v>
      </c>
      <c r="V45" s="233">
        <f t="shared" si="26"/>
        <v>1221.277924752</v>
      </c>
      <c r="W45" s="43"/>
      <c r="X45" s="232" t="s">
        <v>1295</v>
      </c>
      <c r="Y45" s="233">
        <f t="shared" si="27"/>
        <v>1226.977924752</v>
      </c>
      <c r="Z45" s="43"/>
      <c r="AA45" s="232" t="s">
        <v>1295</v>
      </c>
      <c r="AB45" s="234">
        <f>PARÂMETROS!$H$3</f>
        <v>40</v>
      </c>
      <c r="AC45" s="235">
        <v>4.1666666666666699E-2</v>
      </c>
      <c r="AD45" s="235">
        <v>6.9444444444444397E-3</v>
      </c>
      <c r="AE45" s="235">
        <v>2.0833333333333301E-2</v>
      </c>
      <c r="AF45" s="235">
        <v>6.9444444444444397E-3</v>
      </c>
      <c r="AG45" s="236"/>
      <c r="AH45" s="236"/>
      <c r="AI45" s="235">
        <v>6.9444444444444397E-3</v>
      </c>
      <c r="AJ45" s="235">
        <v>3.125E-2</v>
      </c>
      <c r="AK45" s="237">
        <f t="shared" si="28"/>
        <v>0.11458333333333331</v>
      </c>
      <c r="AL45" s="234">
        <f t="shared" si="29"/>
        <v>109.99999999999997</v>
      </c>
      <c r="AM45" s="193"/>
      <c r="AN45" s="232" t="s">
        <v>1295</v>
      </c>
      <c r="AO45" s="234">
        <f>PARÂMETROS!$H$3</f>
        <v>40</v>
      </c>
      <c r="AP45" s="235">
        <v>4.1666666666666699E-2</v>
      </c>
      <c r="AQ45" s="235">
        <v>6.9444444444444397E-3</v>
      </c>
      <c r="AR45" s="235">
        <v>2.0833333333333301E-2</v>
      </c>
      <c r="AS45" s="235">
        <v>6.9444444444444397E-3</v>
      </c>
      <c r="AT45" s="235">
        <v>2.0833333333333301E-2</v>
      </c>
      <c r="AU45" s="236"/>
      <c r="AV45" s="235">
        <v>6.9444444444444397E-3</v>
      </c>
      <c r="AW45" s="235">
        <v>3.125E-2</v>
      </c>
      <c r="AX45" s="237">
        <f t="shared" si="30"/>
        <v>0.13541666666666663</v>
      </c>
      <c r="AY45" s="234">
        <f t="shared" si="31"/>
        <v>129.99999999999997</v>
      </c>
      <c r="AZ45" s="193"/>
      <c r="BA45" s="232" t="s">
        <v>1295</v>
      </c>
      <c r="BB45" s="234">
        <f>PARÂMETROS!$H$3</f>
        <v>40</v>
      </c>
      <c r="BC45" s="235">
        <v>4.1666666666666699E-2</v>
      </c>
      <c r="BD45" s="235">
        <v>6.9444444444444397E-3</v>
      </c>
      <c r="BE45" s="235">
        <v>2.0833333333333301E-2</v>
      </c>
      <c r="BF45" s="235">
        <v>6.9444444444444397E-3</v>
      </c>
      <c r="BG45" s="235">
        <v>2.0833333333333301E-2</v>
      </c>
      <c r="BH45" s="235">
        <v>6.9444444444444397E-3</v>
      </c>
      <c r="BI45" s="235">
        <v>6.9444444444444397E-3</v>
      </c>
      <c r="BJ45" s="235">
        <v>3.125E-2</v>
      </c>
      <c r="BK45" s="237">
        <f t="shared" si="32"/>
        <v>0.14236111111111105</v>
      </c>
      <c r="BL45" s="234">
        <f t="shared" si="33"/>
        <v>136.6666666666666</v>
      </c>
      <c r="BM45" s="43"/>
      <c r="BN45" s="232" t="s">
        <v>1295</v>
      </c>
      <c r="BO45" s="238">
        <f t="shared" si="34"/>
        <v>1199.8667357520001</v>
      </c>
      <c r="BP45" s="239">
        <f t="shared" si="35"/>
        <v>109.99999999999997</v>
      </c>
      <c r="BQ45" s="243">
        <v>3</v>
      </c>
      <c r="BR45" s="241">
        <f t="shared" si="36"/>
        <v>36.666666666666657</v>
      </c>
      <c r="BS45" s="242">
        <f t="shared" si="37"/>
        <v>1236.5334024186668</v>
      </c>
      <c r="BT45" s="240">
        <v>3</v>
      </c>
      <c r="BU45" s="43"/>
      <c r="BV45" s="232" t="s">
        <v>1295</v>
      </c>
      <c r="BW45" s="238">
        <f t="shared" si="38"/>
        <v>1221.277924752</v>
      </c>
      <c r="BX45" s="239">
        <f t="shared" si="39"/>
        <v>129.99999999999997</v>
      </c>
      <c r="BY45" s="243">
        <v>3</v>
      </c>
      <c r="BZ45" s="241">
        <f t="shared" si="40"/>
        <v>43.333333333333321</v>
      </c>
      <c r="CA45" s="242">
        <f t="shared" si="41"/>
        <v>1264.6112580853332</v>
      </c>
      <c r="CB45" s="240">
        <v>3</v>
      </c>
      <c r="CC45" s="23"/>
      <c r="CD45" s="232" t="s">
        <v>1295</v>
      </c>
      <c r="CE45" s="238">
        <f t="shared" si="42"/>
        <v>1226.977924752</v>
      </c>
      <c r="CF45" s="239">
        <f t="shared" si="43"/>
        <v>136.6666666666666</v>
      </c>
      <c r="CG45" s="243">
        <v>2</v>
      </c>
      <c r="CH45" s="241">
        <f t="shared" si="44"/>
        <v>68.3333333333333</v>
      </c>
      <c r="CI45" s="242">
        <f t="shared" si="45"/>
        <v>1295.3112580853333</v>
      </c>
      <c r="CJ45" s="244">
        <v>3</v>
      </c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</row>
    <row r="46" spans="1:133" s="223" customFormat="1" ht="30.75" customHeight="1" x14ac:dyDescent="0.3">
      <c r="A46" s="224" t="s">
        <v>246</v>
      </c>
      <c r="B46" s="225" t="s">
        <v>1279</v>
      </c>
      <c r="C46" s="226">
        <v>1.2320800999999999</v>
      </c>
      <c r="D46" s="470">
        <f>PARÂMETROS!$E$19*C46</f>
        <v>1485.297202152</v>
      </c>
      <c r="E46" s="470"/>
      <c r="F46" s="228">
        <v>0.55000000000000004</v>
      </c>
      <c r="G46" s="227">
        <f>F46*PARÂMETROS!$E$22</f>
        <v>23.3035</v>
      </c>
      <c r="H46" s="228">
        <v>2E-3</v>
      </c>
      <c r="I46" s="227">
        <f>H46*PARÂMETROS!$E$22</f>
        <v>8.4739999999999996E-2</v>
      </c>
      <c r="J46" s="228">
        <f t="shared" si="23"/>
        <v>5.5000000000000007E-2</v>
      </c>
      <c r="K46" s="230">
        <f>J46*PARÂMETROS!$E$8</f>
        <v>1.6989500000000002</v>
      </c>
      <c r="L46" s="229">
        <f t="shared" si="24"/>
        <v>2.0000000000000001E-4</v>
      </c>
      <c r="M46" s="230">
        <f>L46*PARÂMETROS!$E$8</f>
        <v>6.1780000000000003E-3</v>
      </c>
      <c r="N46" s="231">
        <v>2</v>
      </c>
      <c r="O46" s="230">
        <f>N46*PARÂMETROS!$E$27</f>
        <v>6</v>
      </c>
      <c r="P46" s="170"/>
      <c r="Q46" s="191"/>
      <c r="R46" s="232" t="s">
        <v>1296</v>
      </c>
      <c r="S46" s="233">
        <f t="shared" si="25"/>
        <v>1485.3881201520001</v>
      </c>
      <c r="T46" s="43"/>
      <c r="U46" s="232" t="s">
        <v>1296</v>
      </c>
      <c r="V46" s="233">
        <f t="shared" si="26"/>
        <v>1510.390570152</v>
      </c>
      <c r="W46" s="43"/>
      <c r="X46" s="232" t="s">
        <v>1296</v>
      </c>
      <c r="Y46" s="233">
        <f t="shared" si="27"/>
        <v>1516.390570152</v>
      </c>
      <c r="Z46" s="43"/>
      <c r="AA46" s="232" t="s">
        <v>1296</v>
      </c>
      <c r="AB46" s="234">
        <f>PARÂMETROS!$H$3</f>
        <v>40</v>
      </c>
      <c r="AC46" s="235">
        <v>4.1666666666666699E-2</v>
      </c>
      <c r="AD46" s="235">
        <v>6.9444444444444397E-3</v>
      </c>
      <c r="AE46" s="235">
        <v>2.0833333333333301E-2</v>
      </c>
      <c r="AF46" s="235">
        <v>6.9444444444444397E-3</v>
      </c>
      <c r="AG46" s="236"/>
      <c r="AH46" s="236"/>
      <c r="AI46" s="235">
        <v>6.9444444444444397E-3</v>
      </c>
      <c r="AJ46" s="235">
        <v>3.125E-2</v>
      </c>
      <c r="AK46" s="237">
        <f t="shared" si="28"/>
        <v>0.11458333333333331</v>
      </c>
      <c r="AL46" s="234">
        <f t="shared" si="29"/>
        <v>109.99999999999997</v>
      </c>
      <c r="AM46" s="193"/>
      <c r="AN46" s="232" t="s">
        <v>1296</v>
      </c>
      <c r="AO46" s="234">
        <f>PARÂMETROS!$H$3</f>
        <v>40</v>
      </c>
      <c r="AP46" s="235">
        <v>4.1666666666666699E-2</v>
      </c>
      <c r="AQ46" s="235">
        <v>6.9444444444444397E-3</v>
      </c>
      <c r="AR46" s="235">
        <v>2.0833333333333301E-2</v>
      </c>
      <c r="AS46" s="235">
        <v>6.9444444444444397E-3</v>
      </c>
      <c r="AT46" s="235">
        <v>2.0833333333333301E-2</v>
      </c>
      <c r="AU46" s="236"/>
      <c r="AV46" s="235">
        <v>6.9444444444444397E-3</v>
      </c>
      <c r="AW46" s="235">
        <v>3.125E-2</v>
      </c>
      <c r="AX46" s="237">
        <f t="shared" si="30"/>
        <v>0.13541666666666663</v>
      </c>
      <c r="AY46" s="234">
        <f t="shared" si="31"/>
        <v>129.99999999999997</v>
      </c>
      <c r="AZ46" s="193"/>
      <c r="BA46" s="232" t="s">
        <v>1296</v>
      </c>
      <c r="BB46" s="234">
        <f>PARÂMETROS!$H$3</f>
        <v>40</v>
      </c>
      <c r="BC46" s="235">
        <v>4.1666666666666699E-2</v>
      </c>
      <c r="BD46" s="235">
        <v>6.9444444444444397E-3</v>
      </c>
      <c r="BE46" s="235">
        <v>2.0833333333333301E-2</v>
      </c>
      <c r="BF46" s="235">
        <v>6.9444444444444397E-3</v>
      </c>
      <c r="BG46" s="235">
        <v>2.0833333333333301E-2</v>
      </c>
      <c r="BH46" s="235">
        <v>6.9444444444444397E-3</v>
      </c>
      <c r="BI46" s="235">
        <v>6.9444444444444397E-3</v>
      </c>
      <c r="BJ46" s="235">
        <v>3.125E-2</v>
      </c>
      <c r="BK46" s="237">
        <f t="shared" si="32"/>
        <v>0.14236111111111105</v>
      </c>
      <c r="BL46" s="234">
        <f t="shared" si="33"/>
        <v>136.6666666666666</v>
      </c>
      <c r="BM46" s="43"/>
      <c r="BN46" s="232" t="s">
        <v>1296</v>
      </c>
      <c r="BO46" s="238">
        <f t="shared" si="34"/>
        <v>1485.3881201520001</v>
      </c>
      <c r="BP46" s="239">
        <f t="shared" si="35"/>
        <v>109.99999999999997</v>
      </c>
      <c r="BQ46" s="243">
        <v>2</v>
      </c>
      <c r="BR46" s="241">
        <f t="shared" si="36"/>
        <v>54.999999999999986</v>
      </c>
      <c r="BS46" s="242">
        <f t="shared" si="37"/>
        <v>1540.3881201520001</v>
      </c>
      <c r="BT46" s="240">
        <v>2</v>
      </c>
      <c r="BU46" s="43"/>
      <c r="BV46" s="232" t="s">
        <v>1296</v>
      </c>
      <c r="BW46" s="238">
        <f t="shared" si="38"/>
        <v>1510.390570152</v>
      </c>
      <c r="BX46" s="239">
        <f t="shared" si="39"/>
        <v>129.99999999999997</v>
      </c>
      <c r="BY46" s="243">
        <v>2</v>
      </c>
      <c r="BZ46" s="241">
        <f t="shared" si="40"/>
        <v>64.999999999999986</v>
      </c>
      <c r="CA46" s="242">
        <f t="shared" si="41"/>
        <v>1575.390570152</v>
      </c>
      <c r="CB46" s="240">
        <v>2</v>
      </c>
      <c r="CC46" s="23"/>
      <c r="CD46" s="232" t="s">
        <v>1296</v>
      </c>
      <c r="CE46" s="238">
        <f t="shared" si="42"/>
        <v>1516.390570152</v>
      </c>
      <c r="CF46" s="239">
        <f t="shared" si="43"/>
        <v>136.6666666666666</v>
      </c>
      <c r="CG46" s="243">
        <v>2</v>
      </c>
      <c r="CH46" s="241">
        <f t="shared" si="44"/>
        <v>68.3333333333333</v>
      </c>
      <c r="CI46" s="242">
        <f t="shared" si="45"/>
        <v>1584.7239034853333</v>
      </c>
      <c r="CJ46" s="244">
        <v>2</v>
      </c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</row>
    <row r="47" spans="1:133" s="223" customFormat="1" ht="30.75" customHeight="1" x14ac:dyDescent="0.3">
      <c r="A47" s="224" t="s">
        <v>250</v>
      </c>
      <c r="B47" s="225" t="s">
        <v>1279</v>
      </c>
      <c r="C47" s="226">
        <v>1.5037863</v>
      </c>
      <c r="D47" s="470">
        <f>PARÂMETROS!$E$19*C47</f>
        <v>1812.8444603759999</v>
      </c>
      <c r="E47" s="470"/>
      <c r="F47" s="228">
        <v>0.63</v>
      </c>
      <c r="G47" s="227">
        <f>F47*PARÂMETROS!$E$22</f>
        <v>26.693099999999998</v>
      </c>
      <c r="H47" s="228">
        <v>2E-3</v>
      </c>
      <c r="I47" s="227">
        <f>H47*PARÂMETROS!$E$22</f>
        <v>8.4739999999999996E-2</v>
      </c>
      <c r="J47" s="228">
        <f t="shared" si="23"/>
        <v>6.3E-2</v>
      </c>
      <c r="K47" s="230">
        <f>J47*PARÂMETROS!$E$8</f>
        <v>1.94607</v>
      </c>
      <c r="L47" s="229">
        <f t="shared" si="24"/>
        <v>2.0000000000000001E-4</v>
      </c>
      <c r="M47" s="230">
        <f>L47*PARÂMETROS!$E$8</f>
        <v>6.1780000000000003E-3</v>
      </c>
      <c r="N47" s="231">
        <v>2.1</v>
      </c>
      <c r="O47" s="230">
        <f>N47*PARÂMETROS!$E$27</f>
        <v>6.3000000000000007</v>
      </c>
      <c r="P47" s="170"/>
      <c r="Q47" s="191"/>
      <c r="R47" s="232" t="s">
        <v>1297</v>
      </c>
      <c r="S47" s="233">
        <f t="shared" si="25"/>
        <v>1812.935378376</v>
      </c>
      <c r="T47" s="43"/>
      <c r="U47" s="232" t="s">
        <v>1297</v>
      </c>
      <c r="V47" s="233">
        <f t="shared" si="26"/>
        <v>1841.5745483759999</v>
      </c>
      <c r="W47" s="43"/>
      <c r="X47" s="232" t="s">
        <v>1297</v>
      </c>
      <c r="Y47" s="233">
        <f t="shared" si="27"/>
        <v>1847.8745483759999</v>
      </c>
      <c r="Z47" s="43"/>
      <c r="AA47" s="232" t="s">
        <v>1297</v>
      </c>
      <c r="AB47" s="234">
        <f>PARÂMETROS!$H$3</f>
        <v>40</v>
      </c>
      <c r="AC47" s="235">
        <v>4.1666666666666699E-2</v>
      </c>
      <c r="AD47" s="235">
        <v>6.9444444444444397E-3</v>
      </c>
      <c r="AE47" s="235">
        <v>2.0833333333333301E-2</v>
      </c>
      <c r="AF47" s="235">
        <v>6.9444444444444397E-3</v>
      </c>
      <c r="AG47" s="236"/>
      <c r="AH47" s="236"/>
      <c r="AI47" s="235">
        <v>6.9444444444444397E-3</v>
      </c>
      <c r="AJ47" s="235">
        <v>3.125E-2</v>
      </c>
      <c r="AK47" s="237">
        <f t="shared" si="28"/>
        <v>0.11458333333333331</v>
      </c>
      <c r="AL47" s="234">
        <f t="shared" si="29"/>
        <v>109.99999999999997</v>
      </c>
      <c r="AM47" s="193"/>
      <c r="AN47" s="232" t="s">
        <v>1297</v>
      </c>
      <c r="AO47" s="234">
        <f>PARÂMETROS!$H$3</f>
        <v>40</v>
      </c>
      <c r="AP47" s="235">
        <v>4.1666666666666699E-2</v>
      </c>
      <c r="AQ47" s="235">
        <v>6.9444444444444397E-3</v>
      </c>
      <c r="AR47" s="235">
        <v>2.0833333333333301E-2</v>
      </c>
      <c r="AS47" s="235">
        <v>6.9444444444444397E-3</v>
      </c>
      <c r="AT47" s="235">
        <v>2.0833333333333301E-2</v>
      </c>
      <c r="AU47" s="236"/>
      <c r="AV47" s="235">
        <v>6.9444444444444397E-3</v>
      </c>
      <c r="AW47" s="235">
        <v>3.125E-2</v>
      </c>
      <c r="AX47" s="237">
        <f t="shared" si="30"/>
        <v>0.13541666666666663</v>
      </c>
      <c r="AY47" s="234">
        <f t="shared" si="31"/>
        <v>129.99999999999997</v>
      </c>
      <c r="AZ47" s="193"/>
      <c r="BA47" s="232" t="s">
        <v>1297</v>
      </c>
      <c r="BB47" s="234">
        <f>PARÂMETROS!$H$3</f>
        <v>40</v>
      </c>
      <c r="BC47" s="235">
        <v>4.1666666666666699E-2</v>
      </c>
      <c r="BD47" s="235">
        <v>6.9444444444444397E-3</v>
      </c>
      <c r="BE47" s="235">
        <v>2.0833333333333301E-2</v>
      </c>
      <c r="BF47" s="235">
        <v>6.9444444444444397E-3</v>
      </c>
      <c r="BG47" s="235">
        <v>2.0833333333333301E-2</v>
      </c>
      <c r="BH47" s="235">
        <v>6.9444444444444397E-3</v>
      </c>
      <c r="BI47" s="235">
        <v>6.9444444444444397E-3</v>
      </c>
      <c r="BJ47" s="235">
        <v>3.125E-2</v>
      </c>
      <c r="BK47" s="237">
        <f t="shared" si="32"/>
        <v>0.14236111111111105</v>
      </c>
      <c r="BL47" s="234">
        <f t="shared" si="33"/>
        <v>136.6666666666666</v>
      </c>
      <c r="BM47" s="43"/>
      <c r="BN47" s="232" t="s">
        <v>1297</v>
      </c>
      <c r="BO47" s="238">
        <f t="shared" si="34"/>
        <v>1812.935378376</v>
      </c>
      <c r="BP47" s="239">
        <f t="shared" si="35"/>
        <v>109.99999999999997</v>
      </c>
      <c r="BQ47" s="243">
        <v>2</v>
      </c>
      <c r="BR47" s="241">
        <f t="shared" si="36"/>
        <v>54.999999999999986</v>
      </c>
      <c r="BS47" s="242">
        <f t="shared" si="37"/>
        <v>1867.935378376</v>
      </c>
      <c r="BT47" s="240">
        <v>2</v>
      </c>
      <c r="BU47" s="43"/>
      <c r="BV47" s="232" t="s">
        <v>1297</v>
      </c>
      <c r="BW47" s="238">
        <f t="shared" si="38"/>
        <v>1841.5745483759999</v>
      </c>
      <c r="BX47" s="239">
        <f t="shared" si="39"/>
        <v>129.99999999999997</v>
      </c>
      <c r="BY47" s="243">
        <v>2</v>
      </c>
      <c r="BZ47" s="241">
        <f t="shared" si="40"/>
        <v>64.999999999999986</v>
      </c>
      <c r="CA47" s="242">
        <f t="shared" si="41"/>
        <v>1906.5745483759999</v>
      </c>
      <c r="CB47" s="240">
        <v>2</v>
      </c>
      <c r="CC47" s="23"/>
      <c r="CD47" s="232" t="s">
        <v>1297</v>
      </c>
      <c r="CE47" s="238">
        <f t="shared" si="42"/>
        <v>1847.8745483759999</v>
      </c>
      <c r="CF47" s="239">
        <f t="shared" si="43"/>
        <v>136.6666666666666</v>
      </c>
      <c r="CG47" s="243">
        <v>1</v>
      </c>
      <c r="CH47" s="241">
        <f t="shared" si="44"/>
        <v>136.6666666666666</v>
      </c>
      <c r="CI47" s="242">
        <f t="shared" si="45"/>
        <v>1984.5412150426664</v>
      </c>
      <c r="CJ47" s="244">
        <v>2</v>
      </c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</row>
    <row r="48" spans="1:133" s="223" customFormat="1" ht="30.75" customHeight="1" x14ac:dyDescent="0.3">
      <c r="A48" s="224" t="s">
        <v>254</v>
      </c>
      <c r="B48" s="225" t="s">
        <v>1279</v>
      </c>
      <c r="C48" s="226">
        <v>1.8127464</v>
      </c>
      <c r="D48" s="470">
        <f>PARÂMETROS!$E$19*C48</f>
        <v>2185.302040128</v>
      </c>
      <c r="E48" s="470"/>
      <c r="F48" s="228">
        <v>0.7</v>
      </c>
      <c r="G48" s="227">
        <f>F48*PARÂMETROS!$E$22</f>
        <v>29.658999999999995</v>
      </c>
      <c r="H48" s="228">
        <v>2E-3</v>
      </c>
      <c r="I48" s="227">
        <f>H48*PARÂMETROS!$E$22</f>
        <v>8.4739999999999996E-2</v>
      </c>
      <c r="J48" s="228">
        <f t="shared" si="23"/>
        <v>6.9999999999999993E-2</v>
      </c>
      <c r="K48" s="230">
        <f>J48*PARÂMETROS!$E$8</f>
        <v>2.1622999999999997</v>
      </c>
      <c r="L48" s="229">
        <f t="shared" si="24"/>
        <v>2.0000000000000001E-4</v>
      </c>
      <c r="M48" s="230">
        <f>L48*PARÂMETROS!$E$8</f>
        <v>6.1780000000000003E-3</v>
      </c>
      <c r="N48" s="231">
        <v>2.2000000000000002</v>
      </c>
      <c r="O48" s="230">
        <f>N48*PARÂMETROS!$E$27</f>
        <v>6.6000000000000005</v>
      </c>
      <c r="P48" s="170"/>
      <c r="Q48" s="191"/>
      <c r="R48" s="232" t="s">
        <v>1298</v>
      </c>
      <c r="S48" s="233">
        <f t="shared" si="25"/>
        <v>2185.3929581279999</v>
      </c>
      <c r="T48" s="43"/>
      <c r="U48" s="232" t="s">
        <v>1298</v>
      </c>
      <c r="V48" s="233">
        <f t="shared" si="26"/>
        <v>2217.214258128</v>
      </c>
      <c r="W48" s="43"/>
      <c r="X48" s="232" t="s">
        <v>1298</v>
      </c>
      <c r="Y48" s="233">
        <f t="shared" si="27"/>
        <v>2223.8142581279999</v>
      </c>
      <c r="Z48" s="43"/>
      <c r="AA48" s="232" t="s">
        <v>1298</v>
      </c>
      <c r="AB48" s="234">
        <f>PARÂMETROS!$H$3</f>
        <v>40</v>
      </c>
      <c r="AC48" s="235">
        <v>4.1666666666666699E-2</v>
      </c>
      <c r="AD48" s="235">
        <v>6.9444444444444397E-3</v>
      </c>
      <c r="AE48" s="235">
        <v>2.0833333333333301E-2</v>
      </c>
      <c r="AF48" s="235">
        <v>6.9444444444444397E-3</v>
      </c>
      <c r="AG48" s="236"/>
      <c r="AH48" s="236"/>
      <c r="AI48" s="235">
        <v>6.9444444444444397E-3</v>
      </c>
      <c r="AJ48" s="235">
        <v>3.125E-2</v>
      </c>
      <c r="AK48" s="237">
        <f t="shared" si="28"/>
        <v>0.11458333333333331</v>
      </c>
      <c r="AL48" s="234">
        <f t="shared" si="29"/>
        <v>109.99999999999997</v>
      </c>
      <c r="AM48" s="193"/>
      <c r="AN48" s="232" t="s">
        <v>1298</v>
      </c>
      <c r="AO48" s="234">
        <f>PARÂMETROS!$H$3</f>
        <v>40</v>
      </c>
      <c r="AP48" s="235">
        <v>4.1666666666666699E-2</v>
      </c>
      <c r="AQ48" s="235">
        <v>6.9444444444444397E-3</v>
      </c>
      <c r="AR48" s="235">
        <v>2.0833333333333301E-2</v>
      </c>
      <c r="AS48" s="235">
        <v>6.9444444444444397E-3</v>
      </c>
      <c r="AT48" s="235">
        <v>2.0833333333333301E-2</v>
      </c>
      <c r="AU48" s="236"/>
      <c r="AV48" s="235">
        <v>6.9444444444444397E-3</v>
      </c>
      <c r="AW48" s="235">
        <v>3.125E-2</v>
      </c>
      <c r="AX48" s="237">
        <f t="shared" si="30"/>
        <v>0.13541666666666663</v>
      </c>
      <c r="AY48" s="234">
        <f t="shared" si="31"/>
        <v>129.99999999999997</v>
      </c>
      <c r="AZ48" s="193"/>
      <c r="BA48" s="232" t="s">
        <v>1298</v>
      </c>
      <c r="BB48" s="234">
        <f>PARÂMETROS!$H$3</f>
        <v>40</v>
      </c>
      <c r="BC48" s="235">
        <v>4.1666666666666699E-2</v>
      </c>
      <c r="BD48" s="235">
        <v>6.9444444444444397E-3</v>
      </c>
      <c r="BE48" s="235">
        <v>2.0833333333333301E-2</v>
      </c>
      <c r="BF48" s="235">
        <v>6.9444444444444397E-3</v>
      </c>
      <c r="BG48" s="235">
        <v>2.0833333333333301E-2</v>
      </c>
      <c r="BH48" s="235">
        <v>6.9444444444444397E-3</v>
      </c>
      <c r="BI48" s="235">
        <v>6.9444444444444397E-3</v>
      </c>
      <c r="BJ48" s="235">
        <v>3.125E-2</v>
      </c>
      <c r="BK48" s="237">
        <f t="shared" si="32"/>
        <v>0.14236111111111105</v>
      </c>
      <c r="BL48" s="234">
        <f t="shared" si="33"/>
        <v>136.6666666666666</v>
      </c>
      <c r="BM48" s="43"/>
      <c r="BN48" s="232" t="s">
        <v>1298</v>
      </c>
      <c r="BO48" s="238">
        <f t="shared" si="34"/>
        <v>2185.3929581279999</v>
      </c>
      <c r="BP48" s="239">
        <f t="shared" si="35"/>
        <v>109.99999999999997</v>
      </c>
      <c r="BQ48" s="243">
        <v>2</v>
      </c>
      <c r="BR48" s="241">
        <f t="shared" si="36"/>
        <v>54.999999999999986</v>
      </c>
      <c r="BS48" s="242">
        <f t="shared" si="37"/>
        <v>2240.3929581279999</v>
      </c>
      <c r="BT48" s="240">
        <v>2</v>
      </c>
      <c r="BU48" s="43"/>
      <c r="BV48" s="232" t="s">
        <v>1298</v>
      </c>
      <c r="BW48" s="238">
        <f t="shared" si="38"/>
        <v>2217.214258128</v>
      </c>
      <c r="BX48" s="239">
        <f t="shared" si="39"/>
        <v>129.99999999999997</v>
      </c>
      <c r="BY48" s="243">
        <v>2</v>
      </c>
      <c r="BZ48" s="241">
        <f t="shared" si="40"/>
        <v>64.999999999999986</v>
      </c>
      <c r="CA48" s="242">
        <f t="shared" si="41"/>
        <v>2282.214258128</v>
      </c>
      <c r="CB48" s="240">
        <v>2</v>
      </c>
      <c r="CC48" s="23"/>
      <c r="CD48" s="232" t="s">
        <v>1298</v>
      </c>
      <c r="CE48" s="238">
        <f t="shared" si="42"/>
        <v>2223.8142581279999</v>
      </c>
      <c r="CF48" s="239">
        <f t="shared" si="43"/>
        <v>136.6666666666666</v>
      </c>
      <c r="CG48" s="243">
        <v>1</v>
      </c>
      <c r="CH48" s="241">
        <f t="shared" si="44"/>
        <v>136.6666666666666</v>
      </c>
      <c r="CI48" s="242">
        <f t="shared" si="45"/>
        <v>2360.4809247946664</v>
      </c>
      <c r="CJ48" s="244">
        <v>2</v>
      </c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</row>
    <row r="49" spans="1:133" s="223" customFormat="1" ht="30.75" customHeight="1" x14ac:dyDescent="0.3">
      <c r="A49" s="224" t="s">
        <v>258</v>
      </c>
      <c r="B49" s="225" t="s">
        <v>1279</v>
      </c>
      <c r="C49" s="226">
        <v>2.1613528</v>
      </c>
      <c r="D49" s="470">
        <f>PARÂMETROS!$E$19*C49</f>
        <v>2605.5540274559999</v>
      </c>
      <c r="E49" s="470"/>
      <c r="F49" s="228">
        <v>0.78</v>
      </c>
      <c r="G49" s="227">
        <f>F49*PARÂMETROS!$E$22</f>
        <v>33.0486</v>
      </c>
      <c r="H49" s="228">
        <v>2E-3</v>
      </c>
      <c r="I49" s="227">
        <f>H49*PARÂMETROS!$E$22</f>
        <v>8.4739999999999996E-2</v>
      </c>
      <c r="J49" s="228">
        <f t="shared" si="23"/>
        <v>7.8000000000000014E-2</v>
      </c>
      <c r="K49" s="230">
        <f>J49*PARÂMETROS!$E$8</f>
        <v>2.4094200000000003</v>
      </c>
      <c r="L49" s="229">
        <f t="shared" si="24"/>
        <v>2.0000000000000001E-4</v>
      </c>
      <c r="M49" s="230">
        <f>L49*PARÂMETROS!$E$8</f>
        <v>6.1780000000000003E-3</v>
      </c>
      <c r="N49" s="231">
        <v>2.2999999999999998</v>
      </c>
      <c r="O49" s="230">
        <f>N49*PARÂMETROS!$E$27</f>
        <v>6.8999999999999995</v>
      </c>
      <c r="P49" s="170"/>
      <c r="Q49" s="191"/>
      <c r="R49" s="232" t="s">
        <v>1299</v>
      </c>
      <c r="S49" s="233">
        <f t="shared" si="25"/>
        <v>2605.6449454559997</v>
      </c>
      <c r="T49" s="43"/>
      <c r="U49" s="232" t="s">
        <v>1299</v>
      </c>
      <c r="V49" s="233">
        <f t="shared" si="26"/>
        <v>2641.1029654559998</v>
      </c>
      <c r="W49" s="43"/>
      <c r="X49" s="232" t="s">
        <v>1299</v>
      </c>
      <c r="Y49" s="233">
        <f t="shared" si="27"/>
        <v>2648.0029654559999</v>
      </c>
      <c r="Z49" s="43"/>
      <c r="AA49" s="232" t="s">
        <v>1299</v>
      </c>
      <c r="AB49" s="234">
        <f>PARÂMETROS!$H$3</f>
        <v>40</v>
      </c>
      <c r="AC49" s="235">
        <v>4.1666666666666699E-2</v>
      </c>
      <c r="AD49" s="235">
        <v>6.9444444444444397E-3</v>
      </c>
      <c r="AE49" s="235">
        <v>2.0833333333333301E-2</v>
      </c>
      <c r="AF49" s="235">
        <v>6.9444444444444397E-3</v>
      </c>
      <c r="AG49" s="236"/>
      <c r="AH49" s="236"/>
      <c r="AI49" s="235">
        <v>6.9444444444444397E-3</v>
      </c>
      <c r="AJ49" s="235">
        <v>3.125E-2</v>
      </c>
      <c r="AK49" s="237">
        <f t="shared" si="28"/>
        <v>0.11458333333333331</v>
      </c>
      <c r="AL49" s="234">
        <f t="shared" si="29"/>
        <v>109.99999999999997</v>
      </c>
      <c r="AM49" s="193"/>
      <c r="AN49" s="232" t="s">
        <v>1299</v>
      </c>
      <c r="AO49" s="234">
        <f>PARÂMETROS!$H$3</f>
        <v>40</v>
      </c>
      <c r="AP49" s="235">
        <v>4.1666666666666699E-2</v>
      </c>
      <c r="AQ49" s="235">
        <v>6.9444444444444397E-3</v>
      </c>
      <c r="AR49" s="235">
        <v>2.0833333333333301E-2</v>
      </c>
      <c r="AS49" s="235">
        <v>6.9444444444444397E-3</v>
      </c>
      <c r="AT49" s="235">
        <v>2.0833333333333301E-2</v>
      </c>
      <c r="AU49" s="236"/>
      <c r="AV49" s="235">
        <v>6.9444444444444397E-3</v>
      </c>
      <c r="AW49" s="235">
        <v>3.125E-2</v>
      </c>
      <c r="AX49" s="237">
        <f t="shared" si="30"/>
        <v>0.13541666666666663</v>
      </c>
      <c r="AY49" s="234">
        <f t="shared" si="31"/>
        <v>129.99999999999997</v>
      </c>
      <c r="AZ49" s="193"/>
      <c r="BA49" s="232" t="s">
        <v>1299</v>
      </c>
      <c r="BB49" s="234">
        <f>PARÂMETROS!$H$3</f>
        <v>40</v>
      </c>
      <c r="BC49" s="235">
        <v>4.1666666666666699E-2</v>
      </c>
      <c r="BD49" s="235">
        <v>6.9444444444444397E-3</v>
      </c>
      <c r="BE49" s="235">
        <v>2.0833333333333301E-2</v>
      </c>
      <c r="BF49" s="235">
        <v>6.9444444444444397E-3</v>
      </c>
      <c r="BG49" s="235">
        <v>2.0833333333333301E-2</v>
      </c>
      <c r="BH49" s="235">
        <v>6.9444444444444397E-3</v>
      </c>
      <c r="BI49" s="235">
        <v>6.9444444444444397E-3</v>
      </c>
      <c r="BJ49" s="235">
        <v>3.125E-2</v>
      </c>
      <c r="BK49" s="237">
        <f t="shared" si="32"/>
        <v>0.14236111111111105</v>
      </c>
      <c r="BL49" s="234">
        <f t="shared" si="33"/>
        <v>136.6666666666666</v>
      </c>
      <c r="BM49" s="43"/>
      <c r="BN49" s="232" t="s">
        <v>1299</v>
      </c>
      <c r="BO49" s="238">
        <f t="shared" si="34"/>
        <v>2605.6449454559997</v>
      </c>
      <c r="BP49" s="239">
        <f t="shared" si="35"/>
        <v>109.99999999999997</v>
      </c>
      <c r="BQ49" s="243">
        <v>1</v>
      </c>
      <c r="BR49" s="241">
        <f t="shared" si="36"/>
        <v>109.99999999999997</v>
      </c>
      <c r="BS49" s="242">
        <f t="shared" si="37"/>
        <v>2715.6449454559997</v>
      </c>
      <c r="BT49" s="240">
        <v>1</v>
      </c>
      <c r="BU49" s="43"/>
      <c r="BV49" s="232" t="s">
        <v>1299</v>
      </c>
      <c r="BW49" s="238">
        <f t="shared" si="38"/>
        <v>2641.1029654559998</v>
      </c>
      <c r="BX49" s="239">
        <f t="shared" si="39"/>
        <v>129.99999999999997</v>
      </c>
      <c r="BY49" s="243">
        <v>1</v>
      </c>
      <c r="BZ49" s="241">
        <f t="shared" si="40"/>
        <v>129.99999999999997</v>
      </c>
      <c r="CA49" s="242">
        <f t="shared" si="41"/>
        <v>2771.1029654559998</v>
      </c>
      <c r="CB49" s="240">
        <v>1</v>
      </c>
      <c r="CC49" s="23"/>
      <c r="CD49" s="232" t="s">
        <v>1299</v>
      </c>
      <c r="CE49" s="238">
        <f t="shared" si="42"/>
        <v>2648.0029654559999</v>
      </c>
      <c r="CF49" s="239">
        <f t="shared" si="43"/>
        <v>136.6666666666666</v>
      </c>
      <c r="CG49" s="243">
        <v>1</v>
      </c>
      <c r="CH49" s="241">
        <f t="shared" si="44"/>
        <v>136.6666666666666</v>
      </c>
      <c r="CI49" s="242">
        <f t="shared" si="45"/>
        <v>2784.6696321226664</v>
      </c>
      <c r="CJ49" s="244">
        <v>1</v>
      </c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</row>
    <row r="50" spans="1:133" s="223" customFormat="1" ht="30.75" customHeight="1" x14ac:dyDescent="0.3">
      <c r="A50" s="224" t="s">
        <v>262</v>
      </c>
      <c r="B50" s="225" t="s">
        <v>1279</v>
      </c>
      <c r="C50" s="226">
        <v>2.5519981999999999</v>
      </c>
      <c r="D50" s="470">
        <f>PARÂMETROS!$E$19*C50</f>
        <v>3076.484870064</v>
      </c>
      <c r="E50" s="470"/>
      <c r="F50" s="228">
        <v>0.86699999999999999</v>
      </c>
      <c r="G50" s="227">
        <f>F50*PARÂMETROS!$E$22</f>
        <v>36.734789999999997</v>
      </c>
      <c r="H50" s="228">
        <v>2E-3</v>
      </c>
      <c r="I50" s="227">
        <f>H50*PARÂMETROS!$E$22</f>
        <v>8.4739999999999996E-2</v>
      </c>
      <c r="J50" s="228">
        <f t="shared" si="23"/>
        <v>8.6699999999999999E-2</v>
      </c>
      <c r="K50" s="230">
        <f>J50*PARÂMETROS!$E$8</f>
        <v>2.6781630000000001</v>
      </c>
      <c r="L50" s="229">
        <f t="shared" si="24"/>
        <v>2.0000000000000001E-4</v>
      </c>
      <c r="M50" s="230">
        <f>L50*PARÂMETROS!$E$8</f>
        <v>6.1780000000000003E-3</v>
      </c>
      <c r="N50" s="231">
        <v>2.44</v>
      </c>
      <c r="O50" s="230">
        <f>N50*PARÂMETROS!$E$27</f>
        <v>7.32</v>
      </c>
      <c r="P50" s="170"/>
      <c r="Q50" s="191"/>
      <c r="R50" s="232" t="s">
        <v>1300</v>
      </c>
      <c r="S50" s="233">
        <f t="shared" si="25"/>
        <v>3076.5757880639999</v>
      </c>
      <c r="T50" s="43"/>
      <c r="U50" s="232" t="s">
        <v>1300</v>
      </c>
      <c r="V50" s="233">
        <f t="shared" si="26"/>
        <v>3115.9887410639999</v>
      </c>
      <c r="W50" s="43"/>
      <c r="X50" s="232" t="s">
        <v>1300</v>
      </c>
      <c r="Y50" s="233">
        <f t="shared" si="27"/>
        <v>3123.3087410640001</v>
      </c>
      <c r="Z50" s="43"/>
      <c r="AA50" s="232" t="s">
        <v>1300</v>
      </c>
      <c r="AB50" s="234">
        <f>PARÂMETROS!$H$3</f>
        <v>40</v>
      </c>
      <c r="AC50" s="235">
        <v>4.1666666666666699E-2</v>
      </c>
      <c r="AD50" s="235">
        <v>6.9444444444444397E-3</v>
      </c>
      <c r="AE50" s="235">
        <v>2.0833333333333301E-2</v>
      </c>
      <c r="AF50" s="235">
        <v>6.9444444444444397E-3</v>
      </c>
      <c r="AG50" s="236"/>
      <c r="AH50" s="236"/>
      <c r="AI50" s="235">
        <v>6.9444444444444397E-3</v>
      </c>
      <c r="AJ50" s="235">
        <v>3.125E-2</v>
      </c>
      <c r="AK50" s="237">
        <f t="shared" si="28"/>
        <v>0.11458333333333331</v>
      </c>
      <c r="AL50" s="234">
        <f t="shared" si="29"/>
        <v>109.99999999999997</v>
      </c>
      <c r="AM50" s="193"/>
      <c r="AN50" s="232" t="s">
        <v>1300</v>
      </c>
      <c r="AO50" s="234">
        <f>PARÂMETROS!$H$3</f>
        <v>40</v>
      </c>
      <c r="AP50" s="235">
        <v>4.1666666666666699E-2</v>
      </c>
      <c r="AQ50" s="235">
        <v>6.9444444444444397E-3</v>
      </c>
      <c r="AR50" s="235">
        <v>2.0833333333333301E-2</v>
      </c>
      <c r="AS50" s="235">
        <v>6.9444444444444397E-3</v>
      </c>
      <c r="AT50" s="235">
        <v>2.0833333333333301E-2</v>
      </c>
      <c r="AU50" s="236"/>
      <c r="AV50" s="235">
        <v>6.9444444444444397E-3</v>
      </c>
      <c r="AW50" s="235">
        <v>3.125E-2</v>
      </c>
      <c r="AX50" s="237">
        <f t="shared" si="30"/>
        <v>0.13541666666666663</v>
      </c>
      <c r="AY50" s="234">
        <f t="shared" si="31"/>
        <v>129.99999999999997</v>
      </c>
      <c r="AZ50" s="193"/>
      <c r="BA50" s="232" t="s">
        <v>1300</v>
      </c>
      <c r="BB50" s="234">
        <f>PARÂMETROS!$H$3</f>
        <v>40</v>
      </c>
      <c r="BC50" s="235">
        <v>4.1666666666666699E-2</v>
      </c>
      <c r="BD50" s="235">
        <v>6.9444444444444397E-3</v>
      </c>
      <c r="BE50" s="235">
        <v>2.0833333333333301E-2</v>
      </c>
      <c r="BF50" s="235">
        <v>6.9444444444444397E-3</v>
      </c>
      <c r="BG50" s="235">
        <v>2.0833333333333301E-2</v>
      </c>
      <c r="BH50" s="235">
        <v>6.9444444444444397E-3</v>
      </c>
      <c r="BI50" s="235">
        <v>6.9444444444444397E-3</v>
      </c>
      <c r="BJ50" s="235">
        <v>3.125E-2</v>
      </c>
      <c r="BK50" s="237">
        <f t="shared" si="32"/>
        <v>0.14236111111111105</v>
      </c>
      <c r="BL50" s="234">
        <f t="shared" si="33"/>
        <v>136.6666666666666</v>
      </c>
      <c r="BM50" s="43"/>
      <c r="BN50" s="232" t="s">
        <v>1300</v>
      </c>
      <c r="BO50" s="238">
        <f t="shared" si="34"/>
        <v>3076.5757880639999</v>
      </c>
      <c r="BP50" s="239">
        <f t="shared" si="35"/>
        <v>109.99999999999997</v>
      </c>
      <c r="BQ50" s="243">
        <v>1</v>
      </c>
      <c r="BR50" s="241">
        <f t="shared" si="36"/>
        <v>109.99999999999997</v>
      </c>
      <c r="BS50" s="242">
        <f t="shared" si="37"/>
        <v>3186.5757880639999</v>
      </c>
      <c r="BT50" s="240">
        <v>1</v>
      </c>
      <c r="BU50" s="43"/>
      <c r="BV50" s="232" t="s">
        <v>1300</v>
      </c>
      <c r="BW50" s="238">
        <f t="shared" si="38"/>
        <v>3115.9887410639999</v>
      </c>
      <c r="BX50" s="239">
        <f t="shared" si="39"/>
        <v>129.99999999999997</v>
      </c>
      <c r="BY50" s="243">
        <v>1</v>
      </c>
      <c r="BZ50" s="241">
        <f t="shared" si="40"/>
        <v>129.99999999999997</v>
      </c>
      <c r="CA50" s="242">
        <f t="shared" si="41"/>
        <v>3245.9887410639999</v>
      </c>
      <c r="CB50" s="240">
        <v>1</v>
      </c>
      <c r="CC50" s="23"/>
      <c r="CD50" s="232" t="s">
        <v>1300</v>
      </c>
      <c r="CE50" s="238">
        <f t="shared" si="42"/>
        <v>3123.3087410640001</v>
      </c>
      <c r="CF50" s="239">
        <f t="shared" si="43"/>
        <v>136.6666666666666</v>
      </c>
      <c r="CG50" s="243">
        <v>1</v>
      </c>
      <c r="CH50" s="241">
        <f t="shared" si="44"/>
        <v>136.6666666666666</v>
      </c>
      <c r="CI50" s="242">
        <f t="shared" si="45"/>
        <v>3259.9754077306666</v>
      </c>
      <c r="CJ50" s="244">
        <v>1</v>
      </c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</row>
    <row r="51" spans="1:133" s="223" customFormat="1" ht="30.75" customHeight="1" x14ac:dyDescent="0.3">
      <c r="A51" s="224" t="s">
        <v>266</v>
      </c>
      <c r="B51" s="225" t="s">
        <v>1279</v>
      </c>
      <c r="C51" s="226">
        <v>2.9870752</v>
      </c>
      <c r="D51" s="470">
        <f>PARÂMETROS!$E$19*C51</f>
        <v>3600.978895104</v>
      </c>
      <c r="E51" s="470"/>
      <c r="F51" s="228">
        <v>1</v>
      </c>
      <c r="G51" s="227">
        <f>F51*PARÂMETROS!$E$22</f>
        <v>42.37</v>
      </c>
      <c r="H51" s="228">
        <v>2E-3</v>
      </c>
      <c r="I51" s="227">
        <f>H51*PARÂMETROS!$E$22</f>
        <v>8.4739999999999996E-2</v>
      </c>
      <c r="J51" s="228">
        <f t="shared" si="23"/>
        <v>0.1</v>
      </c>
      <c r="K51" s="230">
        <f>J51*PARÂMETROS!$E$8</f>
        <v>3.0890000000000004</v>
      </c>
      <c r="L51" s="229">
        <f t="shared" si="24"/>
        <v>2.0000000000000001E-4</v>
      </c>
      <c r="M51" s="230">
        <f>L51*PARÂMETROS!$E$8</f>
        <v>6.1780000000000003E-3</v>
      </c>
      <c r="N51" s="231">
        <v>2.56</v>
      </c>
      <c r="O51" s="230">
        <f>N51*PARÂMETROS!$E$27</f>
        <v>7.68</v>
      </c>
      <c r="P51" s="170"/>
      <c r="Q51" s="191"/>
      <c r="R51" s="232" t="s">
        <v>1301</v>
      </c>
      <c r="S51" s="233">
        <f t="shared" si="25"/>
        <v>3601.0698131039999</v>
      </c>
      <c r="T51" s="43"/>
      <c r="U51" s="232" t="s">
        <v>1301</v>
      </c>
      <c r="V51" s="233">
        <f t="shared" si="26"/>
        <v>3646.5288131039997</v>
      </c>
      <c r="W51" s="43"/>
      <c r="X51" s="232" t="s">
        <v>1301</v>
      </c>
      <c r="Y51" s="233">
        <f t="shared" si="27"/>
        <v>3654.2088131039995</v>
      </c>
      <c r="Z51" s="43"/>
      <c r="AA51" s="232" t="s">
        <v>1301</v>
      </c>
      <c r="AB51" s="234">
        <f>PARÂMETROS!$H$3</f>
        <v>40</v>
      </c>
      <c r="AC51" s="235">
        <v>8.3333333333333301E-2</v>
      </c>
      <c r="AD51" s="235">
        <v>6.9444444444444397E-3</v>
      </c>
      <c r="AE51" s="235">
        <v>2.0833333333333301E-2</v>
      </c>
      <c r="AF51" s="235">
        <v>6.9444444444444397E-3</v>
      </c>
      <c r="AG51" s="236"/>
      <c r="AH51" s="236"/>
      <c r="AI51" s="235">
        <v>6.9444444444444397E-3</v>
      </c>
      <c r="AJ51" s="235">
        <v>3.125E-2</v>
      </c>
      <c r="AK51" s="237">
        <f t="shared" si="28"/>
        <v>0.15624999999999989</v>
      </c>
      <c r="AL51" s="234">
        <f t="shared" si="29"/>
        <v>149.99999999999989</v>
      </c>
      <c r="AM51" s="193"/>
      <c r="AN51" s="232" t="s">
        <v>1301</v>
      </c>
      <c r="AO51" s="234">
        <f>PARÂMETROS!$H$3</f>
        <v>40</v>
      </c>
      <c r="AP51" s="235">
        <v>8.3333333333333301E-2</v>
      </c>
      <c r="AQ51" s="235">
        <v>6.9444444444444397E-3</v>
      </c>
      <c r="AR51" s="235">
        <v>2.0833333333333301E-2</v>
      </c>
      <c r="AS51" s="235">
        <v>6.9444444444444397E-3</v>
      </c>
      <c r="AT51" s="235">
        <v>2.0833333333333301E-2</v>
      </c>
      <c r="AU51" s="236"/>
      <c r="AV51" s="235">
        <v>6.9444444444444397E-3</v>
      </c>
      <c r="AW51" s="235">
        <v>3.125E-2</v>
      </c>
      <c r="AX51" s="237">
        <f t="shared" si="30"/>
        <v>0.17708333333333323</v>
      </c>
      <c r="AY51" s="234">
        <f t="shared" si="31"/>
        <v>169.99999999999991</v>
      </c>
      <c r="AZ51" s="193"/>
      <c r="BA51" s="232" t="s">
        <v>1301</v>
      </c>
      <c r="BB51" s="234">
        <f>PARÂMETROS!$H$3</f>
        <v>40</v>
      </c>
      <c r="BC51" s="235">
        <v>8.3333333333333301E-2</v>
      </c>
      <c r="BD51" s="235">
        <v>6.9444444444444397E-3</v>
      </c>
      <c r="BE51" s="235">
        <v>2.0833333333333301E-2</v>
      </c>
      <c r="BF51" s="235">
        <v>6.9444444444444397E-3</v>
      </c>
      <c r="BG51" s="235">
        <v>2.0833333333333301E-2</v>
      </c>
      <c r="BH51" s="235">
        <v>6.9444444444444397E-3</v>
      </c>
      <c r="BI51" s="235">
        <v>6.9444444444444397E-3</v>
      </c>
      <c r="BJ51" s="235">
        <v>3.125E-2</v>
      </c>
      <c r="BK51" s="237">
        <f t="shared" si="32"/>
        <v>0.18402777777777768</v>
      </c>
      <c r="BL51" s="234">
        <f t="shared" si="33"/>
        <v>176.66666666666657</v>
      </c>
      <c r="BM51" s="43"/>
      <c r="BN51" s="232" t="s">
        <v>1301</v>
      </c>
      <c r="BO51" s="238">
        <f t="shared" si="34"/>
        <v>3601.0698131039999</v>
      </c>
      <c r="BP51" s="239">
        <f t="shared" si="35"/>
        <v>149.99999999999989</v>
      </c>
      <c r="BQ51" s="243">
        <v>1</v>
      </c>
      <c r="BR51" s="241">
        <f t="shared" si="36"/>
        <v>149.99999999999989</v>
      </c>
      <c r="BS51" s="242">
        <f t="shared" si="37"/>
        <v>3751.0698131039999</v>
      </c>
      <c r="BT51" s="240">
        <v>1</v>
      </c>
      <c r="BU51" s="43"/>
      <c r="BV51" s="232" t="s">
        <v>1301</v>
      </c>
      <c r="BW51" s="238">
        <f t="shared" si="38"/>
        <v>3646.5288131039997</v>
      </c>
      <c r="BX51" s="239">
        <f t="shared" si="39"/>
        <v>169.99999999999991</v>
      </c>
      <c r="BY51" s="243">
        <v>1</v>
      </c>
      <c r="BZ51" s="241">
        <f t="shared" si="40"/>
        <v>169.99999999999991</v>
      </c>
      <c r="CA51" s="242">
        <f t="shared" si="41"/>
        <v>3816.5288131039997</v>
      </c>
      <c r="CB51" s="240">
        <v>1</v>
      </c>
      <c r="CC51" s="23"/>
      <c r="CD51" s="232" t="s">
        <v>1301</v>
      </c>
      <c r="CE51" s="238">
        <f t="shared" si="42"/>
        <v>3654.2088131039995</v>
      </c>
      <c r="CF51" s="239">
        <f t="shared" si="43"/>
        <v>176.66666666666657</v>
      </c>
      <c r="CG51" s="243">
        <v>1</v>
      </c>
      <c r="CH51" s="241">
        <f t="shared" si="44"/>
        <v>176.66666666666657</v>
      </c>
      <c r="CI51" s="242">
        <f t="shared" si="45"/>
        <v>3830.8754797706661</v>
      </c>
      <c r="CJ51" s="244">
        <v>1</v>
      </c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</row>
    <row r="52" spans="1:133" s="223" customFormat="1" ht="30.75" customHeight="1" x14ac:dyDescent="0.3">
      <c r="A52" s="224" t="s">
        <v>270</v>
      </c>
      <c r="B52" s="225" t="s">
        <v>1279</v>
      </c>
      <c r="C52" s="226">
        <v>3.4689762000000002</v>
      </c>
      <c r="D52" s="470">
        <f>PARÂMETROS!$E$19*C52</f>
        <v>4181.9201886239998</v>
      </c>
      <c r="E52" s="470"/>
      <c r="F52" s="228">
        <v>1.08</v>
      </c>
      <c r="G52" s="227">
        <f>F52*PARÂMETROS!$E$22</f>
        <v>45.759599999999999</v>
      </c>
      <c r="H52" s="228">
        <v>2E-3</v>
      </c>
      <c r="I52" s="227">
        <f>H52*PARÂMETROS!$E$22</f>
        <v>8.4739999999999996E-2</v>
      </c>
      <c r="J52" s="228">
        <f t="shared" si="23"/>
        <v>0.10800000000000001</v>
      </c>
      <c r="K52" s="230">
        <f>J52*PARÂMETROS!$E$8</f>
        <v>3.3361200000000006</v>
      </c>
      <c r="L52" s="229">
        <f t="shared" si="24"/>
        <v>2.0000000000000001E-4</v>
      </c>
      <c r="M52" s="230">
        <f>L52*PARÂMETROS!$E$8</f>
        <v>6.1780000000000003E-3</v>
      </c>
      <c r="N52" s="231">
        <v>2.68</v>
      </c>
      <c r="O52" s="230">
        <f>N52*PARÂMETROS!$E$27</f>
        <v>8.0400000000000009</v>
      </c>
      <c r="P52" s="170"/>
      <c r="Q52" s="191"/>
      <c r="R52" s="232" t="s">
        <v>1302</v>
      </c>
      <c r="S52" s="233">
        <f t="shared" si="25"/>
        <v>4182.0111066239997</v>
      </c>
      <c r="T52" s="43"/>
      <c r="U52" s="232" t="s">
        <v>1302</v>
      </c>
      <c r="V52" s="233">
        <f t="shared" si="26"/>
        <v>4231.106826624</v>
      </c>
      <c r="W52" s="43"/>
      <c r="X52" s="232" t="s">
        <v>1302</v>
      </c>
      <c r="Y52" s="233">
        <f t="shared" si="27"/>
        <v>4239.1468266239999</v>
      </c>
      <c r="Z52" s="43"/>
      <c r="AA52" s="232" t="s">
        <v>1302</v>
      </c>
      <c r="AB52" s="234">
        <f>PARÂMETROS!$H$3</f>
        <v>40</v>
      </c>
      <c r="AC52" s="235">
        <v>8.3333333333333301E-2</v>
      </c>
      <c r="AD52" s="235">
        <v>6.9444444444444397E-3</v>
      </c>
      <c r="AE52" s="235">
        <v>2.0833333333333301E-2</v>
      </c>
      <c r="AF52" s="235">
        <v>6.9444444444444397E-3</v>
      </c>
      <c r="AG52" s="236"/>
      <c r="AH52" s="236"/>
      <c r="AI52" s="235">
        <v>6.9444444444444397E-3</v>
      </c>
      <c r="AJ52" s="235">
        <v>3.125E-2</v>
      </c>
      <c r="AK52" s="237">
        <f t="shared" si="28"/>
        <v>0.15624999999999989</v>
      </c>
      <c r="AL52" s="234">
        <f t="shared" si="29"/>
        <v>149.99999999999989</v>
      </c>
      <c r="AM52" s="193"/>
      <c r="AN52" s="232" t="s">
        <v>1302</v>
      </c>
      <c r="AO52" s="234">
        <f>PARÂMETROS!$H$3</f>
        <v>40</v>
      </c>
      <c r="AP52" s="235">
        <v>8.3333333333333301E-2</v>
      </c>
      <c r="AQ52" s="235">
        <v>6.9444444444444397E-3</v>
      </c>
      <c r="AR52" s="235">
        <v>2.0833333333333301E-2</v>
      </c>
      <c r="AS52" s="235">
        <v>6.9444444444444397E-3</v>
      </c>
      <c r="AT52" s="235">
        <v>2.0833333333333301E-2</v>
      </c>
      <c r="AU52" s="236"/>
      <c r="AV52" s="235">
        <v>6.9444444444444397E-3</v>
      </c>
      <c r="AW52" s="235">
        <v>3.125E-2</v>
      </c>
      <c r="AX52" s="237">
        <f t="shared" si="30"/>
        <v>0.17708333333333323</v>
      </c>
      <c r="AY52" s="234">
        <f t="shared" si="31"/>
        <v>169.99999999999991</v>
      </c>
      <c r="AZ52" s="193"/>
      <c r="BA52" s="232" t="s">
        <v>1302</v>
      </c>
      <c r="BB52" s="234">
        <f>PARÂMETROS!$H$3</f>
        <v>40</v>
      </c>
      <c r="BC52" s="235">
        <v>8.3333333333333301E-2</v>
      </c>
      <c r="BD52" s="235">
        <v>6.9444444444444397E-3</v>
      </c>
      <c r="BE52" s="235">
        <v>2.0833333333333301E-2</v>
      </c>
      <c r="BF52" s="235">
        <v>6.9444444444444397E-3</v>
      </c>
      <c r="BG52" s="235">
        <v>2.0833333333333301E-2</v>
      </c>
      <c r="BH52" s="235">
        <v>6.9444444444444397E-3</v>
      </c>
      <c r="BI52" s="235">
        <v>6.9444444444444397E-3</v>
      </c>
      <c r="BJ52" s="235">
        <v>3.125E-2</v>
      </c>
      <c r="BK52" s="237">
        <f t="shared" si="32"/>
        <v>0.18402777777777768</v>
      </c>
      <c r="BL52" s="234">
        <f t="shared" si="33"/>
        <v>176.66666666666657</v>
      </c>
      <c r="BM52" s="43"/>
      <c r="BN52" s="232" t="s">
        <v>1302</v>
      </c>
      <c r="BO52" s="238">
        <f t="shared" si="34"/>
        <v>4182.0111066239997</v>
      </c>
      <c r="BP52" s="239">
        <f t="shared" si="35"/>
        <v>149.99999999999989</v>
      </c>
      <c r="BQ52" s="243">
        <v>1</v>
      </c>
      <c r="BR52" s="241">
        <f t="shared" si="36"/>
        <v>149.99999999999989</v>
      </c>
      <c r="BS52" s="242">
        <f t="shared" si="37"/>
        <v>4332.0111066239997</v>
      </c>
      <c r="BT52" s="240">
        <v>1</v>
      </c>
      <c r="BU52" s="43"/>
      <c r="BV52" s="232" t="s">
        <v>1302</v>
      </c>
      <c r="BW52" s="238">
        <f t="shared" si="38"/>
        <v>4231.106826624</v>
      </c>
      <c r="BX52" s="239">
        <f t="shared" si="39"/>
        <v>169.99999999999991</v>
      </c>
      <c r="BY52" s="243">
        <v>1</v>
      </c>
      <c r="BZ52" s="241">
        <f t="shared" si="40"/>
        <v>169.99999999999991</v>
      </c>
      <c r="CA52" s="242">
        <f t="shared" si="41"/>
        <v>4401.106826624</v>
      </c>
      <c r="CB52" s="240">
        <v>1</v>
      </c>
      <c r="CC52" s="23"/>
      <c r="CD52" s="232" t="s">
        <v>1302</v>
      </c>
      <c r="CE52" s="238">
        <f t="shared" si="42"/>
        <v>4239.1468266239999</v>
      </c>
      <c r="CF52" s="239">
        <f t="shared" si="43"/>
        <v>176.66666666666657</v>
      </c>
      <c r="CG52" s="243">
        <v>1</v>
      </c>
      <c r="CH52" s="241">
        <f t="shared" si="44"/>
        <v>176.66666666666657</v>
      </c>
      <c r="CI52" s="242">
        <f t="shared" si="45"/>
        <v>4415.8134932906669</v>
      </c>
      <c r="CJ52" s="244">
        <v>1</v>
      </c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</row>
    <row r="53" spans="1:133" s="223" customFormat="1" ht="30.75" customHeight="1" x14ac:dyDescent="0.3">
      <c r="A53" s="224" t="s">
        <v>274</v>
      </c>
      <c r="B53" s="225" t="s">
        <v>1279</v>
      </c>
      <c r="C53" s="226">
        <v>4.0000939999999998</v>
      </c>
      <c r="D53" s="470">
        <f>PARÂMETROS!$E$19*C53</f>
        <v>4822.1933188799994</v>
      </c>
      <c r="E53" s="470"/>
      <c r="F53" s="228">
        <v>1.1619999999999999</v>
      </c>
      <c r="G53" s="227">
        <f>F53*PARÂMETROS!$E$22</f>
        <v>49.233939999999997</v>
      </c>
      <c r="H53" s="228">
        <v>2E-3</v>
      </c>
      <c r="I53" s="227">
        <f>H53*PARÂMETROS!$E$22</f>
        <v>8.4739999999999996E-2</v>
      </c>
      <c r="J53" s="228">
        <f t="shared" si="23"/>
        <v>0.1162</v>
      </c>
      <c r="K53" s="230">
        <f>J53*PARÂMETROS!$E$8</f>
        <v>3.5894179999999998</v>
      </c>
      <c r="L53" s="229">
        <f t="shared" si="24"/>
        <v>2.0000000000000001E-4</v>
      </c>
      <c r="M53" s="230">
        <f>L53*PARÂMETROS!$E$8</f>
        <v>6.1780000000000003E-3</v>
      </c>
      <c r="N53" s="231">
        <v>2.76</v>
      </c>
      <c r="O53" s="230">
        <f>N53*PARÂMETROS!$E$27</f>
        <v>8.2799999999999994</v>
      </c>
      <c r="P53" s="170"/>
      <c r="Q53" s="191"/>
      <c r="R53" s="232" t="s">
        <v>1303</v>
      </c>
      <c r="S53" s="233">
        <f t="shared" si="25"/>
        <v>4822.2842368799993</v>
      </c>
      <c r="T53" s="43"/>
      <c r="U53" s="232" t="s">
        <v>1303</v>
      </c>
      <c r="V53" s="233">
        <f t="shared" si="26"/>
        <v>4875.1075948799989</v>
      </c>
      <c r="W53" s="43"/>
      <c r="X53" s="232" t="s">
        <v>1303</v>
      </c>
      <c r="Y53" s="233">
        <f t="shared" si="27"/>
        <v>4883.3875948799987</v>
      </c>
      <c r="Z53" s="43"/>
      <c r="AA53" s="232" t="s">
        <v>1303</v>
      </c>
      <c r="AB53" s="234">
        <f>PARÂMETROS!$H$3</f>
        <v>40</v>
      </c>
      <c r="AC53" s="235">
        <v>8.3333333333333301E-2</v>
      </c>
      <c r="AD53" s="235">
        <v>6.9444444444444397E-3</v>
      </c>
      <c r="AE53" s="235">
        <v>2.0833333333333301E-2</v>
      </c>
      <c r="AF53" s="235">
        <v>6.9444444444444397E-3</v>
      </c>
      <c r="AG53" s="236"/>
      <c r="AH53" s="236"/>
      <c r="AI53" s="235">
        <v>6.9444444444444397E-3</v>
      </c>
      <c r="AJ53" s="235">
        <v>3.125E-2</v>
      </c>
      <c r="AK53" s="237">
        <f t="shared" si="28"/>
        <v>0.15624999999999989</v>
      </c>
      <c r="AL53" s="234">
        <f t="shared" si="29"/>
        <v>149.99999999999989</v>
      </c>
      <c r="AM53" s="193"/>
      <c r="AN53" s="232" t="s">
        <v>1303</v>
      </c>
      <c r="AO53" s="234">
        <f>PARÂMETROS!$H$3</f>
        <v>40</v>
      </c>
      <c r="AP53" s="235">
        <v>8.3333333333333301E-2</v>
      </c>
      <c r="AQ53" s="235">
        <v>6.9444444444444397E-3</v>
      </c>
      <c r="AR53" s="235">
        <v>2.0833333333333301E-2</v>
      </c>
      <c r="AS53" s="235">
        <v>6.9444444444444397E-3</v>
      </c>
      <c r="AT53" s="235">
        <v>2.0833333333333301E-2</v>
      </c>
      <c r="AU53" s="236"/>
      <c r="AV53" s="235">
        <v>6.9444444444444397E-3</v>
      </c>
      <c r="AW53" s="235">
        <v>3.125E-2</v>
      </c>
      <c r="AX53" s="237">
        <f t="shared" si="30"/>
        <v>0.17708333333333323</v>
      </c>
      <c r="AY53" s="234">
        <f t="shared" si="31"/>
        <v>169.99999999999991</v>
      </c>
      <c r="AZ53" s="193"/>
      <c r="BA53" s="232" t="s">
        <v>1303</v>
      </c>
      <c r="BB53" s="234">
        <f>PARÂMETROS!$H$3</f>
        <v>40</v>
      </c>
      <c r="BC53" s="235">
        <v>8.3333333333333301E-2</v>
      </c>
      <c r="BD53" s="235">
        <v>6.9444444444444397E-3</v>
      </c>
      <c r="BE53" s="235">
        <v>2.0833333333333301E-2</v>
      </c>
      <c r="BF53" s="235">
        <v>6.9444444444444397E-3</v>
      </c>
      <c r="BG53" s="235">
        <v>2.0833333333333301E-2</v>
      </c>
      <c r="BH53" s="235">
        <v>6.9444444444444397E-3</v>
      </c>
      <c r="BI53" s="235">
        <v>6.9444444444444397E-3</v>
      </c>
      <c r="BJ53" s="235">
        <v>3.125E-2</v>
      </c>
      <c r="BK53" s="237">
        <f t="shared" si="32"/>
        <v>0.18402777777777768</v>
      </c>
      <c r="BL53" s="234">
        <f t="shared" si="33"/>
        <v>176.66666666666657</v>
      </c>
      <c r="BM53" s="43"/>
      <c r="BN53" s="232" t="s">
        <v>1303</v>
      </c>
      <c r="BO53" s="238">
        <f t="shared" si="34"/>
        <v>4822.2842368799993</v>
      </c>
      <c r="BP53" s="239">
        <f t="shared" si="35"/>
        <v>149.99999999999989</v>
      </c>
      <c r="BQ53" s="243">
        <v>1</v>
      </c>
      <c r="BR53" s="241">
        <f t="shared" si="36"/>
        <v>149.99999999999989</v>
      </c>
      <c r="BS53" s="242">
        <f t="shared" si="37"/>
        <v>4972.2842368799993</v>
      </c>
      <c r="BT53" s="240">
        <v>1</v>
      </c>
      <c r="BU53" s="43"/>
      <c r="BV53" s="232" t="s">
        <v>1303</v>
      </c>
      <c r="BW53" s="238">
        <f t="shared" si="38"/>
        <v>4875.1075948799989</v>
      </c>
      <c r="BX53" s="239">
        <f t="shared" si="39"/>
        <v>169.99999999999991</v>
      </c>
      <c r="BY53" s="243">
        <v>1</v>
      </c>
      <c r="BZ53" s="241">
        <f t="shared" si="40"/>
        <v>169.99999999999991</v>
      </c>
      <c r="CA53" s="242">
        <f t="shared" si="41"/>
        <v>5045.1075948799989</v>
      </c>
      <c r="CB53" s="240">
        <v>1</v>
      </c>
      <c r="CC53" s="23"/>
      <c r="CD53" s="232" t="s">
        <v>1303</v>
      </c>
      <c r="CE53" s="238">
        <f t="shared" si="42"/>
        <v>4883.3875948799987</v>
      </c>
      <c r="CF53" s="239">
        <f t="shared" si="43"/>
        <v>176.66666666666657</v>
      </c>
      <c r="CG53" s="243">
        <v>1</v>
      </c>
      <c r="CH53" s="241">
        <f t="shared" si="44"/>
        <v>176.66666666666657</v>
      </c>
      <c r="CI53" s="242">
        <f t="shared" si="45"/>
        <v>5060.0542615466657</v>
      </c>
      <c r="CJ53" s="244">
        <v>1</v>
      </c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</row>
    <row r="54" spans="1:133" s="223" customFormat="1" ht="30.75" customHeight="1" x14ac:dyDescent="0.3">
      <c r="A54" s="224" t="s">
        <v>278</v>
      </c>
      <c r="B54" s="225" t="s">
        <v>1279</v>
      </c>
      <c r="C54" s="226">
        <v>4.582821</v>
      </c>
      <c r="D54" s="470">
        <f>PARÂMETROS!$E$19*C54</f>
        <v>5524.6823719200002</v>
      </c>
      <c r="E54" s="470"/>
      <c r="F54" s="228">
        <v>1.27</v>
      </c>
      <c r="G54" s="227">
        <f>F54*PARÂMETROS!$E$22</f>
        <v>53.809899999999999</v>
      </c>
      <c r="H54" s="228">
        <v>2E-3</v>
      </c>
      <c r="I54" s="227">
        <f>H54*PARÂMETROS!$E$22</f>
        <v>8.4739999999999996E-2</v>
      </c>
      <c r="J54" s="228">
        <f t="shared" si="23"/>
        <v>0.127</v>
      </c>
      <c r="K54" s="230">
        <f>J54*PARÂMETROS!$E$8</f>
        <v>3.9230300000000002</v>
      </c>
      <c r="L54" s="229">
        <f t="shared" si="24"/>
        <v>2.0000000000000001E-4</v>
      </c>
      <c r="M54" s="230">
        <f>L54*PARÂMETROS!$E$8</f>
        <v>6.1780000000000003E-3</v>
      </c>
      <c r="N54" s="231">
        <v>2.8</v>
      </c>
      <c r="O54" s="230">
        <f>N54*PARÂMETROS!$E$27</f>
        <v>8.3999999999999986</v>
      </c>
      <c r="P54" s="170"/>
      <c r="Q54" s="191"/>
      <c r="R54" s="232" t="s">
        <v>1304</v>
      </c>
      <c r="S54" s="233">
        <f t="shared" si="25"/>
        <v>5524.77328992</v>
      </c>
      <c r="T54" s="43"/>
      <c r="U54" s="232" t="s">
        <v>1304</v>
      </c>
      <c r="V54" s="233">
        <f t="shared" si="26"/>
        <v>5582.5062199200001</v>
      </c>
      <c r="W54" s="43"/>
      <c r="X54" s="232" t="s">
        <v>1304</v>
      </c>
      <c r="Y54" s="233">
        <f t="shared" si="27"/>
        <v>5590.9062199199998</v>
      </c>
      <c r="Z54" s="43"/>
      <c r="AA54" s="232" t="s">
        <v>1304</v>
      </c>
      <c r="AB54" s="234">
        <f>PARÂMETROS!$H$3</f>
        <v>40</v>
      </c>
      <c r="AC54" s="235">
        <v>8.3333333333333301E-2</v>
      </c>
      <c r="AD54" s="235">
        <v>6.9444444444444397E-3</v>
      </c>
      <c r="AE54" s="235">
        <v>2.0833333333333301E-2</v>
      </c>
      <c r="AF54" s="235">
        <v>6.9444444444444397E-3</v>
      </c>
      <c r="AG54" s="236"/>
      <c r="AH54" s="236"/>
      <c r="AI54" s="235">
        <v>6.9444444444444397E-3</v>
      </c>
      <c r="AJ54" s="235">
        <v>3.125E-2</v>
      </c>
      <c r="AK54" s="237">
        <f t="shared" si="28"/>
        <v>0.15624999999999989</v>
      </c>
      <c r="AL54" s="234">
        <f t="shared" si="29"/>
        <v>149.99999999999989</v>
      </c>
      <c r="AM54" s="193"/>
      <c r="AN54" s="232" t="s">
        <v>1304</v>
      </c>
      <c r="AO54" s="234">
        <f>PARÂMETROS!$H$3</f>
        <v>40</v>
      </c>
      <c r="AP54" s="235">
        <v>8.3333333333333301E-2</v>
      </c>
      <c r="AQ54" s="235">
        <v>6.9444444444444397E-3</v>
      </c>
      <c r="AR54" s="235">
        <v>2.0833333333333301E-2</v>
      </c>
      <c r="AS54" s="235">
        <v>6.9444444444444397E-3</v>
      </c>
      <c r="AT54" s="235">
        <v>2.0833333333333301E-2</v>
      </c>
      <c r="AU54" s="236"/>
      <c r="AV54" s="235">
        <v>6.9444444444444397E-3</v>
      </c>
      <c r="AW54" s="235">
        <v>3.125E-2</v>
      </c>
      <c r="AX54" s="237">
        <f t="shared" si="30"/>
        <v>0.17708333333333323</v>
      </c>
      <c r="AY54" s="234">
        <f t="shared" si="31"/>
        <v>169.99999999999991</v>
      </c>
      <c r="AZ54" s="193"/>
      <c r="BA54" s="232" t="s">
        <v>1304</v>
      </c>
      <c r="BB54" s="234">
        <f>PARÂMETROS!$H$3</f>
        <v>40</v>
      </c>
      <c r="BC54" s="235">
        <v>8.3333333333333301E-2</v>
      </c>
      <c r="BD54" s="235">
        <v>6.9444444444444397E-3</v>
      </c>
      <c r="BE54" s="235">
        <v>2.0833333333333301E-2</v>
      </c>
      <c r="BF54" s="235">
        <v>6.9444444444444397E-3</v>
      </c>
      <c r="BG54" s="235">
        <v>2.0833333333333301E-2</v>
      </c>
      <c r="BH54" s="235">
        <v>6.9444444444444397E-3</v>
      </c>
      <c r="BI54" s="235">
        <v>6.9444444444444397E-3</v>
      </c>
      <c r="BJ54" s="235">
        <v>3.125E-2</v>
      </c>
      <c r="BK54" s="237">
        <f t="shared" si="32"/>
        <v>0.18402777777777768</v>
      </c>
      <c r="BL54" s="234">
        <f t="shared" si="33"/>
        <v>176.66666666666657</v>
      </c>
      <c r="BM54" s="43"/>
      <c r="BN54" s="232" t="s">
        <v>1304</v>
      </c>
      <c r="BO54" s="238">
        <f t="shared" si="34"/>
        <v>5524.77328992</v>
      </c>
      <c r="BP54" s="239">
        <f t="shared" si="35"/>
        <v>149.99999999999989</v>
      </c>
      <c r="BQ54" s="243">
        <v>1</v>
      </c>
      <c r="BR54" s="241">
        <f t="shared" si="36"/>
        <v>149.99999999999989</v>
      </c>
      <c r="BS54" s="242">
        <f t="shared" si="37"/>
        <v>5674.77328992</v>
      </c>
      <c r="BT54" s="240">
        <v>1</v>
      </c>
      <c r="BU54" s="43"/>
      <c r="BV54" s="232" t="s">
        <v>1304</v>
      </c>
      <c r="BW54" s="238">
        <f t="shared" si="38"/>
        <v>5582.5062199200001</v>
      </c>
      <c r="BX54" s="239">
        <f t="shared" si="39"/>
        <v>169.99999999999991</v>
      </c>
      <c r="BY54" s="243">
        <v>1</v>
      </c>
      <c r="BZ54" s="241">
        <f t="shared" si="40"/>
        <v>169.99999999999991</v>
      </c>
      <c r="CA54" s="242">
        <f t="shared" si="41"/>
        <v>5752.5062199200001</v>
      </c>
      <c r="CB54" s="240">
        <v>1</v>
      </c>
      <c r="CC54" s="23"/>
      <c r="CD54" s="232" t="s">
        <v>1304</v>
      </c>
      <c r="CE54" s="238">
        <f t="shared" si="42"/>
        <v>5590.9062199199998</v>
      </c>
      <c r="CF54" s="239">
        <f t="shared" si="43"/>
        <v>176.66666666666657</v>
      </c>
      <c r="CG54" s="243">
        <v>1</v>
      </c>
      <c r="CH54" s="241">
        <f t="shared" si="44"/>
        <v>176.66666666666657</v>
      </c>
      <c r="CI54" s="242">
        <f t="shared" si="45"/>
        <v>5767.5728865866668</v>
      </c>
      <c r="CJ54" s="244">
        <v>1</v>
      </c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</row>
    <row r="55" spans="1:133" s="223" customFormat="1" ht="30.75" customHeight="1" x14ac:dyDescent="0.3">
      <c r="A55" s="224" t="s">
        <v>189</v>
      </c>
      <c r="B55" s="225" t="s">
        <v>1305</v>
      </c>
      <c r="C55" s="226">
        <v>3.6650000000000002E-4</v>
      </c>
      <c r="D55" s="470">
        <f>PARÂMETROS!$E$20*C55</f>
        <v>0.58909743999999997</v>
      </c>
      <c r="E55" s="470"/>
      <c r="F55" s="228">
        <v>2E-3</v>
      </c>
      <c r="G55" s="227">
        <f>F55*PARÂMETROS!$E$22</f>
        <v>8.4739999999999996E-2</v>
      </c>
      <c r="H55" s="228">
        <v>2E-3</v>
      </c>
      <c r="I55" s="227">
        <f>H55*PARÂMETROS!$E$22</f>
        <v>8.4739999999999996E-2</v>
      </c>
      <c r="J55" s="228">
        <f t="shared" si="23"/>
        <v>2.0000000000000001E-4</v>
      </c>
      <c r="K55" s="230">
        <f>J55*PARÂMETROS!$E$8</f>
        <v>6.1780000000000003E-3</v>
      </c>
      <c r="L55" s="229">
        <f t="shared" si="24"/>
        <v>2.0000000000000001E-4</v>
      </c>
      <c r="M55" s="230">
        <f>L55*PARÂMETROS!$E$8</f>
        <v>6.1780000000000003E-3</v>
      </c>
      <c r="N55" s="231">
        <v>0.3</v>
      </c>
      <c r="O55" s="230">
        <f>N55*PARÂMETROS!$E$27</f>
        <v>0.89999999999999991</v>
      </c>
      <c r="P55" s="170"/>
      <c r="Q55" s="191"/>
      <c r="R55" s="232" t="s">
        <v>1306</v>
      </c>
      <c r="S55" s="233">
        <f t="shared" si="25"/>
        <v>0.68001544000000003</v>
      </c>
      <c r="T55" s="43"/>
      <c r="U55" s="232" t="s">
        <v>1306</v>
      </c>
      <c r="V55" s="233">
        <f t="shared" si="26"/>
        <v>0.77093344000000008</v>
      </c>
      <c r="W55" s="43"/>
      <c r="X55" s="232" t="s">
        <v>1306</v>
      </c>
      <c r="Y55" s="233">
        <f t="shared" si="27"/>
        <v>1.67093344</v>
      </c>
      <c r="Z55" s="43"/>
      <c r="AA55" s="232" t="s">
        <v>1306</v>
      </c>
      <c r="AB55" s="234">
        <f>PARÂMETROS!$H$3</f>
        <v>40</v>
      </c>
      <c r="AC55" s="235">
        <v>2.1527777777777798E-2</v>
      </c>
      <c r="AD55" s="235">
        <v>6.9444444444444397E-3</v>
      </c>
      <c r="AE55" s="235">
        <v>6.9444444444444397E-3</v>
      </c>
      <c r="AF55" s="235">
        <v>6.9444444444444397E-3</v>
      </c>
      <c r="AG55" s="236"/>
      <c r="AH55" s="236"/>
      <c r="AI55" s="235">
        <v>6.9444444444444397E-3</v>
      </c>
      <c r="AJ55" s="235">
        <v>3.125E-2</v>
      </c>
      <c r="AK55" s="237">
        <f t="shared" si="28"/>
        <v>8.0555555555555561E-2</v>
      </c>
      <c r="AL55" s="234">
        <f t="shared" si="29"/>
        <v>77.333333333333343</v>
      </c>
      <c r="AM55" s="193"/>
      <c r="AN55" s="232" t="s">
        <v>1306</v>
      </c>
      <c r="AO55" s="234">
        <f>PARÂMETROS!$H$3</f>
        <v>40</v>
      </c>
      <c r="AP55" s="235">
        <v>2.1527777777777798E-2</v>
      </c>
      <c r="AQ55" s="235">
        <v>6.9444444444444397E-3</v>
      </c>
      <c r="AR55" s="235">
        <v>6.9444444444444397E-3</v>
      </c>
      <c r="AS55" s="235">
        <v>6.9444444444444397E-3</v>
      </c>
      <c r="AT55" s="235">
        <v>2.0833333333333301E-2</v>
      </c>
      <c r="AU55" s="236"/>
      <c r="AV55" s="235">
        <v>6.9444444444444397E-3</v>
      </c>
      <c r="AW55" s="235">
        <v>3.125E-2</v>
      </c>
      <c r="AX55" s="237">
        <f t="shared" si="30"/>
        <v>0.10138888888888885</v>
      </c>
      <c r="AY55" s="234">
        <f t="shared" si="31"/>
        <v>97.333333333333286</v>
      </c>
      <c r="AZ55" s="193"/>
      <c r="BA55" s="232" t="s">
        <v>1306</v>
      </c>
      <c r="BB55" s="234">
        <f>PARÂMETROS!$H$3</f>
        <v>40</v>
      </c>
      <c r="BC55" s="235">
        <v>2.1527777777777798E-2</v>
      </c>
      <c r="BD55" s="235">
        <v>6.9444444444444397E-3</v>
      </c>
      <c r="BE55" s="235">
        <v>6.9444444444444397E-3</v>
      </c>
      <c r="BF55" s="235">
        <v>6.9444444444444397E-3</v>
      </c>
      <c r="BG55" s="235">
        <v>2.0833333333333301E-2</v>
      </c>
      <c r="BH55" s="235">
        <v>6.9444444444444397E-3</v>
      </c>
      <c r="BI55" s="235">
        <v>6.9444444444444397E-3</v>
      </c>
      <c r="BJ55" s="235">
        <v>3.125E-2</v>
      </c>
      <c r="BK55" s="237">
        <f t="shared" si="32"/>
        <v>0.10833333333333328</v>
      </c>
      <c r="BL55" s="234">
        <f t="shared" si="33"/>
        <v>103.99999999999994</v>
      </c>
      <c r="BM55" s="43"/>
      <c r="BN55" s="232" t="s">
        <v>1306</v>
      </c>
      <c r="BO55" s="238">
        <f t="shared" si="34"/>
        <v>0.68001544000000003</v>
      </c>
      <c r="BP55" s="239">
        <f t="shared" si="35"/>
        <v>77.333333333333343</v>
      </c>
      <c r="BQ55" s="243">
        <v>50</v>
      </c>
      <c r="BR55" s="241">
        <f t="shared" si="36"/>
        <v>1.5466666666666669</v>
      </c>
      <c r="BS55" s="242">
        <f t="shared" si="37"/>
        <v>2.2266821066666669</v>
      </c>
      <c r="BT55" s="240">
        <v>50</v>
      </c>
      <c r="BU55" s="43"/>
      <c r="BV55" s="232" t="s">
        <v>1306</v>
      </c>
      <c r="BW55" s="238">
        <f t="shared" si="38"/>
        <v>0.77093344000000008</v>
      </c>
      <c r="BX55" s="239">
        <f t="shared" si="39"/>
        <v>97.333333333333286</v>
      </c>
      <c r="BY55" s="243">
        <v>35</v>
      </c>
      <c r="BZ55" s="241">
        <f t="shared" si="40"/>
        <v>2.7809523809523795</v>
      </c>
      <c r="CA55" s="242">
        <f t="shared" si="41"/>
        <v>3.5518858209523794</v>
      </c>
      <c r="CB55" s="240">
        <v>35</v>
      </c>
      <c r="CC55" s="23"/>
      <c r="CD55" s="232" t="s">
        <v>1306</v>
      </c>
      <c r="CE55" s="238">
        <f t="shared" si="42"/>
        <v>1.67093344</v>
      </c>
      <c r="CF55" s="239">
        <f t="shared" si="43"/>
        <v>103.99999999999994</v>
      </c>
      <c r="CG55" s="243">
        <v>5</v>
      </c>
      <c r="CH55" s="241">
        <f t="shared" si="44"/>
        <v>20.79999999999999</v>
      </c>
      <c r="CI55" s="242">
        <f t="shared" si="45"/>
        <v>22.470933439999989</v>
      </c>
      <c r="CJ55" s="244">
        <v>5</v>
      </c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</row>
    <row r="56" spans="1:133" s="223" customFormat="1" ht="30.75" customHeight="1" x14ac:dyDescent="0.3">
      <c r="A56" s="224" t="s">
        <v>196</v>
      </c>
      <c r="B56" s="225" t="s">
        <v>1305</v>
      </c>
      <c r="C56" s="226">
        <v>1.3734000000000001E-3</v>
      </c>
      <c r="D56" s="470">
        <f>PARÂMETROS!$E$20*C56</f>
        <v>2.2075482239999999</v>
      </c>
      <c r="E56" s="470"/>
      <c r="F56" s="228">
        <v>6.0000000000000001E-3</v>
      </c>
      <c r="G56" s="227">
        <f>F56*PARÂMETROS!$E$22</f>
        <v>0.25422</v>
      </c>
      <c r="H56" s="228">
        <v>2E-3</v>
      </c>
      <c r="I56" s="227">
        <f>H56*PARÂMETROS!$E$22</f>
        <v>8.4739999999999996E-2</v>
      </c>
      <c r="J56" s="228">
        <f t="shared" si="23"/>
        <v>6.0000000000000006E-4</v>
      </c>
      <c r="K56" s="230">
        <f>J56*PARÂMETROS!$E$8</f>
        <v>1.8534000000000002E-2</v>
      </c>
      <c r="L56" s="229">
        <f t="shared" si="24"/>
        <v>2.0000000000000001E-4</v>
      </c>
      <c r="M56" s="230">
        <f>L56*PARÂMETROS!$E$8</f>
        <v>6.1780000000000003E-3</v>
      </c>
      <c r="N56" s="231">
        <v>0.35</v>
      </c>
      <c r="O56" s="230">
        <f>N56*PARÂMETROS!$E$27</f>
        <v>1.0499999999999998</v>
      </c>
      <c r="P56" s="170"/>
      <c r="Q56" s="191"/>
      <c r="R56" s="232" t="s">
        <v>1307</v>
      </c>
      <c r="S56" s="233">
        <f t="shared" si="25"/>
        <v>2.2984662239999998</v>
      </c>
      <c r="T56" s="43"/>
      <c r="U56" s="232" t="s">
        <v>1307</v>
      </c>
      <c r="V56" s="233">
        <f t="shared" si="26"/>
        <v>2.5712202239999997</v>
      </c>
      <c r="W56" s="43"/>
      <c r="X56" s="232" t="s">
        <v>1307</v>
      </c>
      <c r="Y56" s="233">
        <f t="shared" si="27"/>
        <v>3.6212202239999995</v>
      </c>
      <c r="Z56" s="43"/>
      <c r="AA56" s="232" t="s">
        <v>1307</v>
      </c>
      <c r="AB56" s="234">
        <f>PARÂMETROS!$H$3</f>
        <v>40</v>
      </c>
      <c r="AC56" s="235">
        <v>2.1527777777777798E-2</v>
      </c>
      <c r="AD56" s="235">
        <v>6.9444444444444397E-3</v>
      </c>
      <c r="AE56" s="235">
        <v>6.9444444444444397E-3</v>
      </c>
      <c r="AF56" s="235">
        <v>6.9444444444444397E-3</v>
      </c>
      <c r="AG56" s="236"/>
      <c r="AH56" s="236"/>
      <c r="AI56" s="235">
        <v>6.9444444444444397E-3</v>
      </c>
      <c r="AJ56" s="235">
        <v>3.125E-2</v>
      </c>
      <c r="AK56" s="237">
        <f t="shared" si="28"/>
        <v>8.0555555555555561E-2</v>
      </c>
      <c r="AL56" s="234">
        <f t="shared" si="29"/>
        <v>77.333333333333343</v>
      </c>
      <c r="AM56" s="193"/>
      <c r="AN56" s="232" t="s">
        <v>1307</v>
      </c>
      <c r="AO56" s="234">
        <f>PARÂMETROS!$H$3</f>
        <v>40</v>
      </c>
      <c r="AP56" s="235">
        <v>2.1527777777777798E-2</v>
      </c>
      <c r="AQ56" s="235">
        <v>6.9444444444444397E-3</v>
      </c>
      <c r="AR56" s="235">
        <v>6.9444444444444397E-3</v>
      </c>
      <c r="AS56" s="235">
        <v>6.9444444444444397E-3</v>
      </c>
      <c r="AT56" s="235">
        <v>2.0833333333333301E-2</v>
      </c>
      <c r="AU56" s="236"/>
      <c r="AV56" s="235">
        <v>6.9444444444444397E-3</v>
      </c>
      <c r="AW56" s="235">
        <v>3.125E-2</v>
      </c>
      <c r="AX56" s="237">
        <f t="shared" si="30"/>
        <v>0.10138888888888885</v>
      </c>
      <c r="AY56" s="234">
        <f t="shared" si="31"/>
        <v>97.333333333333286</v>
      </c>
      <c r="AZ56" s="193"/>
      <c r="BA56" s="232" t="s">
        <v>1307</v>
      </c>
      <c r="BB56" s="234">
        <f>PARÂMETROS!$H$3</f>
        <v>40</v>
      </c>
      <c r="BC56" s="235">
        <v>2.1527777777777798E-2</v>
      </c>
      <c r="BD56" s="235">
        <v>6.9444444444444397E-3</v>
      </c>
      <c r="BE56" s="235">
        <v>6.9444444444444397E-3</v>
      </c>
      <c r="BF56" s="235">
        <v>6.9444444444444397E-3</v>
      </c>
      <c r="BG56" s="235">
        <v>2.0833333333333301E-2</v>
      </c>
      <c r="BH56" s="235">
        <v>6.9444444444444397E-3</v>
      </c>
      <c r="BI56" s="235">
        <v>6.9444444444444397E-3</v>
      </c>
      <c r="BJ56" s="235">
        <v>3.125E-2</v>
      </c>
      <c r="BK56" s="237">
        <f t="shared" si="32"/>
        <v>0.10833333333333328</v>
      </c>
      <c r="BL56" s="234">
        <f t="shared" si="33"/>
        <v>103.99999999999994</v>
      </c>
      <c r="BM56" s="43"/>
      <c r="BN56" s="232" t="s">
        <v>1307</v>
      </c>
      <c r="BO56" s="238">
        <f t="shared" si="34"/>
        <v>2.2984662239999998</v>
      </c>
      <c r="BP56" s="239">
        <f t="shared" si="35"/>
        <v>77.333333333333343</v>
      </c>
      <c r="BQ56" s="243">
        <v>50</v>
      </c>
      <c r="BR56" s="241">
        <f t="shared" si="36"/>
        <v>1.5466666666666669</v>
      </c>
      <c r="BS56" s="242">
        <f t="shared" si="37"/>
        <v>3.8451328906666666</v>
      </c>
      <c r="BT56" s="240">
        <v>50</v>
      </c>
      <c r="BU56" s="43"/>
      <c r="BV56" s="232" t="s">
        <v>1307</v>
      </c>
      <c r="BW56" s="238">
        <f t="shared" si="38"/>
        <v>2.5712202239999997</v>
      </c>
      <c r="BX56" s="239">
        <f t="shared" si="39"/>
        <v>97.333333333333286</v>
      </c>
      <c r="BY56" s="243">
        <v>35</v>
      </c>
      <c r="BZ56" s="241">
        <f t="shared" si="40"/>
        <v>2.7809523809523795</v>
      </c>
      <c r="CA56" s="242">
        <f t="shared" si="41"/>
        <v>5.3521726049523792</v>
      </c>
      <c r="CB56" s="240">
        <v>35</v>
      </c>
      <c r="CC56" s="23"/>
      <c r="CD56" s="232" t="s">
        <v>1307</v>
      </c>
      <c r="CE56" s="238">
        <f t="shared" si="42"/>
        <v>3.6212202239999995</v>
      </c>
      <c r="CF56" s="239">
        <f t="shared" si="43"/>
        <v>103.99999999999994</v>
      </c>
      <c r="CG56" s="243">
        <v>50</v>
      </c>
      <c r="CH56" s="241">
        <f t="shared" si="44"/>
        <v>2.0799999999999987</v>
      </c>
      <c r="CI56" s="242">
        <f t="shared" si="45"/>
        <v>5.7012202239999983</v>
      </c>
      <c r="CJ56" s="244">
        <v>20</v>
      </c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</row>
    <row r="57" spans="1:133" s="223" customFormat="1" ht="30.75" customHeight="1" x14ac:dyDescent="0.3">
      <c r="A57" s="224" t="s">
        <v>200</v>
      </c>
      <c r="B57" s="225" t="s">
        <v>1305</v>
      </c>
      <c r="C57" s="226">
        <v>1.3309999999999999E-3</v>
      </c>
      <c r="D57" s="470">
        <f>PARÂMETROS!$E$20*C57</f>
        <v>2.1393961599999995</v>
      </c>
      <c r="E57" s="470"/>
      <c r="F57" s="228">
        <v>0.01</v>
      </c>
      <c r="G57" s="227">
        <f>F57*PARÂMETROS!$E$22</f>
        <v>0.42369999999999997</v>
      </c>
      <c r="H57" s="228">
        <v>2E-3</v>
      </c>
      <c r="I57" s="227">
        <f>H57*PARÂMETROS!$E$22</f>
        <v>8.4739999999999996E-2</v>
      </c>
      <c r="J57" s="228">
        <f t="shared" si="23"/>
        <v>1E-3</v>
      </c>
      <c r="K57" s="230">
        <f>J57*PARÂMETROS!$E$8</f>
        <v>3.0890000000000001E-2</v>
      </c>
      <c r="L57" s="229">
        <f t="shared" si="24"/>
        <v>2.0000000000000001E-4</v>
      </c>
      <c r="M57" s="230">
        <f>L57*PARÂMETROS!$E$8</f>
        <v>6.1780000000000003E-3</v>
      </c>
      <c r="N57" s="231">
        <v>0.38</v>
      </c>
      <c r="O57" s="230">
        <f>N57*PARÂMETROS!$E$27</f>
        <v>1.1400000000000001</v>
      </c>
      <c r="P57" s="170"/>
      <c r="Q57" s="191"/>
      <c r="R57" s="232" t="s">
        <v>1308</v>
      </c>
      <c r="S57" s="233">
        <f t="shared" si="25"/>
        <v>2.2303141599999994</v>
      </c>
      <c r="T57" s="43"/>
      <c r="U57" s="232" t="s">
        <v>1308</v>
      </c>
      <c r="V57" s="233">
        <f t="shared" si="26"/>
        <v>2.684904159999999</v>
      </c>
      <c r="W57" s="43"/>
      <c r="X57" s="232" t="s">
        <v>1308</v>
      </c>
      <c r="Y57" s="233">
        <f t="shared" si="27"/>
        <v>3.8249041599999991</v>
      </c>
      <c r="Z57" s="43"/>
      <c r="AA57" s="232" t="s">
        <v>1308</v>
      </c>
      <c r="AB57" s="234">
        <f>PARÂMETROS!$H$3</f>
        <v>40</v>
      </c>
      <c r="AC57" s="235">
        <v>2.1527777777777798E-2</v>
      </c>
      <c r="AD57" s="235">
        <v>6.9444444444444397E-3</v>
      </c>
      <c r="AE57" s="235">
        <v>6.9444444444444397E-3</v>
      </c>
      <c r="AF57" s="235">
        <v>6.9444444444444397E-3</v>
      </c>
      <c r="AG57" s="236"/>
      <c r="AH57" s="236"/>
      <c r="AI57" s="235">
        <v>6.9444444444444397E-3</v>
      </c>
      <c r="AJ57" s="235">
        <v>3.125E-2</v>
      </c>
      <c r="AK57" s="237">
        <f t="shared" si="28"/>
        <v>8.0555555555555561E-2</v>
      </c>
      <c r="AL57" s="234">
        <f t="shared" si="29"/>
        <v>77.333333333333343</v>
      </c>
      <c r="AM57" s="193"/>
      <c r="AN57" s="232" t="s">
        <v>1308</v>
      </c>
      <c r="AO57" s="234">
        <f>PARÂMETROS!$H$3</f>
        <v>40</v>
      </c>
      <c r="AP57" s="235">
        <v>2.1527777777777798E-2</v>
      </c>
      <c r="AQ57" s="235">
        <v>6.9444444444444397E-3</v>
      </c>
      <c r="AR57" s="235">
        <v>6.9444444444444397E-3</v>
      </c>
      <c r="AS57" s="235">
        <v>6.9444444444444397E-3</v>
      </c>
      <c r="AT57" s="235">
        <v>2.0833333333333301E-2</v>
      </c>
      <c r="AU57" s="236"/>
      <c r="AV57" s="235">
        <v>6.9444444444444397E-3</v>
      </c>
      <c r="AW57" s="235">
        <v>3.125E-2</v>
      </c>
      <c r="AX57" s="237">
        <f t="shared" si="30"/>
        <v>0.10138888888888885</v>
      </c>
      <c r="AY57" s="234">
        <f t="shared" si="31"/>
        <v>97.333333333333286</v>
      </c>
      <c r="AZ57" s="193"/>
      <c r="BA57" s="232" t="s">
        <v>1308</v>
      </c>
      <c r="BB57" s="234">
        <f>PARÂMETROS!$H$3</f>
        <v>40</v>
      </c>
      <c r="BC57" s="235">
        <v>2.1527777777777798E-2</v>
      </c>
      <c r="BD57" s="235">
        <v>6.9444444444444397E-3</v>
      </c>
      <c r="BE57" s="235">
        <v>6.9444444444444397E-3</v>
      </c>
      <c r="BF57" s="235">
        <v>6.9444444444444397E-3</v>
      </c>
      <c r="BG57" s="235">
        <v>2.0833333333333301E-2</v>
      </c>
      <c r="BH57" s="235">
        <v>6.9444444444444397E-3</v>
      </c>
      <c r="BI57" s="235">
        <v>6.9444444444444397E-3</v>
      </c>
      <c r="BJ57" s="235">
        <v>3.125E-2</v>
      </c>
      <c r="BK57" s="237">
        <f t="shared" si="32"/>
        <v>0.10833333333333328</v>
      </c>
      <c r="BL57" s="234">
        <f t="shared" si="33"/>
        <v>103.99999999999994</v>
      </c>
      <c r="BM57" s="43"/>
      <c r="BN57" s="232" t="s">
        <v>1308</v>
      </c>
      <c r="BO57" s="238">
        <f t="shared" si="34"/>
        <v>2.2303141599999994</v>
      </c>
      <c r="BP57" s="239">
        <f t="shared" si="35"/>
        <v>77.333333333333343</v>
      </c>
      <c r="BQ57" s="243">
        <v>30</v>
      </c>
      <c r="BR57" s="241">
        <f t="shared" si="36"/>
        <v>2.5777777777777779</v>
      </c>
      <c r="BS57" s="242">
        <f t="shared" si="37"/>
        <v>4.8080919377777773</v>
      </c>
      <c r="BT57" s="240">
        <v>30</v>
      </c>
      <c r="BU57" s="43"/>
      <c r="BV57" s="232" t="s">
        <v>1308</v>
      </c>
      <c r="BW57" s="238">
        <f t="shared" si="38"/>
        <v>2.684904159999999</v>
      </c>
      <c r="BX57" s="239">
        <f t="shared" si="39"/>
        <v>97.333333333333286</v>
      </c>
      <c r="BY57" s="243">
        <v>25</v>
      </c>
      <c r="BZ57" s="241">
        <f t="shared" si="40"/>
        <v>3.8933333333333313</v>
      </c>
      <c r="CA57" s="242">
        <f t="shared" si="41"/>
        <v>6.5782374933333303</v>
      </c>
      <c r="CB57" s="240">
        <v>25</v>
      </c>
      <c r="CC57" s="23"/>
      <c r="CD57" s="232" t="s">
        <v>1308</v>
      </c>
      <c r="CE57" s="238">
        <f t="shared" si="42"/>
        <v>3.8249041599999991</v>
      </c>
      <c r="CF57" s="239">
        <f t="shared" si="43"/>
        <v>103.99999999999994</v>
      </c>
      <c r="CG57" s="243">
        <v>50</v>
      </c>
      <c r="CH57" s="241">
        <f t="shared" si="44"/>
        <v>2.0799999999999987</v>
      </c>
      <c r="CI57" s="242">
        <f t="shared" si="45"/>
        <v>5.9049041599999974</v>
      </c>
      <c r="CJ57" s="244">
        <v>20</v>
      </c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</row>
    <row r="58" spans="1:133" s="223" customFormat="1" ht="30.75" customHeight="1" x14ac:dyDescent="0.3">
      <c r="A58" s="224" t="s">
        <v>185</v>
      </c>
      <c r="B58" s="225" t="s">
        <v>1305</v>
      </c>
      <c r="C58" s="226">
        <v>6.5046000000000001E-3</v>
      </c>
      <c r="D58" s="470">
        <f>PARÂMETROS!$E$20*C58</f>
        <v>10.455233856</v>
      </c>
      <c r="E58" s="470"/>
      <c r="F58" s="228">
        <v>1.6E-2</v>
      </c>
      <c r="G58" s="227">
        <f>F58*PARÂMETROS!$E$22</f>
        <v>0.67791999999999997</v>
      </c>
      <c r="H58" s="228">
        <v>2E-3</v>
      </c>
      <c r="I58" s="227">
        <f>H58*PARÂMETROS!$E$22</f>
        <v>8.4739999999999996E-2</v>
      </c>
      <c r="J58" s="228">
        <f t="shared" si="23"/>
        <v>1.6000000000000001E-3</v>
      </c>
      <c r="K58" s="230">
        <f>J58*PARÂMETROS!$E$8</f>
        <v>4.9424000000000003E-2</v>
      </c>
      <c r="L58" s="229">
        <f t="shared" si="24"/>
        <v>2.0000000000000001E-4</v>
      </c>
      <c r="M58" s="230">
        <f>L58*PARÂMETROS!$E$8</f>
        <v>6.1780000000000003E-3</v>
      </c>
      <c r="N58" s="231">
        <v>0.46</v>
      </c>
      <c r="O58" s="230">
        <f>N58*PARÂMETROS!$E$27</f>
        <v>1.3800000000000001</v>
      </c>
      <c r="P58" s="170"/>
      <c r="Q58" s="191"/>
      <c r="R58" s="232" t="s">
        <v>1309</v>
      </c>
      <c r="S58" s="233">
        <f t="shared" si="25"/>
        <v>10.546151856</v>
      </c>
      <c r="T58" s="43"/>
      <c r="U58" s="232" t="s">
        <v>1309</v>
      </c>
      <c r="V58" s="233">
        <f t="shared" si="26"/>
        <v>11.273495856</v>
      </c>
      <c r="W58" s="43"/>
      <c r="X58" s="232" t="s">
        <v>1309</v>
      </c>
      <c r="Y58" s="233">
        <f t="shared" si="27"/>
        <v>12.653495856000001</v>
      </c>
      <c r="Z58" s="43"/>
      <c r="AA58" s="232" t="s">
        <v>1309</v>
      </c>
      <c r="AB58" s="234">
        <f>PARÂMETROS!$H$3</f>
        <v>40</v>
      </c>
      <c r="AC58" s="235">
        <v>2.1527777777777798E-2</v>
      </c>
      <c r="AD58" s="235">
        <v>6.9444444444444397E-3</v>
      </c>
      <c r="AE58" s="235">
        <v>6.9444444444444397E-3</v>
      </c>
      <c r="AF58" s="235">
        <v>6.9444444444444397E-3</v>
      </c>
      <c r="AG58" s="236"/>
      <c r="AH58" s="236"/>
      <c r="AI58" s="235">
        <v>6.9444444444444397E-3</v>
      </c>
      <c r="AJ58" s="235">
        <v>3.125E-2</v>
      </c>
      <c r="AK58" s="237">
        <f t="shared" si="28"/>
        <v>8.0555555555555561E-2</v>
      </c>
      <c r="AL58" s="234">
        <f t="shared" si="29"/>
        <v>77.333333333333343</v>
      </c>
      <c r="AM58" s="193"/>
      <c r="AN58" s="232" t="s">
        <v>1309</v>
      </c>
      <c r="AO58" s="234">
        <f>PARÂMETROS!$H$3</f>
        <v>40</v>
      </c>
      <c r="AP58" s="235">
        <v>2.1527777777777798E-2</v>
      </c>
      <c r="AQ58" s="235">
        <v>6.9444444444444397E-3</v>
      </c>
      <c r="AR58" s="235">
        <v>6.9444444444444397E-3</v>
      </c>
      <c r="AS58" s="235">
        <v>6.9444444444444397E-3</v>
      </c>
      <c r="AT58" s="235">
        <v>2.0833333333333301E-2</v>
      </c>
      <c r="AU58" s="236"/>
      <c r="AV58" s="235">
        <v>6.9444444444444397E-3</v>
      </c>
      <c r="AW58" s="235">
        <v>3.125E-2</v>
      </c>
      <c r="AX58" s="237">
        <f t="shared" si="30"/>
        <v>0.10138888888888885</v>
      </c>
      <c r="AY58" s="234">
        <f t="shared" si="31"/>
        <v>97.333333333333286</v>
      </c>
      <c r="AZ58" s="193"/>
      <c r="BA58" s="232" t="s">
        <v>1309</v>
      </c>
      <c r="BB58" s="234">
        <f>PARÂMETROS!$H$3</f>
        <v>40</v>
      </c>
      <c r="BC58" s="235">
        <v>2.1527777777777798E-2</v>
      </c>
      <c r="BD58" s="235">
        <v>6.9444444444444397E-3</v>
      </c>
      <c r="BE58" s="235">
        <v>6.9444444444444397E-3</v>
      </c>
      <c r="BF58" s="235">
        <v>6.9444444444444397E-3</v>
      </c>
      <c r="BG58" s="235">
        <v>2.0833333333333301E-2</v>
      </c>
      <c r="BH58" s="235">
        <v>6.9444444444444397E-3</v>
      </c>
      <c r="BI58" s="235">
        <v>6.9444444444444397E-3</v>
      </c>
      <c r="BJ58" s="235">
        <v>3.125E-2</v>
      </c>
      <c r="BK58" s="237">
        <f t="shared" si="32"/>
        <v>0.10833333333333328</v>
      </c>
      <c r="BL58" s="234">
        <f t="shared" si="33"/>
        <v>103.99999999999994</v>
      </c>
      <c r="BM58" s="43"/>
      <c r="BN58" s="232" t="s">
        <v>1309</v>
      </c>
      <c r="BO58" s="238">
        <f t="shared" si="34"/>
        <v>10.546151856</v>
      </c>
      <c r="BP58" s="239">
        <f t="shared" si="35"/>
        <v>77.333333333333343</v>
      </c>
      <c r="BQ58" s="243">
        <v>30</v>
      </c>
      <c r="BR58" s="241">
        <f t="shared" si="36"/>
        <v>2.5777777777777779</v>
      </c>
      <c r="BS58" s="242">
        <f t="shared" si="37"/>
        <v>13.123929633777777</v>
      </c>
      <c r="BT58" s="240">
        <v>30</v>
      </c>
      <c r="BU58" s="43"/>
      <c r="BV58" s="232" t="s">
        <v>1309</v>
      </c>
      <c r="BW58" s="238">
        <f t="shared" si="38"/>
        <v>11.273495856</v>
      </c>
      <c r="BX58" s="239">
        <f t="shared" si="39"/>
        <v>97.333333333333286</v>
      </c>
      <c r="BY58" s="243">
        <v>25</v>
      </c>
      <c r="BZ58" s="241">
        <f t="shared" si="40"/>
        <v>3.8933333333333313</v>
      </c>
      <c r="CA58" s="242">
        <f t="shared" si="41"/>
        <v>15.166829189333331</v>
      </c>
      <c r="CB58" s="240">
        <v>25</v>
      </c>
      <c r="CC58" s="23"/>
      <c r="CD58" s="232" t="s">
        <v>1309</v>
      </c>
      <c r="CE58" s="238">
        <f t="shared" si="42"/>
        <v>12.653495856000001</v>
      </c>
      <c r="CF58" s="239">
        <f t="shared" si="43"/>
        <v>103.99999999999994</v>
      </c>
      <c r="CG58" s="243">
        <v>30</v>
      </c>
      <c r="CH58" s="241">
        <f t="shared" si="44"/>
        <v>3.4666666666666646</v>
      </c>
      <c r="CI58" s="242">
        <f t="shared" si="45"/>
        <v>16.120162522666664</v>
      </c>
      <c r="CJ58" s="244">
        <v>15</v>
      </c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</row>
    <row r="59" spans="1:133" ht="30.75" customHeight="1" x14ac:dyDescent="0.3">
      <c r="A59" s="224" t="s">
        <v>39</v>
      </c>
      <c r="B59" s="225" t="s">
        <v>1305</v>
      </c>
      <c r="C59" s="226">
        <v>1.7786099999999999E-2</v>
      </c>
      <c r="D59" s="470">
        <f>PARÂMETROS!$E$20*C59</f>
        <v>28.588665695999996</v>
      </c>
      <c r="E59" s="470"/>
      <c r="F59" s="228">
        <v>3.1E-2</v>
      </c>
      <c r="G59" s="227">
        <f>F59*PARÂMETROS!$E$22</f>
        <v>1.3134699999999999</v>
      </c>
      <c r="H59" s="228">
        <v>2E-3</v>
      </c>
      <c r="I59" s="227">
        <f>H59*PARÂMETROS!$E$22</f>
        <v>8.4739999999999996E-2</v>
      </c>
      <c r="J59" s="228">
        <f t="shared" si="23"/>
        <v>3.1000000000000003E-3</v>
      </c>
      <c r="K59" s="230">
        <f>J59*PARÂMETROS!$E$8</f>
        <v>9.5759000000000011E-2</v>
      </c>
      <c r="L59" s="229">
        <f t="shared" si="24"/>
        <v>2.0000000000000001E-4</v>
      </c>
      <c r="M59" s="230">
        <f>L59*PARÂMETROS!$E$8</f>
        <v>6.1780000000000003E-3</v>
      </c>
      <c r="N59" s="231">
        <v>0.86</v>
      </c>
      <c r="O59" s="230">
        <f>N59*PARÂMETROS!$E$27</f>
        <v>2.58</v>
      </c>
      <c r="P59" s="170"/>
      <c r="Q59" s="191"/>
      <c r="R59" s="232" t="s">
        <v>1310</v>
      </c>
      <c r="S59" s="233">
        <f t="shared" si="25"/>
        <v>28.679583695999995</v>
      </c>
      <c r="U59" s="232" t="s">
        <v>1310</v>
      </c>
      <c r="V59" s="233">
        <f t="shared" si="26"/>
        <v>30.088812695999994</v>
      </c>
      <c r="X59" s="232" t="s">
        <v>1310</v>
      </c>
      <c r="Y59" s="233">
        <f t="shared" si="27"/>
        <v>32.668812695999996</v>
      </c>
      <c r="AA59" s="232" t="s">
        <v>1310</v>
      </c>
      <c r="AB59" s="234">
        <f>PARÂMETROS!$H$3</f>
        <v>40</v>
      </c>
      <c r="AC59" s="235">
        <v>2.1527777777777798E-2</v>
      </c>
      <c r="AD59" s="235">
        <v>6.9444444444444397E-3</v>
      </c>
      <c r="AE59" s="235">
        <v>6.9444444444444397E-3</v>
      </c>
      <c r="AF59" s="235">
        <v>6.9444444444444397E-3</v>
      </c>
      <c r="AG59" s="236"/>
      <c r="AH59" s="236"/>
      <c r="AI59" s="235">
        <v>6.9444444444444397E-3</v>
      </c>
      <c r="AJ59" s="235">
        <v>3.125E-2</v>
      </c>
      <c r="AK59" s="237">
        <f t="shared" si="28"/>
        <v>8.0555555555555561E-2</v>
      </c>
      <c r="AL59" s="234">
        <f t="shared" si="29"/>
        <v>77.333333333333343</v>
      </c>
      <c r="AM59" s="193"/>
      <c r="AN59" s="232" t="s">
        <v>1310</v>
      </c>
      <c r="AO59" s="234">
        <f>PARÂMETROS!$H$3</f>
        <v>40</v>
      </c>
      <c r="AP59" s="235">
        <v>2.1527777777777798E-2</v>
      </c>
      <c r="AQ59" s="235">
        <v>6.9444444444444397E-3</v>
      </c>
      <c r="AR59" s="235">
        <v>6.9444444444444397E-3</v>
      </c>
      <c r="AS59" s="235">
        <v>6.9444444444444397E-3</v>
      </c>
      <c r="AT59" s="235">
        <v>2.0833333333333301E-2</v>
      </c>
      <c r="AU59" s="236"/>
      <c r="AV59" s="235">
        <v>6.9444444444444397E-3</v>
      </c>
      <c r="AW59" s="235">
        <v>3.125E-2</v>
      </c>
      <c r="AX59" s="237">
        <f t="shared" si="30"/>
        <v>0.10138888888888885</v>
      </c>
      <c r="AY59" s="234">
        <f t="shared" si="31"/>
        <v>97.333333333333286</v>
      </c>
      <c r="AZ59" s="193"/>
      <c r="BA59" s="232" t="s">
        <v>1310</v>
      </c>
      <c r="BB59" s="234">
        <f>PARÂMETROS!$H$3</f>
        <v>40</v>
      </c>
      <c r="BC59" s="235">
        <v>2.1527777777777798E-2</v>
      </c>
      <c r="BD59" s="235">
        <v>6.9444444444444397E-3</v>
      </c>
      <c r="BE59" s="235">
        <v>6.9444444444444397E-3</v>
      </c>
      <c r="BF59" s="235">
        <v>6.9444444444444397E-3</v>
      </c>
      <c r="BG59" s="235">
        <v>2.0833333333333301E-2</v>
      </c>
      <c r="BH59" s="235">
        <v>6.9444444444444397E-3</v>
      </c>
      <c r="BI59" s="235">
        <v>6.9444444444444397E-3</v>
      </c>
      <c r="BJ59" s="235">
        <v>3.125E-2</v>
      </c>
      <c r="BK59" s="237">
        <f t="shared" si="32"/>
        <v>0.10833333333333328</v>
      </c>
      <c r="BL59" s="234">
        <f t="shared" si="33"/>
        <v>103.99999999999994</v>
      </c>
      <c r="BN59" s="232" t="s">
        <v>1310</v>
      </c>
      <c r="BO59" s="238">
        <f t="shared" si="34"/>
        <v>28.679583695999995</v>
      </c>
      <c r="BP59" s="239">
        <f t="shared" si="35"/>
        <v>77.333333333333343</v>
      </c>
      <c r="BQ59" s="243">
        <v>30</v>
      </c>
      <c r="BR59" s="241">
        <f t="shared" si="36"/>
        <v>2.5777777777777779</v>
      </c>
      <c r="BS59" s="242">
        <f t="shared" si="37"/>
        <v>31.257361473777774</v>
      </c>
      <c r="BT59" s="240">
        <v>30</v>
      </c>
      <c r="BV59" s="232" t="s">
        <v>1310</v>
      </c>
      <c r="BW59" s="238">
        <f t="shared" si="38"/>
        <v>30.088812695999994</v>
      </c>
      <c r="BX59" s="239">
        <f t="shared" si="39"/>
        <v>97.333333333333286</v>
      </c>
      <c r="BY59" s="243">
        <v>25</v>
      </c>
      <c r="BZ59" s="241">
        <f t="shared" si="40"/>
        <v>3.8933333333333313</v>
      </c>
      <c r="CA59" s="242">
        <f t="shared" si="41"/>
        <v>33.982146029333329</v>
      </c>
      <c r="CB59" s="240">
        <v>25</v>
      </c>
      <c r="CD59" s="232" t="s">
        <v>1310</v>
      </c>
      <c r="CE59" s="238">
        <f t="shared" si="42"/>
        <v>32.668812695999996</v>
      </c>
      <c r="CF59" s="239">
        <f t="shared" si="43"/>
        <v>103.99999999999994</v>
      </c>
      <c r="CG59" s="243">
        <v>20</v>
      </c>
      <c r="CH59" s="241">
        <f t="shared" si="44"/>
        <v>5.1999999999999975</v>
      </c>
      <c r="CI59" s="242">
        <f t="shared" si="45"/>
        <v>37.868812695999992</v>
      </c>
      <c r="CJ59" s="244">
        <v>15</v>
      </c>
    </row>
    <row r="60" spans="1:133" ht="30.75" customHeight="1" x14ac:dyDescent="0.3">
      <c r="A60" s="224" t="s">
        <v>300</v>
      </c>
      <c r="B60" s="225" t="s">
        <v>1305</v>
      </c>
      <c r="C60" s="226">
        <v>2.6480900000000002E-2</v>
      </c>
      <c r="D60" s="470">
        <f>PARÂMETROS!$E$20*C60</f>
        <v>42.564339424000003</v>
      </c>
      <c r="E60" s="470"/>
      <c r="F60" s="228">
        <v>3.6999999999999998E-2</v>
      </c>
      <c r="G60" s="227">
        <f>F60*PARÂMETROS!$E$22</f>
        <v>1.5676899999999998</v>
      </c>
      <c r="H60" s="228">
        <v>2E-3</v>
      </c>
      <c r="I60" s="227">
        <f>H60*PARÂMETROS!$E$22</f>
        <v>8.4739999999999996E-2</v>
      </c>
      <c r="J60" s="228">
        <f t="shared" si="23"/>
        <v>3.7000000000000002E-3</v>
      </c>
      <c r="K60" s="230">
        <f>J60*PARÂMETROS!$E$8</f>
        <v>0.11429300000000001</v>
      </c>
      <c r="L60" s="229">
        <f t="shared" si="24"/>
        <v>2.0000000000000001E-4</v>
      </c>
      <c r="M60" s="230">
        <f>L60*PARÂMETROS!$E$8</f>
        <v>6.1780000000000003E-3</v>
      </c>
      <c r="N60" s="231">
        <v>0.9</v>
      </c>
      <c r="O60" s="230">
        <f>N60*PARÂMETROS!$E$27</f>
        <v>2.7</v>
      </c>
      <c r="P60" s="170"/>
      <c r="Q60" s="191"/>
      <c r="R60" s="232" t="s">
        <v>1311</v>
      </c>
      <c r="S60" s="233">
        <f t="shared" si="25"/>
        <v>42.655257423999998</v>
      </c>
      <c r="U60" s="232" t="s">
        <v>1311</v>
      </c>
      <c r="V60" s="233">
        <f t="shared" si="26"/>
        <v>44.337240424000001</v>
      </c>
      <c r="X60" s="232" t="s">
        <v>1311</v>
      </c>
      <c r="Y60" s="233">
        <f t="shared" si="27"/>
        <v>47.037240424000004</v>
      </c>
      <c r="AA60" s="232" t="s">
        <v>1311</v>
      </c>
      <c r="AB60" s="234">
        <f>PARÂMETROS!$H$3</f>
        <v>40</v>
      </c>
      <c r="AC60" s="235">
        <v>2.1527777777777798E-2</v>
      </c>
      <c r="AD60" s="235">
        <v>6.9444444444444397E-3</v>
      </c>
      <c r="AE60" s="235">
        <v>1.0416666666666701E-2</v>
      </c>
      <c r="AF60" s="235">
        <v>6.9444444444444397E-3</v>
      </c>
      <c r="AG60" s="236"/>
      <c r="AH60" s="236"/>
      <c r="AI60" s="235">
        <v>6.9444444444444397E-3</v>
      </c>
      <c r="AJ60" s="235">
        <v>3.125E-2</v>
      </c>
      <c r="AK60" s="237">
        <f t="shared" si="28"/>
        <v>8.4027777777777812E-2</v>
      </c>
      <c r="AL60" s="234">
        <f t="shared" si="29"/>
        <v>80.6666666666667</v>
      </c>
      <c r="AM60" s="193"/>
      <c r="AN60" s="232" t="s">
        <v>1311</v>
      </c>
      <c r="AO60" s="234">
        <f>PARÂMETROS!$H$3</f>
        <v>40</v>
      </c>
      <c r="AP60" s="235">
        <v>2.1527777777777798E-2</v>
      </c>
      <c r="AQ60" s="235">
        <v>6.9444444444444397E-3</v>
      </c>
      <c r="AR60" s="235">
        <v>1.0416666666666701E-2</v>
      </c>
      <c r="AS60" s="235">
        <v>6.9444444444444397E-3</v>
      </c>
      <c r="AT60" s="235">
        <v>2.0833333333333301E-2</v>
      </c>
      <c r="AU60" s="236"/>
      <c r="AV60" s="235">
        <v>6.9444444444444397E-3</v>
      </c>
      <c r="AW60" s="235">
        <v>3.125E-2</v>
      </c>
      <c r="AX60" s="237">
        <f t="shared" si="30"/>
        <v>0.10486111111111111</v>
      </c>
      <c r="AY60" s="234">
        <f t="shared" si="31"/>
        <v>100.66666666666667</v>
      </c>
      <c r="AZ60" s="193"/>
      <c r="BA60" s="232" t="s">
        <v>1311</v>
      </c>
      <c r="BB60" s="234">
        <f>PARÂMETROS!$H$3</f>
        <v>40</v>
      </c>
      <c r="BC60" s="235">
        <v>2.1527777777777798E-2</v>
      </c>
      <c r="BD60" s="235">
        <v>6.9444444444444397E-3</v>
      </c>
      <c r="BE60" s="235">
        <v>1.0416666666666701E-2</v>
      </c>
      <c r="BF60" s="235">
        <v>6.9444444444444397E-3</v>
      </c>
      <c r="BG60" s="235">
        <v>2.0833333333333301E-2</v>
      </c>
      <c r="BH60" s="235">
        <v>6.9444444444444397E-3</v>
      </c>
      <c r="BI60" s="235">
        <v>6.9444444444444397E-3</v>
      </c>
      <c r="BJ60" s="235">
        <v>3.125E-2</v>
      </c>
      <c r="BK60" s="237">
        <f t="shared" si="32"/>
        <v>0.11180555555555555</v>
      </c>
      <c r="BL60" s="234">
        <f t="shared" si="33"/>
        <v>107.33333333333331</v>
      </c>
      <c r="BN60" s="232" t="s">
        <v>1311</v>
      </c>
      <c r="BO60" s="238">
        <f t="shared" si="34"/>
        <v>42.655257423999998</v>
      </c>
      <c r="BP60" s="239">
        <f t="shared" si="35"/>
        <v>80.6666666666667</v>
      </c>
      <c r="BQ60" s="243">
        <v>30</v>
      </c>
      <c r="BR60" s="241">
        <f t="shared" si="36"/>
        <v>2.68888888888889</v>
      </c>
      <c r="BS60" s="242">
        <f t="shared" si="37"/>
        <v>45.344146312888888</v>
      </c>
      <c r="BT60" s="240">
        <v>30</v>
      </c>
      <c r="BV60" s="232" t="s">
        <v>1311</v>
      </c>
      <c r="BW60" s="238">
        <f t="shared" si="38"/>
        <v>44.337240424000001</v>
      </c>
      <c r="BX60" s="239">
        <f t="shared" si="39"/>
        <v>100.66666666666667</v>
      </c>
      <c r="BY60" s="243">
        <v>25</v>
      </c>
      <c r="BZ60" s="241">
        <f t="shared" si="40"/>
        <v>4.0266666666666673</v>
      </c>
      <c r="CA60" s="242">
        <f t="shared" si="41"/>
        <v>48.363907090666672</v>
      </c>
      <c r="CB60" s="240">
        <v>25</v>
      </c>
      <c r="CD60" s="232" t="s">
        <v>1311</v>
      </c>
      <c r="CE60" s="238">
        <f t="shared" si="42"/>
        <v>47.037240424000004</v>
      </c>
      <c r="CF60" s="239">
        <f t="shared" si="43"/>
        <v>107.33333333333331</v>
      </c>
      <c r="CG60" s="243">
        <v>20</v>
      </c>
      <c r="CH60" s="241">
        <f t="shared" si="44"/>
        <v>5.3666666666666654</v>
      </c>
      <c r="CI60" s="242">
        <f t="shared" si="45"/>
        <v>52.403907090666671</v>
      </c>
      <c r="CJ60" s="244">
        <v>15</v>
      </c>
    </row>
    <row r="61" spans="1:133" ht="30.75" customHeight="1" x14ac:dyDescent="0.3">
      <c r="A61" s="224" t="s">
        <v>41</v>
      </c>
      <c r="B61" s="225" t="s">
        <v>1305</v>
      </c>
      <c r="C61" s="226">
        <v>3.7610499999999998E-2</v>
      </c>
      <c r="D61" s="470">
        <f>PARÂMETROS!$E$20*C61</f>
        <v>60.453613279999992</v>
      </c>
      <c r="E61" s="470"/>
      <c r="F61" s="228">
        <v>5.0999999999999997E-2</v>
      </c>
      <c r="G61" s="227">
        <f>F61*PARÂMETROS!$E$22</f>
        <v>2.1608699999999996</v>
      </c>
      <c r="H61" s="228">
        <v>2E-3</v>
      </c>
      <c r="I61" s="227">
        <f>H61*PARÂMETROS!$E$22</f>
        <v>8.4739999999999996E-2</v>
      </c>
      <c r="J61" s="228">
        <f t="shared" si="23"/>
        <v>5.1000000000000004E-3</v>
      </c>
      <c r="K61" s="230">
        <f>J61*PARÂMETROS!$E$8</f>
        <v>0.15753900000000001</v>
      </c>
      <c r="L61" s="229">
        <f t="shared" si="24"/>
        <v>2.0000000000000001E-4</v>
      </c>
      <c r="M61" s="230">
        <f>L61*PARÂMETROS!$E$8</f>
        <v>6.1780000000000003E-3</v>
      </c>
      <c r="N61" s="231">
        <v>0.96</v>
      </c>
      <c r="O61" s="230">
        <f>N61*PARÂMETROS!$E$27</f>
        <v>2.88</v>
      </c>
      <c r="P61" s="170"/>
      <c r="Q61" s="191"/>
      <c r="R61" s="232" t="s">
        <v>1312</v>
      </c>
      <c r="S61" s="233">
        <f t="shared" si="25"/>
        <v>60.544531279999987</v>
      </c>
      <c r="U61" s="232" t="s">
        <v>1312</v>
      </c>
      <c r="V61" s="233">
        <f t="shared" si="26"/>
        <v>62.862940279999989</v>
      </c>
      <c r="X61" s="232" t="s">
        <v>1312</v>
      </c>
      <c r="Y61" s="233">
        <f t="shared" si="27"/>
        <v>65.742940279999985</v>
      </c>
      <c r="AA61" s="232" t="s">
        <v>1312</v>
      </c>
      <c r="AB61" s="234">
        <f>PARÂMETROS!$H$3</f>
        <v>40</v>
      </c>
      <c r="AC61" s="235">
        <v>2.1527777777777798E-2</v>
      </c>
      <c r="AD61" s="235">
        <v>6.9444444444444397E-3</v>
      </c>
      <c r="AE61" s="235">
        <v>1.0416666666666701E-2</v>
      </c>
      <c r="AF61" s="235">
        <v>6.9444444444444397E-3</v>
      </c>
      <c r="AG61" s="236"/>
      <c r="AH61" s="236"/>
      <c r="AI61" s="235">
        <v>6.9444444444444397E-3</v>
      </c>
      <c r="AJ61" s="235">
        <v>3.125E-2</v>
      </c>
      <c r="AK61" s="237">
        <f t="shared" si="28"/>
        <v>8.4027777777777812E-2</v>
      </c>
      <c r="AL61" s="234">
        <f t="shared" si="29"/>
        <v>80.6666666666667</v>
      </c>
      <c r="AM61" s="193"/>
      <c r="AN61" s="232" t="s">
        <v>1312</v>
      </c>
      <c r="AO61" s="234">
        <f>PARÂMETROS!$H$3</f>
        <v>40</v>
      </c>
      <c r="AP61" s="235">
        <v>2.1527777777777798E-2</v>
      </c>
      <c r="AQ61" s="235">
        <v>6.9444444444444397E-3</v>
      </c>
      <c r="AR61" s="235">
        <v>1.0416666666666701E-2</v>
      </c>
      <c r="AS61" s="235">
        <v>6.9444444444444397E-3</v>
      </c>
      <c r="AT61" s="235">
        <v>2.0833333333333301E-2</v>
      </c>
      <c r="AU61" s="236"/>
      <c r="AV61" s="235">
        <v>6.9444444444444397E-3</v>
      </c>
      <c r="AW61" s="235">
        <v>3.125E-2</v>
      </c>
      <c r="AX61" s="237">
        <f t="shared" si="30"/>
        <v>0.10486111111111111</v>
      </c>
      <c r="AY61" s="234">
        <f t="shared" si="31"/>
        <v>100.66666666666667</v>
      </c>
      <c r="AZ61" s="193"/>
      <c r="BA61" s="232" t="s">
        <v>1312</v>
      </c>
      <c r="BB61" s="234">
        <f>PARÂMETROS!$H$3</f>
        <v>40</v>
      </c>
      <c r="BC61" s="235">
        <v>2.1527777777777798E-2</v>
      </c>
      <c r="BD61" s="235">
        <v>6.9444444444444397E-3</v>
      </c>
      <c r="BE61" s="235">
        <v>1.0416666666666701E-2</v>
      </c>
      <c r="BF61" s="235">
        <v>6.9444444444444397E-3</v>
      </c>
      <c r="BG61" s="235">
        <v>2.0833333333333301E-2</v>
      </c>
      <c r="BH61" s="235">
        <v>6.9444444444444397E-3</v>
      </c>
      <c r="BI61" s="235">
        <v>6.9444444444444397E-3</v>
      </c>
      <c r="BJ61" s="235">
        <v>3.125E-2</v>
      </c>
      <c r="BK61" s="237">
        <f t="shared" si="32"/>
        <v>0.11180555555555555</v>
      </c>
      <c r="BL61" s="234">
        <f t="shared" si="33"/>
        <v>107.33333333333331</v>
      </c>
      <c r="BN61" s="232" t="s">
        <v>1312</v>
      </c>
      <c r="BO61" s="238">
        <f t="shared" si="34"/>
        <v>60.544531279999987</v>
      </c>
      <c r="BP61" s="239">
        <f t="shared" si="35"/>
        <v>80.6666666666667</v>
      </c>
      <c r="BQ61" s="243">
        <v>20</v>
      </c>
      <c r="BR61" s="241">
        <f t="shared" si="36"/>
        <v>4.033333333333335</v>
      </c>
      <c r="BS61" s="242">
        <f t="shared" si="37"/>
        <v>64.577864613333318</v>
      </c>
      <c r="BT61" s="240">
        <v>20</v>
      </c>
      <c r="BV61" s="232" t="s">
        <v>1312</v>
      </c>
      <c r="BW61" s="238">
        <f t="shared" si="38"/>
        <v>62.862940279999989</v>
      </c>
      <c r="BX61" s="239">
        <f t="shared" si="39"/>
        <v>100.66666666666667</v>
      </c>
      <c r="BY61" s="243">
        <v>15</v>
      </c>
      <c r="BZ61" s="241">
        <f t="shared" si="40"/>
        <v>6.7111111111111112</v>
      </c>
      <c r="CA61" s="242">
        <f t="shared" si="41"/>
        <v>69.574051391111098</v>
      </c>
      <c r="CB61" s="240">
        <v>15</v>
      </c>
      <c r="CD61" s="232" t="s">
        <v>1312</v>
      </c>
      <c r="CE61" s="238">
        <f t="shared" si="42"/>
        <v>65.742940279999985</v>
      </c>
      <c r="CF61" s="239">
        <f t="shared" si="43"/>
        <v>107.33333333333331</v>
      </c>
      <c r="CG61" s="243">
        <v>15</v>
      </c>
      <c r="CH61" s="241">
        <f t="shared" si="44"/>
        <v>7.1555555555555541</v>
      </c>
      <c r="CI61" s="242">
        <f t="shared" si="45"/>
        <v>72.898495835555536</v>
      </c>
      <c r="CJ61" s="244">
        <v>10</v>
      </c>
    </row>
    <row r="62" spans="1:133" ht="30.75" customHeight="1" x14ac:dyDescent="0.3">
      <c r="A62" s="224" t="s">
        <v>43</v>
      </c>
      <c r="B62" s="225" t="s">
        <v>1305</v>
      </c>
      <c r="C62" s="226">
        <v>6.8370299999999995E-2</v>
      </c>
      <c r="D62" s="470">
        <f>PARÂMETROS!$E$20*C62</f>
        <v>109.89568540799999</v>
      </c>
      <c r="E62" s="470"/>
      <c r="F62" s="228">
        <v>7.4999999999999997E-2</v>
      </c>
      <c r="G62" s="227">
        <f>F62*PARÂMETROS!$E$22</f>
        <v>3.1777499999999996</v>
      </c>
      <c r="H62" s="228">
        <v>2E-3</v>
      </c>
      <c r="I62" s="227">
        <f>H62*PARÂMETROS!$E$22</f>
        <v>8.4739999999999996E-2</v>
      </c>
      <c r="J62" s="228">
        <f t="shared" si="23"/>
        <v>7.4999999999999997E-3</v>
      </c>
      <c r="K62" s="230">
        <f>J62*PARÂMETROS!$E$8</f>
        <v>0.23167499999999999</v>
      </c>
      <c r="L62" s="229">
        <f t="shared" si="24"/>
        <v>2.0000000000000001E-4</v>
      </c>
      <c r="M62" s="230">
        <f>L62*PARÂMETROS!$E$8</f>
        <v>6.1780000000000003E-3</v>
      </c>
      <c r="N62" s="231">
        <v>1.06</v>
      </c>
      <c r="O62" s="230">
        <f>N62*PARÂMETROS!$E$27</f>
        <v>3.18</v>
      </c>
      <c r="P62" s="170"/>
      <c r="Q62" s="191"/>
      <c r="R62" s="232" t="s">
        <v>1313</v>
      </c>
      <c r="S62" s="233">
        <f t="shared" si="25"/>
        <v>109.98660340799999</v>
      </c>
      <c r="U62" s="232" t="s">
        <v>1313</v>
      </c>
      <c r="V62" s="233">
        <f t="shared" si="26"/>
        <v>113.39602840799999</v>
      </c>
      <c r="X62" s="232" t="s">
        <v>1313</v>
      </c>
      <c r="Y62" s="233">
        <f t="shared" si="27"/>
        <v>116.576028408</v>
      </c>
      <c r="AA62" s="232" t="s">
        <v>1313</v>
      </c>
      <c r="AB62" s="234">
        <f>PARÂMETROS!$H$3</f>
        <v>40</v>
      </c>
      <c r="AC62" s="235">
        <v>2.1527777777777798E-2</v>
      </c>
      <c r="AD62" s="235">
        <v>6.9444444444444397E-3</v>
      </c>
      <c r="AE62" s="235">
        <v>1.0416666666666701E-2</v>
      </c>
      <c r="AF62" s="235">
        <v>6.9444444444444397E-3</v>
      </c>
      <c r="AG62" s="236"/>
      <c r="AH62" s="236"/>
      <c r="AI62" s="235">
        <v>6.9444444444444397E-3</v>
      </c>
      <c r="AJ62" s="235">
        <v>3.125E-2</v>
      </c>
      <c r="AK62" s="237">
        <f t="shared" si="28"/>
        <v>8.4027777777777812E-2</v>
      </c>
      <c r="AL62" s="234">
        <f t="shared" si="29"/>
        <v>80.6666666666667</v>
      </c>
      <c r="AM62" s="193"/>
      <c r="AN62" s="232" t="s">
        <v>1313</v>
      </c>
      <c r="AO62" s="234">
        <f>PARÂMETROS!$H$3</f>
        <v>40</v>
      </c>
      <c r="AP62" s="235">
        <v>2.1527777777777798E-2</v>
      </c>
      <c r="AQ62" s="235">
        <v>6.9444444444444397E-3</v>
      </c>
      <c r="AR62" s="235">
        <v>1.0416666666666701E-2</v>
      </c>
      <c r="AS62" s="235">
        <v>6.9444444444444397E-3</v>
      </c>
      <c r="AT62" s="235">
        <v>2.0833333333333301E-2</v>
      </c>
      <c r="AU62" s="236"/>
      <c r="AV62" s="235">
        <v>6.9444444444444397E-3</v>
      </c>
      <c r="AW62" s="235">
        <v>3.125E-2</v>
      </c>
      <c r="AX62" s="237">
        <f t="shared" si="30"/>
        <v>0.10486111111111111</v>
      </c>
      <c r="AY62" s="234">
        <f t="shared" si="31"/>
        <v>100.66666666666667</v>
      </c>
      <c r="AZ62" s="193"/>
      <c r="BA62" s="232" t="s">
        <v>1313</v>
      </c>
      <c r="BB62" s="234">
        <f>PARÂMETROS!$H$3</f>
        <v>40</v>
      </c>
      <c r="BC62" s="235">
        <v>2.1527777777777798E-2</v>
      </c>
      <c r="BD62" s="235">
        <v>6.9444444444444397E-3</v>
      </c>
      <c r="BE62" s="235">
        <v>1.0416666666666701E-2</v>
      </c>
      <c r="BF62" s="235">
        <v>6.9444444444444397E-3</v>
      </c>
      <c r="BG62" s="235">
        <v>2.0833333333333301E-2</v>
      </c>
      <c r="BH62" s="235">
        <v>6.9444444444444397E-3</v>
      </c>
      <c r="BI62" s="235">
        <v>6.9444444444444397E-3</v>
      </c>
      <c r="BJ62" s="235">
        <v>3.125E-2</v>
      </c>
      <c r="BK62" s="237">
        <f t="shared" si="32"/>
        <v>0.11180555555555555</v>
      </c>
      <c r="BL62" s="234">
        <f t="shared" si="33"/>
        <v>107.33333333333331</v>
      </c>
      <c r="BN62" s="232" t="s">
        <v>1313</v>
      </c>
      <c r="BO62" s="238">
        <f t="shared" si="34"/>
        <v>109.98660340799999</v>
      </c>
      <c r="BP62" s="239">
        <f t="shared" si="35"/>
        <v>80.6666666666667</v>
      </c>
      <c r="BQ62" s="243">
        <v>20</v>
      </c>
      <c r="BR62" s="241">
        <f t="shared" si="36"/>
        <v>4.033333333333335</v>
      </c>
      <c r="BS62" s="242">
        <f t="shared" si="37"/>
        <v>114.01993674133332</v>
      </c>
      <c r="BT62" s="240">
        <v>20</v>
      </c>
      <c r="BV62" s="232" t="s">
        <v>1313</v>
      </c>
      <c r="BW62" s="238">
        <f t="shared" si="38"/>
        <v>113.39602840799999</v>
      </c>
      <c r="BX62" s="239">
        <f t="shared" si="39"/>
        <v>100.66666666666667</v>
      </c>
      <c r="BY62" s="243">
        <v>15</v>
      </c>
      <c r="BZ62" s="241">
        <f t="shared" si="40"/>
        <v>6.7111111111111112</v>
      </c>
      <c r="CA62" s="242">
        <f t="shared" si="41"/>
        <v>120.1071395191111</v>
      </c>
      <c r="CB62" s="240">
        <v>15</v>
      </c>
      <c r="CD62" s="232" t="s">
        <v>1313</v>
      </c>
      <c r="CE62" s="238">
        <f t="shared" si="42"/>
        <v>116.576028408</v>
      </c>
      <c r="CF62" s="239">
        <f t="shared" si="43"/>
        <v>107.33333333333331</v>
      </c>
      <c r="CG62" s="243">
        <v>15</v>
      </c>
      <c r="CH62" s="241">
        <f t="shared" si="44"/>
        <v>7.1555555555555541</v>
      </c>
      <c r="CI62" s="242">
        <f t="shared" si="45"/>
        <v>123.73158396355555</v>
      </c>
      <c r="CJ62" s="244">
        <v>10</v>
      </c>
    </row>
    <row r="63" spans="1:133" ht="30.75" customHeight="1" x14ac:dyDescent="0.3">
      <c r="A63" s="224" t="s">
        <v>45</v>
      </c>
      <c r="B63" s="225" t="s">
        <v>1305</v>
      </c>
      <c r="C63" s="226">
        <v>0.1234582</v>
      </c>
      <c r="D63" s="470">
        <f>PARÂMETROS!$E$20*C63</f>
        <v>198.44177235199999</v>
      </c>
      <c r="E63" s="470"/>
      <c r="F63" s="228">
        <v>0.105</v>
      </c>
      <c r="G63" s="227">
        <f>F63*PARÂMETROS!$E$22</f>
        <v>4.4488499999999993</v>
      </c>
      <c r="H63" s="228">
        <v>2E-3</v>
      </c>
      <c r="I63" s="227">
        <f>H63*PARÂMETROS!$E$22</f>
        <v>8.4739999999999996E-2</v>
      </c>
      <c r="J63" s="228">
        <f t="shared" si="23"/>
        <v>1.0500000000000001E-2</v>
      </c>
      <c r="K63" s="230">
        <f>J63*PARÂMETROS!$E$8</f>
        <v>0.32434500000000005</v>
      </c>
      <c r="L63" s="229">
        <f t="shared" si="24"/>
        <v>2.0000000000000001E-4</v>
      </c>
      <c r="M63" s="230">
        <f>L63*PARÂMETROS!$E$8</f>
        <v>6.1780000000000003E-3</v>
      </c>
      <c r="N63" s="231">
        <v>1.1599999999999999</v>
      </c>
      <c r="O63" s="230">
        <f>N63*PARÂMETROS!$E$27</f>
        <v>3.4799999999999995</v>
      </c>
      <c r="P63" s="170"/>
      <c r="Q63" s="191"/>
      <c r="R63" s="232" t="s">
        <v>1314</v>
      </c>
      <c r="S63" s="233">
        <f t="shared" si="25"/>
        <v>198.532690352</v>
      </c>
      <c r="U63" s="232" t="s">
        <v>1314</v>
      </c>
      <c r="V63" s="233">
        <f t="shared" si="26"/>
        <v>203.30588535199999</v>
      </c>
      <c r="X63" s="232" t="s">
        <v>1314</v>
      </c>
      <c r="Y63" s="233">
        <f t="shared" si="27"/>
        <v>206.78588535199998</v>
      </c>
      <c r="AA63" s="232" t="s">
        <v>1314</v>
      </c>
      <c r="AB63" s="234">
        <f>PARÂMETROS!$H$3</f>
        <v>40</v>
      </c>
      <c r="AC63" s="235">
        <v>2.1527777777777798E-2</v>
      </c>
      <c r="AD63" s="235">
        <v>6.9444444444444397E-3</v>
      </c>
      <c r="AE63" s="235">
        <v>1.0416666666666701E-2</v>
      </c>
      <c r="AF63" s="235">
        <v>6.9444444444444397E-3</v>
      </c>
      <c r="AG63" s="236"/>
      <c r="AH63" s="236"/>
      <c r="AI63" s="235">
        <v>6.9444444444444397E-3</v>
      </c>
      <c r="AJ63" s="235">
        <v>3.125E-2</v>
      </c>
      <c r="AK63" s="237">
        <f t="shared" si="28"/>
        <v>8.4027777777777812E-2</v>
      </c>
      <c r="AL63" s="234">
        <f t="shared" si="29"/>
        <v>80.6666666666667</v>
      </c>
      <c r="AM63" s="193"/>
      <c r="AN63" s="232" t="s">
        <v>1314</v>
      </c>
      <c r="AO63" s="234">
        <f>PARÂMETROS!$H$3</f>
        <v>40</v>
      </c>
      <c r="AP63" s="235">
        <v>2.1527777777777798E-2</v>
      </c>
      <c r="AQ63" s="235">
        <v>6.9444444444444397E-3</v>
      </c>
      <c r="AR63" s="235">
        <v>1.0416666666666701E-2</v>
      </c>
      <c r="AS63" s="235">
        <v>6.9444444444444397E-3</v>
      </c>
      <c r="AT63" s="235">
        <v>2.0833333333333301E-2</v>
      </c>
      <c r="AU63" s="236"/>
      <c r="AV63" s="235">
        <v>6.9444444444444397E-3</v>
      </c>
      <c r="AW63" s="235">
        <v>3.125E-2</v>
      </c>
      <c r="AX63" s="237">
        <f t="shared" si="30"/>
        <v>0.10486111111111111</v>
      </c>
      <c r="AY63" s="234">
        <f t="shared" si="31"/>
        <v>100.66666666666667</v>
      </c>
      <c r="AZ63" s="193"/>
      <c r="BA63" s="232" t="s">
        <v>1314</v>
      </c>
      <c r="BB63" s="234">
        <f>PARÂMETROS!$H$3</f>
        <v>40</v>
      </c>
      <c r="BC63" s="235">
        <v>2.1527777777777798E-2</v>
      </c>
      <c r="BD63" s="235">
        <v>6.9444444444444397E-3</v>
      </c>
      <c r="BE63" s="235">
        <v>1.0416666666666701E-2</v>
      </c>
      <c r="BF63" s="235">
        <v>6.9444444444444397E-3</v>
      </c>
      <c r="BG63" s="235">
        <v>2.0833333333333301E-2</v>
      </c>
      <c r="BH63" s="235">
        <v>6.9444444444444397E-3</v>
      </c>
      <c r="BI63" s="235">
        <v>6.9444444444444397E-3</v>
      </c>
      <c r="BJ63" s="235">
        <v>3.125E-2</v>
      </c>
      <c r="BK63" s="237">
        <f t="shared" si="32"/>
        <v>0.11180555555555555</v>
      </c>
      <c r="BL63" s="234">
        <f t="shared" si="33"/>
        <v>107.33333333333331</v>
      </c>
      <c r="BN63" s="232" t="s">
        <v>1314</v>
      </c>
      <c r="BO63" s="238">
        <f t="shared" si="34"/>
        <v>198.532690352</v>
      </c>
      <c r="BP63" s="239">
        <f t="shared" si="35"/>
        <v>80.6666666666667</v>
      </c>
      <c r="BQ63" s="243">
        <v>20</v>
      </c>
      <c r="BR63" s="241">
        <f t="shared" si="36"/>
        <v>4.033333333333335</v>
      </c>
      <c r="BS63" s="242">
        <f t="shared" si="37"/>
        <v>202.56602368533333</v>
      </c>
      <c r="BT63" s="240">
        <v>20</v>
      </c>
      <c r="BV63" s="232" t="s">
        <v>1314</v>
      </c>
      <c r="BW63" s="238">
        <f t="shared" si="38"/>
        <v>203.30588535199999</v>
      </c>
      <c r="BX63" s="239">
        <f t="shared" si="39"/>
        <v>100.66666666666667</v>
      </c>
      <c r="BY63" s="243">
        <v>15</v>
      </c>
      <c r="BZ63" s="241">
        <f t="shared" si="40"/>
        <v>6.7111111111111112</v>
      </c>
      <c r="CA63" s="242">
        <f t="shared" si="41"/>
        <v>210.0169964631111</v>
      </c>
      <c r="CB63" s="240">
        <v>15</v>
      </c>
      <c r="CD63" s="232" t="s">
        <v>1314</v>
      </c>
      <c r="CE63" s="238">
        <f t="shared" si="42"/>
        <v>206.78588535199998</v>
      </c>
      <c r="CF63" s="239">
        <f t="shared" si="43"/>
        <v>107.33333333333331</v>
      </c>
      <c r="CG63" s="243">
        <v>10</v>
      </c>
      <c r="CH63" s="241">
        <f t="shared" si="44"/>
        <v>10.733333333333331</v>
      </c>
      <c r="CI63" s="242">
        <f t="shared" si="45"/>
        <v>217.5192186853333</v>
      </c>
      <c r="CJ63" s="244">
        <v>10</v>
      </c>
    </row>
    <row r="64" spans="1:133" ht="30.75" customHeight="1" x14ac:dyDescent="0.3">
      <c r="A64" s="224" t="s">
        <v>47</v>
      </c>
      <c r="B64" s="225" t="s">
        <v>1305</v>
      </c>
      <c r="C64" s="226">
        <v>0.17226669999999999</v>
      </c>
      <c r="D64" s="470">
        <f>PARÂMETROS!$E$20*C64</f>
        <v>276.89460291199998</v>
      </c>
      <c r="E64" s="470"/>
      <c r="F64" s="228">
        <v>0.15</v>
      </c>
      <c r="G64" s="227">
        <f>F64*PARÂMETROS!$E$22</f>
        <v>6.3554999999999993</v>
      </c>
      <c r="H64" s="228">
        <v>2E-3</v>
      </c>
      <c r="I64" s="227">
        <f>H64*PARÂMETROS!$E$22</f>
        <v>8.4739999999999996E-2</v>
      </c>
      <c r="J64" s="228">
        <f t="shared" si="23"/>
        <v>1.4999999999999999E-2</v>
      </c>
      <c r="K64" s="230">
        <f>J64*PARÂMETROS!$E$8</f>
        <v>0.46334999999999998</v>
      </c>
      <c r="L64" s="229">
        <f t="shared" si="24"/>
        <v>2.0000000000000001E-4</v>
      </c>
      <c r="M64" s="230">
        <f>L64*PARÂMETROS!$E$8</f>
        <v>6.1780000000000003E-3</v>
      </c>
      <c r="N64" s="231">
        <v>1.26</v>
      </c>
      <c r="O64" s="230">
        <f>N64*PARÂMETROS!$E$27</f>
        <v>3.7800000000000002</v>
      </c>
      <c r="P64" s="170"/>
      <c r="Q64" s="191"/>
      <c r="R64" s="232" t="s">
        <v>1315</v>
      </c>
      <c r="S64" s="233">
        <f t="shared" si="25"/>
        <v>276.98552091199997</v>
      </c>
      <c r="U64" s="232" t="s">
        <v>1315</v>
      </c>
      <c r="V64" s="233">
        <f t="shared" si="26"/>
        <v>283.80437091199997</v>
      </c>
      <c r="X64" s="232" t="s">
        <v>1315</v>
      </c>
      <c r="Y64" s="233">
        <f t="shared" si="27"/>
        <v>287.58437091199994</v>
      </c>
      <c r="AA64" s="232" t="s">
        <v>1315</v>
      </c>
      <c r="AB64" s="234">
        <f>PARÂMETROS!$H$3</f>
        <v>40</v>
      </c>
      <c r="AC64" s="235">
        <v>2.1527777777777798E-2</v>
      </c>
      <c r="AD64" s="235">
        <v>6.9444444444444397E-3</v>
      </c>
      <c r="AE64" s="235">
        <v>2.0833333333333301E-2</v>
      </c>
      <c r="AF64" s="235">
        <v>6.9444444444444397E-3</v>
      </c>
      <c r="AG64" s="236"/>
      <c r="AH64" s="236"/>
      <c r="AI64" s="235">
        <v>6.9444444444444397E-3</v>
      </c>
      <c r="AJ64" s="235">
        <v>3.125E-2</v>
      </c>
      <c r="AK64" s="237">
        <f t="shared" si="28"/>
        <v>9.4444444444444414E-2</v>
      </c>
      <c r="AL64" s="234">
        <f t="shared" si="29"/>
        <v>90.666666666666643</v>
      </c>
      <c r="AM64" s="193"/>
      <c r="AN64" s="232" t="s">
        <v>1315</v>
      </c>
      <c r="AO64" s="234">
        <f>PARÂMETROS!$H$3</f>
        <v>40</v>
      </c>
      <c r="AP64" s="235">
        <v>2.1527777777777798E-2</v>
      </c>
      <c r="AQ64" s="235">
        <v>6.9444444444444397E-3</v>
      </c>
      <c r="AR64" s="235">
        <v>2.0833333333333301E-2</v>
      </c>
      <c r="AS64" s="235">
        <v>6.9444444444444397E-3</v>
      </c>
      <c r="AT64" s="235">
        <v>2.0833333333333301E-2</v>
      </c>
      <c r="AU64" s="236"/>
      <c r="AV64" s="235">
        <v>6.9444444444444397E-3</v>
      </c>
      <c r="AW64" s="235">
        <v>3.125E-2</v>
      </c>
      <c r="AX64" s="237">
        <f t="shared" si="30"/>
        <v>0.11527777777777772</v>
      </c>
      <c r="AY64" s="234">
        <f t="shared" si="31"/>
        <v>110.66666666666661</v>
      </c>
      <c r="AZ64" s="193"/>
      <c r="BA64" s="232" t="s">
        <v>1315</v>
      </c>
      <c r="BB64" s="234">
        <f>PARÂMETROS!$H$3</f>
        <v>40</v>
      </c>
      <c r="BC64" s="235">
        <v>2.1527777777777798E-2</v>
      </c>
      <c r="BD64" s="235">
        <v>6.9444444444444397E-3</v>
      </c>
      <c r="BE64" s="235">
        <v>2.0833333333333301E-2</v>
      </c>
      <c r="BF64" s="235">
        <v>6.9444444444444397E-3</v>
      </c>
      <c r="BG64" s="235">
        <v>2.0833333333333301E-2</v>
      </c>
      <c r="BH64" s="235">
        <v>6.9444444444444397E-3</v>
      </c>
      <c r="BI64" s="235">
        <v>6.9444444444444397E-3</v>
      </c>
      <c r="BJ64" s="235">
        <v>3.125E-2</v>
      </c>
      <c r="BK64" s="237">
        <f t="shared" si="32"/>
        <v>0.12222222222222215</v>
      </c>
      <c r="BL64" s="234">
        <f t="shared" si="33"/>
        <v>117.33333333333326</v>
      </c>
      <c r="BN64" s="232" t="s">
        <v>1315</v>
      </c>
      <c r="BO64" s="238">
        <f t="shared" si="34"/>
        <v>276.98552091199997</v>
      </c>
      <c r="BP64" s="239">
        <f t="shared" si="35"/>
        <v>90.666666666666643</v>
      </c>
      <c r="BQ64" s="243">
        <v>16</v>
      </c>
      <c r="BR64" s="241">
        <f t="shared" si="36"/>
        <v>5.6666666666666652</v>
      </c>
      <c r="BS64" s="242">
        <f t="shared" si="37"/>
        <v>282.65218757866666</v>
      </c>
      <c r="BT64" s="240">
        <v>16</v>
      </c>
      <c r="BV64" s="232" t="s">
        <v>1315</v>
      </c>
      <c r="BW64" s="238">
        <f t="shared" si="38"/>
        <v>283.80437091199997</v>
      </c>
      <c r="BX64" s="239">
        <f t="shared" si="39"/>
        <v>110.66666666666661</v>
      </c>
      <c r="BY64" s="243">
        <v>10</v>
      </c>
      <c r="BZ64" s="241">
        <f t="shared" si="40"/>
        <v>11.066666666666661</v>
      </c>
      <c r="CA64" s="242">
        <f t="shared" si="41"/>
        <v>294.87103757866663</v>
      </c>
      <c r="CB64" s="240">
        <v>10</v>
      </c>
      <c r="CD64" s="232" t="s">
        <v>1315</v>
      </c>
      <c r="CE64" s="238">
        <f t="shared" si="42"/>
        <v>287.58437091199994</v>
      </c>
      <c r="CF64" s="239">
        <f t="shared" si="43"/>
        <v>117.33333333333326</v>
      </c>
      <c r="CG64" s="243">
        <v>5</v>
      </c>
      <c r="CH64" s="241">
        <f t="shared" si="44"/>
        <v>23.466666666666651</v>
      </c>
      <c r="CI64" s="242">
        <f t="shared" si="45"/>
        <v>311.05103757866658</v>
      </c>
      <c r="CJ64" s="244">
        <v>7</v>
      </c>
    </row>
    <row r="65" spans="1:88" ht="30.75" customHeight="1" x14ac:dyDescent="0.3">
      <c r="A65" s="224" t="s">
        <v>222</v>
      </c>
      <c r="B65" s="225" t="s">
        <v>1305</v>
      </c>
      <c r="C65" s="226">
        <v>0.25018839999999998</v>
      </c>
      <c r="D65" s="470">
        <f>PARÂMETROS!$E$20*C65</f>
        <v>402.14282662399995</v>
      </c>
      <c r="E65" s="470"/>
      <c r="F65" s="228">
        <v>0.19400000000000001</v>
      </c>
      <c r="G65" s="227">
        <f>F65*PARÂMETROS!$E$22</f>
        <v>8.2197800000000001</v>
      </c>
      <c r="H65" s="228">
        <v>2E-3</v>
      </c>
      <c r="I65" s="227">
        <f>H65*PARÂMETROS!$E$22</f>
        <v>8.4739999999999996E-2</v>
      </c>
      <c r="J65" s="228">
        <f t="shared" si="23"/>
        <v>1.9400000000000001E-2</v>
      </c>
      <c r="K65" s="230">
        <f>J65*PARÂMETROS!$E$8</f>
        <v>0.59926600000000008</v>
      </c>
      <c r="L65" s="229">
        <f t="shared" si="24"/>
        <v>2.0000000000000001E-4</v>
      </c>
      <c r="M65" s="230">
        <f>L65*PARÂMETROS!$E$8</f>
        <v>6.1780000000000003E-3</v>
      </c>
      <c r="N65" s="231">
        <v>1.38</v>
      </c>
      <c r="O65" s="230">
        <f>N65*PARÂMETROS!$E$27</f>
        <v>4.1399999999999997</v>
      </c>
      <c r="P65" s="170"/>
      <c r="Q65" s="191"/>
      <c r="R65" s="232" t="s">
        <v>1316</v>
      </c>
      <c r="S65" s="233">
        <f t="shared" si="25"/>
        <v>402.23374462399994</v>
      </c>
      <c r="U65" s="232" t="s">
        <v>1316</v>
      </c>
      <c r="V65" s="233">
        <f t="shared" si="26"/>
        <v>411.05279062399995</v>
      </c>
      <c r="X65" s="232" t="s">
        <v>1316</v>
      </c>
      <c r="Y65" s="233">
        <f t="shared" si="27"/>
        <v>415.19279062399994</v>
      </c>
      <c r="AA65" s="232" t="s">
        <v>1316</v>
      </c>
      <c r="AB65" s="234">
        <f>PARÂMETROS!$H$3</f>
        <v>40</v>
      </c>
      <c r="AC65" s="235">
        <v>2.1527777777777798E-2</v>
      </c>
      <c r="AD65" s="235">
        <v>6.9444444444444397E-3</v>
      </c>
      <c r="AE65" s="235">
        <v>2.0833333333333301E-2</v>
      </c>
      <c r="AF65" s="235">
        <v>6.9444444444444397E-3</v>
      </c>
      <c r="AG65" s="236"/>
      <c r="AH65" s="236"/>
      <c r="AI65" s="235">
        <v>6.9444444444444397E-3</v>
      </c>
      <c r="AJ65" s="235">
        <v>3.125E-2</v>
      </c>
      <c r="AK65" s="237">
        <f t="shared" si="28"/>
        <v>9.4444444444444414E-2</v>
      </c>
      <c r="AL65" s="234">
        <f t="shared" si="29"/>
        <v>90.666666666666643</v>
      </c>
      <c r="AM65" s="193"/>
      <c r="AN65" s="232" t="s">
        <v>1316</v>
      </c>
      <c r="AO65" s="234">
        <f>PARÂMETROS!$H$3</f>
        <v>40</v>
      </c>
      <c r="AP65" s="235">
        <v>2.1527777777777798E-2</v>
      </c>
      <c r="AQ65" s="235">
        <v>6.9444444444444397E-3</v>
      </c>
      <c r="AR65" s="235">
        <v>2.0833333333333301E-2</v>
      </c>
      <c r="AS65" s="235">
        <v>6.9444444444444397E-3</v>
      </c>
      <c r="AT65" s="235">
        <v>2.0833333333333301E-2</v>
      </c>
      <c r="AU65" s="236"/>
      <c r="AV65" s="235">
        <v>6.9444444444444397E-3</v>
      </c>
      <c r="AW65" s="235">
        <v>3.125E-2</v>
      </c>
      <c r="AX65" s="237">
        <f t="shared" si="30"/>
        <v>0.11527777777777772</v>
      </c>
      <c r="AY65" s="234">
        <f t="shared" si="31"/>
        <v>110.66666666666661</v>
      </c>
      <c r="AZ65" s="193"/>
      <c r="BA65" s="232" t="s">
        <v>1316</v>
      </c>
      <c r="BB65" s="234">
        <f>PARÂMETROS!$H$3</f>
        <v>40</v>
      </c>
      <c r="BC65" s="235">
        <v>2.1527777777777798E-2</v>
      </c>
      <c r="BD65" s="235">
        <v>6.9444444444444397E-3</v>
      </c>
      <c r="BE65" s="235">
        <v>2.0833333333333301E-2</v>
      </c>
      <c r="BF65" s="235">
        <v>6.9444444444444397E-3</v>
      </c>
      <c r="BG65" s="235">
        <v>2.0833333333333301E-2</v>
      </c>
      <c r="BH65" s="235">
        <v>6.9444444444444397E-3</v>
      </c>
      <c r="BI65" s="235">
        <v>6.9444444444444397E-3</v>
      </c>
      <c r="BJ65" s="235">
        <v>3.125E-2</v>
      </c>
      <c r="BK65" s="237">
        <f t="shared" si="32"/>
        <v>0.12222222222222215</v>
      </c>
      <c r="BL65" s="234">
        <f t="shared" si="33"/>
        <v>117.33333333333326</v>
      </c>
      <c r="BN65" s="232" t="s">
        <v>1316</v>
      </c>
      <c r="BO65" s="238">
        <f t="shared" si="34"/>
        <v>402.23374462399994</v>
      </c>
      <c r="BP65" s="239">
        <f t="shared" si="35"/>
        <v>90.666666666666643</v>
      </c>
      <c r="BQ65" s="243">
        <v>15</v>
      </c>
      <c r="BR65" s="241">
        <f t="shared" si="36"/>
        <v>6.0444444444444425</v>
      </c>
      <c r="BS65" s="242">
        <f t="shared" si="37"/>
        <v>408.27818906844436</v>
      </c>
      <c r="BT65" s="240">
        <v>15</v>
      </c>
      <c r="BV65" s="232" t="s">
        <v>1316</v>
      </c>
      <c r="BW65" s="238">
        <f t="shared" si="38"/>
        <v>411.05279062399995</v>
      </c>
      <c r="BX65" s="239">
        <f t="shared" si="39"/>
        <v>110.66666666666661</v>
      </c>
      <c r="BY65" s="243">
        <v>10</v>
      </c>
      <c r="BZ65" s="241">
        <f t="shared" si="40"/>
        <v>11.066666666666661</v>
      </c>
      <c r="CA65" s="242">
        <f t="shared" si="41"/>
        <v>422.11945729066662</v>
      </c>
      <c r="CB65" s="240">
        <v>10</v>
      </c>
      <c r="CD65" s="232" t="s">
        <v>1316</v>
      </c>
      <c r="CE65" s="238">
        <f t="shared" si="42"/>
        <v>415.19279062399994</v>
      </c>
      <c r="CF65" s="239">
        <f t="shared" si="43"/>
        <v>117.33333333333326</v>
      </c>
      <c r="CG65" s="243">
        <v>1</v>
      </c>
      <c r="CH65" s="241">
        <f t="shared" si="44"/>
        <v>117.33333333333326</v>
      </c>
      <c r="CI65" s="242">
        <f t="shared" si="45"/>
        <v>532.5261239573332</v>
      </c>
      <c r="CJ65" s="244">
        <v>7</v>
      </c>
    </row>
    <row r="66" spans="1:88" ht="30.75" customHeight="1" x14ac:dyDescent="0.3">
      <c r="A66" s="224" t="s">
        <v>226</v>
      </c>
      <c r="B66" s="225" t="s">
        <v>1305</v>
      </c>
      <c r="C66" s="226">
        <v>0.34861589999999998</v>
      </c>
      <c r="D66" s="470">
        <f>PARÂMETROS!$E$20*C66</f>
        <v>560.3512530239999</v>
      </c>
      <c r="E66" s="470"/>
      <c r="F66" s="228">
        <v>0.24</v>
      </c>
      <c r="G66" s="227">
        <f>F66*PARÂMETROS!$E$22</f>
        <v>10.168799999999999</v>
      </c>
      <c r="H66" s="228">
        <v>2E-3</v>
      </c>
      <c r="I66" s="227">
        <f>H66*PARÂMETROS!$E$22</f>
        <v>8.4739999999999996E-2</v>
      </c>
      <c r="J66" s="228">
        <f t="shared" si="23"/>
        <v>2.4E-2</v>
      </c>
      <c r="K66" s="230">
        <f>J66*PARÂMETROS!$E$8</f>
        <v>0.74136000000000002</v>
      </c>
      <c r="L66" s="229">
        <f t="shared" si="24"/>
        <v>2.0000000000000001E-4</v>
      </c>
      <c r="M66" s="230">
        <f>L66*PARÂMETROS!$E$8</f>
        <v>6.1780000000000003E-3</v>
      </c>
      <c r="N66" s="231">
        <v>1.46</v>
      </c>
      <c r="O66" s="230">
        <f>N66*PARÂMETROS!$E$27</f>
        <v>4.38</v>
      </c>
      <c r="P66" s="170"/>
      <c r="Q66" s="191"/>
      <c r="R66" s="232" t="s">
        <v>1317</v>
      </c>
      <c r="S66" s="233">
        <f t="shared" si="25"/>
        <v>560.44217102399989</v>
      </c>
      <c r="U66" s="232" t="s">
        <v>1317</v>
      </c>
      <c r="V66" s="233">
        <f t="shared" si="26"/>
        <v>571.35233102399991</v>
      </c>
      <c r="X66" s="232" t="s">
        <v>1317</v>
      </c>
      <c r="Y66" s="233">
        <f t="shared" si="27"/>
        <v>575.7323310239999</v>
      </c>
      <c r="AA66" s="232" t="s">
        <v>1317</v>
      </c>
      <c r="AB66" s="234">
        <f>PARÂMETROS!$H$3</f>
        <v>40</v>
      </c>
      <c r="AC66" s="235">
        <v>2.1527777777777798E-2</v>
      </c>
      <c r="AD66" s="235">
        <v>6.9444444444444397E-3</v>
      </c>
      <c r="AE66" s="235">
        <v>2.0833333333333301E-2</v>
      </c>
      <c r="AF66" s="235">
        <v>6.9444444444444397E-3</v>
      </c>
      <c r="AG66" s="236"/>
      <c r="AH66" s="236"/>
      <c r="AI66" s="235">
        <v>6.9444444444444397E-3</v>
      </c>
      <c r="AJ66" s="235">
        <v>3.125E-2</v>
      </c>
      <c r="AK66" s="237">
        <f t="shared" si="28"/>
        <v>9.4444444444444414E-2</v>
      </c>
      <c r="AL66" s="234">
        <f t="shared" si="29"/>
        <v>90.666666666666643</v>
      </c>
      <c r="AM66" s="193"/>
      <c r="AN66" s="232" t="s">
        <v>1317</v>
      </c>
      <c r="AO66" s="234">
        <f>PARÂMETROS!$H$3</f>
        <v>40</v>
      </c>
      <c r="AP66" s="235">
        <v>2.1527777777777798E-2</v>
      </c>
      <c r="AQ66" s="235">
        <v>6.9444444444444397E-3</v>
      </c>
      <c r="AR66" s="235">
        <v>2.0833333333333301E-2</v>
      </c>
      <c r="AS66" s="235">
        <v>6.9444444444444397E-3</v>
      </c>
      <c r="AT66" s="235">
        <v>2.0833333333333301E-2</v>
      </c>
      <c r="AU66" s="236"/>
      <c r="AV66" s="235">
        <v>6.9444444444444397E-3</v>
      </c>
      <c r="AW66" s="235">
        <v>3.125E-2</v>
      </c>
      <c r="AX66" s="237">
        <f t="shared" si="30"/>
        <v>0.11527777777777772</v>
      </c>
      <c r="AY66" s="234">
        <f t="shared" si="31"/>
        <v>110.66666666666661</v>
      </c>
      <c r="AZ66" s="193"/>
      <c r="BA66" s="232" t="s">
        <v>1317</v>
      </c>
      <c r="BB66" s="234">
        <f>PARÂMETROS!$H$3</f>
        <v>40</v>
      </c>
      <c r="BC66" s="235">
        <v>2.1527777777777798E-2</v>
      </c>
      <c r="BD66" s="235">
        <v>6.9444444444444397E-3</v>
      </c>
      <c r="BE66" s="235">
        <v>2.0833333333333301E-2</v>
      </c>
      <c r="BF66" s="235">
        <v>6.9444444444444397E-3</v>
      </c>
      <c r="BG66" s="235">
        <v>2.0833333333333301E-2</v>
      </c>
      <c r="BH66" s="235">
        <v>6.9444444444444397E-3</v>
      </c>
      <c r="BI66" s="235">
        <v>6.9444444444444397E-3</v>
      </c>
      <c r="BJ66" s="235">
        <v>3.125E-2</v>
      </c>
      <c r="BK66" s="237">
        <f t="shared" si="32"/>
        <v>0.12222222222222215</v>
      </c>
      <c r="BL66" s="234">
        <f t="shared" si="33"/>
        <v>117.33333333333326</v>
      </c>
      <c r="BN66" s="232" t="s">
        <v>1317</v>
      </c>
      <c r="BO66" s="238">
        <f t="shared" si="34"/>
        <v>560.44217102399989</v>
      </c>
      <c r="BP66" s="239">
        <f t="shared" si="35"/>
        <v>90.666666666666643</v>
      </c>
      <c r="BQ66" s="243">
        <v>7</v>
      </c>
      <c r="BR66" s="241">
        <f t="shared" si="36"/>
        <v>12.952380952380949</v>
      </c>
      <c r="BS66" s="242">
        <f t="shared" si="37"/>
        <v>573.39455197638085</v>
      </c>
      <c r="BT66" s="240">
        <v>7</v>
      </c>
      <c r="BV66" s="232" t="s">
        <v>1317</v>
      </c>
      <c r="BW66" s="238">
        <f t="shared" si="38"/>
        <v>571.35233102399991</v>
      </c>
      <c r="BX66" s="239">
        <f t="shared" si="39"/>
        <v>110.66666666666661</v>
      </c>
      <c r="BY66" s="243">
        <v>5</v>
      </c>
      <c r="BZ66" s="241">
        <f t="shared" si="40"/>
        <v>22.133333333333322</v>
      </c>
      <c r="CA66" s="242">
        <f t="shared" si="41"/>
        <v>593.48566435733323</v>
      </c>
      <c r="CB66" s="240">
        <v>5</v>
      </c>
      <c r="CD66" s="232" t="s">
        <v>1317</v>
      </c>
      <c r="CE66" s="238">
        <f t="shared" si="42"/>
        <v>575.7323310239999</v>
      </c>
      <c r="CF66" s="239">
        <f t="shared" si="43"/>
        <v>117.33333333333326</v>
      </c>
      <c r="CG66" s="243">
        <v>5</v>
      </c>
      <c r="CH66" s="241">
        <f t="shared" si="44"/>
        <v>23.466666666666651</v>
      </c>
      <c r="CI66" s="242">
        <f t="shared" si="45"/>
        <v>599.1989976906666</v>
      </c>
      <c r="CJ66" s="244">
        <v>4</v>
      </c>
    </row>
    <row r="67" spans="1:88" ht="30.75" customHeight="1" x14ac:dyDescent="0.3">
      <c r="A67" s="224" t="s">
        <v>230</v>
      </c>
      <c r="B67" s="225" t="s">
        <v>1305</v>
      </c>
      <c r="C67" s="226">
        <v>0.46994170000000002</v>
      </c>
      <c r="D67" s="470">
        <f>PARÂMETROS!$E$20*C67</f>
        <v>755.36549091199993</v>
      </c>
      <c r="E67" s="470"/>
      <c r="F67" s="228">
        <v>0.29099999999999998</v>
      </c>
      <c r="G67" s="227">
        <f>F67*PARÂMETROS!$E$22</f>
        <v>12.329669999999998</v>
      </c>
      <c r="H67" s="228">
        <v>2E-3</v>
      </c>
      <c r="I67" s="227">
        <f>H67*PARÂMETROS!$E$22</f>
        <v>8.4739999999999996E-2</v>
      </c>
      <c r="J67" s="228">
        <f t="shared" si="23"/>
        <v>2.9100000000000001E-2</v>
      </c>
      <c r="K67" s="230">
        <f>J67*PARÂMETROS!$E$8</f>
        <v>0.898899</v>
      </c>
      <c r="L67" s="229">
        <f t="shared" si="24"/>
        <v>2.0000000000000001E-4</v>
      </c>
      <c r="M67" s="230">
        <f>L67*PARÂMETROS!$E$8</f>
        <v>6.1780000000000003E-3</v>
      </c>
      <c r="N67" s="231">
        <v>1.56</v>
      </c>
      <c r="O67" s="230">
        <f>N67*PARÂMETROS!$E$27</f>
        <v>4.68</v>
      </c>
      <c r="P67" s="170"/>
      <c r="Q67" s="191"/>
      <c r="R67" s="232" t="s">
        <v>1318</v>
      </c>
      <c r="S67" s="233">
        <f t="shared" si="25"/>
        <v>755.45640891199992</v>
      </c>
      <c r="U67" s="232" t="s">
        <v>1318</v>
      </c>
      <c r="V67" s="233">
        <f t="shared" si="26"/>
        <v>768.68497791199991</v>
      </c>
      <c r="X67" s="232" t="s">
        <v>1318</v>
      </c>
      <c r="Y67" s="233">
        <f t="shared" si="27"/>
        <v>773.36497791199986</v>
      </c>
      <c r="AA67" s="232" t="s">
        <v>1318</v>
      </c>
      <c r="AB67" s="234">
        <f>PARÂMETROS!$H$3</f>
        <v>40</v>
      </c>
      <c r="AC67" s="235">
        <v>2.1527777777777798E-2</v>
      </c>
      <c r="AD67" s="235">
        <v>6.9444444444444397E-3</v>
      </c>
      <c r="AE67" s="235">
        <v>2.0833333333333301E-2</v>
      </c>
      <c r="AF67" s="235">
        <v>6.9444444444444397E-3</v>
      </c>
      <c r="AG67" s="236"/>
      <c r="AH67" s="236"/>
      <c r="AI67" s="235">
        <v>6.9444444444444397E-3</v>
      </c>
      <c r="AJ67" s="235">
        <v>3.125E-2</v>
      </c>
      <c r="AK67" s="237">
        <f t="shared" si="28"/>
        <v>9.4444444444444414E-2</v>
      </c>
      <c r="AL67" s="234">
        <f t="shared" si="29"/>
        <v>90.666666666666643</v>
      </c>
      <c r="AM67" s="193"/>
      <c r="AN67" s="232" t="s">
        <v>1318</v>
      </c>
      <c r="AO67" s="234">
        <f>PARÂMETROS!$H$3</f>
        <v>40</v>
      </c>
      <c r="AP67" s="235">
        <v>2.1527777777777798E-2</v>
      </c>
      <c r="AQ67" s="235">
        <v>6.9444444444444397E-3</v>
      </c>
      <c r="AR67" s="235">
        <v>2.0833333333333301E-2</v>
      </c>
      <c r="AS67" s="235">
        <v>6.9444444444444397E-3</v>
      </c>
      <c r="AT67" s="235">
        <v>2.0833333333333301E-2</v>
      </c>
      <c r="AU67" s="236"/>
      <c r="AV67" s="235">
        <v>6.9444444444444397E-3</v>
      </c>
      <c r="AW67" s="235">
        <v>3.125E-2</v>
      </c>
      <c r="AX67" s="237">
        <f t="shared" si="30"/>
        <v>0.11527777777777772</v>
      </c>
      <c r="AY67" s="234">
        <f t="shared" si="31"/>
        <v>110.66666666666661</v>
      </c>
      <c r="AZ67" s="193"/>
      <c r="BA67" s="232" t="s">
        <v>1318</v>
      </c>
      <c r="BB67" s="234">
        <f>PARÂMETROS!$H$3</f>
        <v>40</v>
      </c>
      <c r="BC67" s="235">
        <v>2.1527777777777798E-2</v>
      </c>
      <c r="BD67" s="235">
        <v>6.9444444444444397E-3</v>
      </c>
      <c r="BE67" s="235">
        <v>2.0833333333333301E-2</v>
      </c>
      <c r="BF67" s="235">
        <v>6.9444444444444397E-3</v>
      </c>
      <c r="BG67" s="235">
        <v>2.0833333333333301E-2</v>
      </c>
      <c r="BH67" s="235">
        <v>6.9444444444444397E-3</v>
      </c>
      <c r="BI67" s="235">
        <v>6.9444444444444397E-3</v>
      </c>
      <c r="BJ67" s="235">
        <v>3.125E-2</v>
      </c>
      <c r="BK67" s="237">
        <f t="shared" si="32"/>
        <v>0.12222222222222215</v>
      </c>
      <c r="BL67" s="234">
        <f t="shared" si="33"/>
        <v>117.33333333333326</v>
      </c>
      <c r="BN67" s="232" t="s">
        <v>1318</v>
      </c>
      <c r="BO67" s="238">
        <f t="shared" si="34"/>
        <v>755.45640891199992</v>
      </c>
      <c r="BP67" s="239">
        <f t="shared" si="35"/>
        <v>90.666666666666643</v>
      </c>
      <c r="BQ67" s="243">
        <v>7</v>
      </c>
      <c r="BR67" s="241">
        <f t="shared" si="36"/>
        <v>12.952380952380949</v>
      </c>
      <c r="BS67" s="242">
        <f t="shared" si="37"/>
        <v>768.40878986438088</v>
      </c>
      <c r="BT67" s="240">
        <v>7</v>
      </c>
      <c r="BV67" s="232" t="s">
        <v>1318</v>
      </c>
      <c r="BW67" s="238">
        <f t="shared" si="38"/>
        <v>768.68497791199991</v>
      </c>
      <c r="BX67" s="239">
        <f t="shared" si="39"/>
        <v>110.66666666666661</v>
      </c>
      <c r="BY67" s="243">
        <v>5</v>
      </c>
      <c r="BZ67" s="241">
        <f t="shared" si="40"/>
        <v>22.133333333333322</v>
      </c>
      <c r="CA67" s="242">
        <f t="shared" si="41"/>
        <v>790.81831124533323</v>
      </c>
      <c r="CB67" s="240">
        <v>5</v>
      </c>
      <c r="CD67" s="232" t="s">
        <v>1318</v>
      </c>
      <c r="CE67" s="238">
        <f t="shared" si="42"/>
        <v>773.36497791199986</v>
      </c>
      <c r="CF67" s="239">
        <f t="shared" si="43"/>
        <v>117.33333333333326</v>
      </c>
      <c r="CG67" s="243">
        <v>3</v>
      </c>
      <c r="CH67" s="241">
        <f t="shared" si="44"/>
        <v>39.111111111111086</v>
      </c>
      <c r="CI67" s="242">
        <f t="shared" si="45"/>
        <v>812.47608902311094</v>
      </c>
      <c r="CJ67" s="244">
        <v>4</v>
      </c>
    </row>
    <row r="68" spans="1:88" ht="30.75" customHeight="1" x14ac:dyDescent="0.3">
      <c r="A68" s="224" t="s">
        <v>234</v>
      </c>
      <c r="B68" s="225" t="s">
        <v>1305</v>
      </c>
      <c r="C68" s="226">
        <v>0.61655850000000001</v>
      </c>
      <c r="D68" s="470">
        <f>PARÂMETROS!$E$20*C68</f>
        <v>991.03147056</v>
      </c>
      <c r="E68" s="470"/>
      <c r="F68" s="228">
        <v>0.34599999999999997</v>
      </c>
      <c r="G68" s="227">
        <f>F68*PARÂMETROS!$E$22</f>
        <v>14.660019999999998</v>
      </c>
      <c r="H68" s="228">
        <v>2E-3</v>
      </c>
      <c r="I68" s="227">
        <f>H68*PARÂMETROS!$E$22</f>
        <v>8.4739999999999996E-2</v>
      </c>
      <c r="J68" s="228">
        <f t="shared" si="23"/>
        <v>3.4599999999999999E-2</v>
      </c>
      <c r="K68" s="230">
        <f>J68*PARÂMETROS!$E$8</f>
        <v>1.068794</v>
      </c>
      <c r="L68" s="229">
        <f t="shared" si="24"/>
        <v>2.0000000000000001E-4</v>
      </c>
      <c r="M68" s="230">
        <f>L68*PARÂMETROS!$E$8</f>
        <v>6.1780000000000003E-3</v>
      </c>
      <c r="N68" s="231">
        <v>1.66</v>
      </c>
      <c r="O68" s="230">
        <f>N68*PARÂMETROS!$E$27</f>
        <v>4.9799999999999995</v>
      </c>
      <c r="P68" s="170"/>
      <c r="Q68" s="191"/>
      <c r="R68" s="232" t="s">
        <v>1319</v>
      </c>
      <c r="S68" s="233">
        <f t="shared" si="25"/>
        <v>991.12238855999999</v>
      </c>
      <c r="U68" s="232" t="s">
        <v>1319</v>
      </c>
      <c r="V68" s="233">
        <f t="shared" si="26"/>
        <v>1006.85120256</v>
      </c>
      <c r="X68" s="232" t="s">
        <v>1319</v>
      </c>
      <c r="Y68" s="233">
        <f t="shared" si="27"/>
        <v>1011.8312025600001</v>
      </c>
      <c r="AA68" s="232" t="s">
        <v>1319</v>
      </c>
      <c r="AB68" s="234">
        <f>PARÂMETROS!$H$3</f>
        <v>40</v>
      </c>
      <c r="AC68" s="235">
        <v>2.1527777777777798E-2</v>
      </c>
      <c r="AD68" s="235">
        <v>6.9444444444444397E-3</v>
      </c>
      <c r="AE68" s="235">
        <v>2.0833333333333301E-2</v>
      </c>
      <c r="AF68" s="235">
        <v>6.9444444444444397E-3</v>
      </c>
      <c r="AG68" s="236"/>
      <c r="AH68" s="236"/>
      <c r="AI68" s="235">
        <v>6.9444444444444397E-3</v>
      </c>
      <c r="AJ68" s="235">
        <v>3.125E-2</v>
      </c>
      <c r="AK68" s="237">
        <f t="shared" si="28"/>
        <v>9.4444444444444414E-2</v>
      </c>
      <c r="AL68" s="234">
        <f t="shared" si="29"/>
        <v>90.666666666666643</v>
      </c>
      <c r="AM68" s="193"/>
      <c r="AN68" s="232" t="s">
        <v>1319</v>
      </c>
      <c r="AO68" s="234">
        <f>PARÂMETROS!$H$3</f>
        <v>40</v>
      </c>
      <c r="AP68" s="235">
        <v>2.1527777777777798E-2</v>
      </c>
      <c r="AQ68" s="235">
        <v>6.9444444444444397E-3</v>
      </c>
      <c r="AR68" s="235">
        <v>2.0833333333333301E-2</v>
      </c>
      <c r="AS68" s="235">
        <v>6.9444444444444397E-3</v>
      </c>
      <c r="AT68" s="235">
        <v>2.0833333333333301E-2</v>
      </c>
      <c r="AU68" s="236"/>
      <c r="AV68" s="235">
        <v>6.9444444444444397E-3</v>
      </c>
      <c r="AW68" s="235">
        <v>3.125E-2</v>
      </c>
      <c r="AX68" s="237">
        <f t="shared" si="30"/>
        <v>0.11527777777777772</v>
      </c>
      <c r="AY68" s="234">
        <f t="shared" si="31"/>
        <v>110.66666666666661</v>
      </c>
      <c r="AZ68" s="193"/>
      <c r="BA68" s="232" t="s">
        <v>1319</v>
      </c>
      <c r="BB68" s="234">
        <f>PARÂMETROS!$H$3</f>
        <v>40</v>
      </c>
      <c r="BC68" s="235">
        <v>2.1527777777777798E-2</v>
      </c>
      <c r="BD68" s="235">
        <v>6.9444444444444397E-3</v>
      </c>
      <c r="BE68" s="235">
        <v>2.0833333333333301E-2</v>
      </c>
      <c r="BF68" s="235">
        <v>6.9444444444444397E-3</v>
      </c>
      <c r="BG68" s="235">
        <v>2.0833333333333301E-2</v>
      </c>
      <c r="BH68" s="235">
        <v>6.9444444444444397E-3</v>
      </c>
      <c r="BI68" s="235">
        <v>6.9444444444444397E-3</v>
      </c>
      <c r="BJ68" s="235">
        <v>3.125E-2</v>
      </c>
      <c r="BK68" s="237">
        <f t="shared" si="32"/>
        <v>0.12222222222222215</v>
      </c>
      <c r="BL68" s="234">
        <f t="shared" si="33"/>
        <v>117.33333333333326</v>
      </c>
      <c r="BN68" s="232" t="s">
        <v>1319</v>
      </c>
      <c r="BO68" s="238">
        <f t="shared" si="34"/>
        <v>991.12238855999999</v>
      </c>
      <c r="BP68" s="239">
        <f t="shared" si="35"/>
        <v>90.666666666666643</v>
      </c>
      <c r="BQ68" s="243">
        <v>3</v>
      </c>
      <c r="BR68" s="241">
        <f t="shared" si="36"/>
        <v>30.222222222222214</v>
      </c>
      <c r="BS68" s="242">
        <f t="shared" si="37"/>
        <v>1021.3446107822222</v>
      </c>
      <c r="BT68" s="240">
        <v>3</v>
      </c>
      <c r="BV68" s="232" t="s">
        <v>1319</v>
      </c>
      <c r="BW68" s="238">
        <f t="shared" si="38"/>
        <v>1006.85120256</v>
      </c>
      <c r="BX68" s="239">
        <f t="shared" si="39"/>
        <v>110.66666666666661</v>
      </c>
      <c r="BY68" s="243">
        <v>3</v>
      </c>
      <c r="BZ68" s="241">
        <f t="shared" si="40"/>
        <v>36.888888888888872</v>
      </c>
      <c r="CA68" s="242">
        <f t="shared" si="41"/>
        <v>1043.740091448889</v>
      </c>
      <c r="CB68" s="240">
        <v>3</v>
      </c>
      <c r="CD68" s="232" t="s">
        <v>1319</v>
      </c>
      <c r="CE68" s="238">
        <f t="shared" si="42"/>
        <v>1011.8312025600001</v>
      </c>
      <c r="CF68" s="239">
        <f t="shared" si="43"/>
        <v>117.33333333333326</v>
      </c>
      <c r="CG68" s="243">
        <v>3</v>
      </c>
      <c r="CH68" s="241">
        <f t="shared" si="44"/>
        <v>39.111111111111086</v>
      </c>
      <c r="CI68" s="242">
        <f t="shared" si="45"/>
        <v>1050.9423136711112</v>
      </c>
      <c r="CJ68" s="244">
        <v>3</v>
      </c>
    </row>
    <row r="69" spans="1:88" ht="30.75" customHeight="1" x14ac:dyDescent="0.3">
      <c r="A69" s="224" t="s">
        <v>238</v>
      </c>
      <c r="B69" s="225" t="s">
        <v>1305</v>
      </c>
      <c r="C69" s="226">
        <v>0.79085879999999997</v>
      </c>
      <c r="D69" s="470">
        <f>PARÂMETROS!$E$20*C69</f>
        <v>1271.1948007679998</v>
      </c>
      <c r="E69" s="470"/>
      <c r="F69" s="228">
        <v>0.40600000000000003</v>
      </c>
      <c r="G69" s="227">
        <f>F69*PARÂMETROS!$E$22</f>
        <v>17.202220000000001</v>
      </c>
      <c r="H69" s="228">
        <v>2E-3</v>
      </c>
      <c r="I69" s="227">
        <f>H69*PARÂMETROS!$E$22</f>
        <v>8.4739999999999996E-2</v>
      </c>
      <c r="J69" s="228">
        <f t="shared" si="23"/>
        <v>4.0600000000000004E-2</v>
      </c>
      <c r="K69" s="230">
        <f>J69*PARÂMETROS!$E$8</f>
        <v>1.2541340000000001</v>
      </c>
      <c r="L69" s="229">
        <f t="shared" si="24"/>
        <v>2.0000000000000001E-4</v>
      </c>
      <c r="M69" s="230">
        <f>L69*PARÂMETROS!$E$8</f>
        <v>6.1780000000000003E-3</v>
      </c>
      <c r="N69" s="231">
        <v>1.8</v>
      </c>
      <c r="O69" s="230">
        <f>N69*PARÂMETROS!$E$27</f>
        <v>5.4</v>
      </c>
      <c r="P69" s="170"/>
      <c r="Q69" s="191"/>
      <c r="R69" s="232" t="s">
        <v>1320</v>
      </c>
      <c r="S69" s="233">
        <f t="shared" si="25"/>
        <v>1271.2857187679999</v>
      </c>
      <c r="U69" s="232" t="s">
        <v>1320</v>
      </c>
      <c r="V69" s="233">
        <f t="shared" si="26"/>
        <v>1289.7420727679998</v>
      </c>
      <c r="X69" s="232" t="s">
        <v>1320</v>
      </c>
      <c r="Y69" s="233">
        <f t="shared" si="27"/>
        <v>1295.1420727679999</v>
      </c>
      <c r="AA69" s="232" t="s">
        <v>1320</v>
      </c>
      <c r="AB69" s="234">
        <f>PARÂMETROS!$H$3</f>
        <v>40</v>
      </c>
      <c r="AC69" s="235">
        <v>4.1666666666666699E-2</v>
      </c>
      <c r="AD69" s="235">
        <v>6.9444444444444397E-3</v>
      </c>
      <c r="AE69" s="235">
        <v>2.0833333333333301E-2</v>
      </c>
      <c r="AF69" s="235">
        <v>6.9444444444444397E-3</v>
      </c>
      <c r="AG69" s="236"/>
      <c r="AH69" s="236"/>
      <c r="AI69" s="235">
        <v>6.9444444444444397E-3</v>
      </c>
      <c r="AJ69" s="235">
        <v>3.125E-2</v>
      </c>
      <c r="AK69" s="237">
        <f t="shared" si="28"/>
        <v>0.11458333333333331</v>
      </c>
      <c r="AL69" s="234">
        <f t="shared" si="29"/>
        <v>109.99999999999997</v>
      </c>
      <c r="AM69" s="193"/>
      <c r="AN69" s="232" t="s">
        <v>1320</v>
      </c>
      <c r="AO69" s="234">
        <f>PARÂMETROS!$H$3</f>
        <v>40</v>
      </c>
      <c r="AP69" s="235">
        <v>4.1666666666666699E-2</v>
      </c>
      <c r="AQ69" s="235">
        <v>6.9444444444444397E-3</v>
      </c>
      <c r="AR69" s="235">
        <v>2.0833333333333301E-2</v>
      </c>
      <c r="AS69" s="235">
        <v>6.9444444444444397E-3</v>
      </c>
      <c r="AT69" s="235">
        <v>2.0833333333333301E-2</v>
      </c>
      <c r="AU69" s="236"/>
      <c r="AV69" s="235">
        <v>6.9444444444444397E-3</v>
      </c>
      <c r="AW69" s="235">
        <v>3.125E-2</v>
      </c>
      <c r="AX69" s="237">
        <f t="shared" si="30"/>
        <v>0.13541666666666663</v>
      </c>
      <c r="AY69" s="234">
        <f t="shared" si="31"/>
        <v>129.99999999999997</v>
      </c>
      <c r="AZ69" s="193"/>
      <c r="BA69" s="232" t="s">
        <v>1320</v>
      </c>
      <c r="BB69" s="234">
        <f>PARÂMETROS!$H$3</f>
        <v>40</v>
      </c>
      <c r="BC69" s="235">
        <v>4.1666666666666699E-2</v>
      </c>
      <c r="BD69" s="235">
        <v>6.9444444444444397E-3</v>
      </c>
      <c r="BE69" s="235">
        <v>2.0833333333333301E-2</v>
      </c>
      <c r="BF69" s="235">
        <v>6.9444444444444397E-3</v>
      </c>
      <c r="BG69" s="235">
        <v>2.0833333333333301E-2</v>
      </c>
      <c r="BH69" s="235">
        <v>6.9444444444444397E-3</v>
      </c>
      <c r="BI69" s="235">
        <v>6.9444444444444397E-3</v>
      </c>
      <c r="BJ69" s="235">
        <v>3.125E-2</v>
      </c>
      <c r="BK69" s="237">
        <f t="shared" si="32"/>
        <v>0.14236111111111105</v>
      </c>
      <c r="BL69" s="234">
        <f t="shared" si="33"/>
        <v>136.6666666666666</v>
      </c>
      <c r="BN69" s="232" t="s">
        <v>1320</v>
      </c>
      <c r="BO69" s="238">
        <f t="shared" si="34"/>
        <v>1271.2857187679999</v>
      </c>
      <c r="BP69" s="239">
        <f t="shared" si="35"/>
        <v>109.99999999999997</v>
      </c>
      <c r="BQ69" s="243">
        <v>3</v>
      </c>
      <c r="BR69" s="241">
        <f t="shared" si="36"/>
        <v>36.666666666666657</v>
      </c>
      <c r="BS69" s="242">
        <f t="shared" si="37"/>
        <v>1307.9523854346667</v>
      </c>
      <c r="BT69" s="240">
        <v>3</v>
      </c>
      <c r="BV69" s="232" t="s">
        <v>1320</v>
      </c>
      <c r="BW69" s="238">
        <f t="shared" si="38"/>
        <v>1289.7420727679998</v>
      </c>
      <c r="BX69" s="239">
        <f t="shared" si="39"/>
        <v>129.99999999999997</v>
      </c>
      <c r="BY69" s="243">
        <v>3</v>
      </c>
      <c r="BZ69" s="241">
        <f t="shared" si="40"/>
        <v>43.333333333333321</v>
      </c>
      <c r="CA69" s="242">
        <f t="shared" si="41"/>
        <v>1333.0754061013331</v>
      </c>
      <c r="CB69" s="240">
        <v>3</v>
      </c>
      <c r="CD69" s="232" t="s">
        <v>1320</v>
      </c>
      <c r="CE69" s="238">
        <f t="shared" si="42"/>
        <v>1295.1420727679999</v>
      </c>
      <c r="CF69" s="239">
        <f t="shared" si="43"/>
        <v>136.6666666666666</v>
      </c>
      <c r="CG69" s="243">
        <v>3</v>
      </c>
      <c r="CH69" s="241">
        <f t="shared" si="44"/>
        <v>45.555555555555536</v>
      </c>
      <c r="CI69" s="242">
        <f t="shared" si="45"/>
        <v>1340.6976283235554</v>
      </c>
      <c r="CJ69" s="244">
        <v>3</v>
      </c>
    </row>
    <row r="70" spans="1:88" ht="30.75" customHeight="1" x14ac:dyDescent="0.3">
      <c r="A70" s="224" t="s">
        <v>242</v>
      </c>
      <c r="B70" s="225" t="s">
        <v>1305</v>
      </c>
      <c r="C70" s="226">
        <v>0.99523510000000004</v>
      </c>
      <c r="D70" s="470">
        <f>PARÂMETROS!$E$20*C70</f>
        <v>1599.7010903359999</v>
      </c>
      <c r="E70" s="470"/>
      <c r="F70" s="228">
        <v>0.47099999999999997</v>
      </c>
      <c r="G70" s="227">
        <f>F70*PARÂMETROS!$E$22</f>
        <v>19.956269999999996</v>
      </c>
      <c r="H70" s="228">
        <v>2E-3</v>
      </c>
      <c r="I70" s="227">
        <f>H70*PARÂMETROS!$E$22</f>
        <v>8.4739999999999996E-2</v>
      </c>
      <c r="J70" s="228">
        <f t="shared" ref="J70:J104" si="46">0.1 * F70</f>
        <v>4.7100000000000003E-2</v>
      </c>
      <c r="K70" s="230">
        <f>J70*PARÂMETROS!$E$8</f>
        <v>1.4549190000000001</v>
      </c>
      <c r="L70" s="229">
        <f t="shared" ref="L70:L104" si="47">0.1*H70</f>
        <v>2.0000000000000001E-4</v>
      </c>
      <c r="M70" s="230">
        <f>L70*PARÂMETROS!$E$8</f>
        <v>6.1780000000000003E-3</v>
      </c>
      <c r="N70" s="231">
        <v>1.9</v>
      </c>
      <c r="O70" s="230">
        <f>N70*PARÂMETROS!$E$27</f>
        <v>5.6999999999999993</v>
      </c>
      <c r="P70" s="170"/>
      <c r="Q70" s="191"/>
      <c r="R70" s="232" t="s">
        <v>1321</v>
      </c>
      <c r="S70" s="233">
        <f t="shared" ref="S70:S104" si="48">D70+I70+M70</f>
        <v>1599.792008336</v>
      </c>
      <c r="U70" s="232" t="s">
        <v>1321</v>
      </c>
      <c r="V70" s="233">
        <f t="shared" ref="V70:V104" si="49">S70+G70+K70</f>
        <v>1621.2031973359999</v>
      </c>
      <c r="X70" s="232" t="s">
        <v>1321</v>
      </c>
      <c r="Y70" s="233">
        <f t="shared" ref="Y70:Y104" si="50">V70+O70</f>
        <v>1626.9031973359999</v>
      </c>
      <c r="AA70" s="232" t="s">
        <v>1321</v>
      </c>
      <c r="AB70" s="234">
        <f>PARÂMETROS!$H$3</f>
        <v>40</v>
      </c>
      <c r="AC70" s="235">
        <v>4.1666666666666699E-2</v>
      </c>
      <c r="AD70" s="235">
        <v>6.9444444444444397E-3</v>
      </c>
      <c r="AE70" s="235">
        <v>2.0833333333333301E-2</v>
      </c>
      <c r="AF70" s="235">
        <v>6.9444444444444397E-3</v>
      </c>
      <c r="AG70" s="236"/>
      <c r="AH70" s="236"/>
      <c r="AI70" s="235">
        <v>6.9444444444444397E-3</v>
      </c>
      <c r="AJ70" s="235">
        <v>3.125E-2</v>
      </c>
      <c r="AK70" s="237">
        <f t="shared" ref="AK70:AK101" si="51">AC70+AD70+AE70+AF70+AG70+AH70+AI70+AJ70</f>
        <v>0.11458333333333331</v>
      </c>
      <c r="AL70" s="234">
        <f t="shared" ref="AL70:AL101" si="52">AB70*AK70*24</f>
        <v>109.99999999999997</v>
      </c>
      <c r="AM70" s="193"/>
      <c r="AN70" s="232" t="s">
        <v>1321</v>
      </c>
      <c r="AO70" s="234">
        <f>PARÂMETROS!$H$3</f>
        <v>40</v>
      </c>
      <c r="AP70" s="235">
        <v>4.1666666666666699E-2</v>
      </c>
      <c r="AQ70" s="235">
        <v>6.9444444444444397E-3</v>
      </c>
      <c r="AR70" s="235">
        <v>2.0833333333333301E-2</v>
      </c>
      <c r="AS70" s="235">
        <v>6.9444444444444397E-3</v>
      </c>
      <c r="AT70" s="235">
        <v>2.0833333333333301E-2</v>
      </c>
      <c r="AU70" s="236"/>
      <c r="AV70" s="235">
        <v>6.9444444444444397E-3</v>
      </c>
      <c r="AW70" s="235">
        <v>3.125E-2</v>
      </c>
      <c r="AX70" s="237">
        <f t="shared" ref="AX70:AX101" si="53">AP70+AQ70+AR70+AS70+AT70+AU70+AV70+AW70</f>
        <v>0.13541666666666663</v>
      </c>
      <c r="AY70" s="234">
        <f t="shared" ref="AY70:AY101" si="54">AO70*AX70*24</f>
        <v>129.99999999999997</v>
      </c>
      <c r="AZ70" s="193"/>
      <c r="BA70" s="232" t="s">
        <v>1321</v>
      </c>
      <c r="BB70" s="234">
        <f>PARÂMETROS!$H$3</f>
        <v>40</v>
      </c>
      <c r="BC70" s="235">
        <v>4.1666666666666699E-2</v>
      </c>
      <c r="BD70" s="235">
        <v>6.9444444444444397E-3</v>
      </c>
      <c r="BE70" s="235">
        <v>2.0833333333333301E-2</v>
      </c>
      <c r="BF70" s="235">
        <v>6.9444444444444397E-3</v>
      </c>
      <c r="BG70" s="235">
        <v>2.0833333333333301E-2</v>
      </c>
      <c r="BH70" s="235">
        <v>6.9444444444444397E-3</v>
      </c>
      <c r="BI70" s="235">
        <v>6.9444444444444397E-3</v>
      </c>
      <c r="BJ70" s="235">
        <v>3.125E-2</v>
      </c>
      <c r="BK70" s="237">
        <f t="shared" ref="BK70:BK101" si="55">BC70+BD70+BE70+BF70+BG70+BH70+BI70+BJ70</f>
        <v>0.14236111111111105</v>
      </c>
      <c r="BL70" s="234">
        <f t="shared" ref="BL70:BL101" si="56">BB70*BK70*24</f>
        <v>136.6666666666666</v>
      </c>
      <c r="BN70" s="232" t="s">
        <v>1321</v>
      </c>
      <c r="BO70" s="238">
        <f t="shared" ref="BO70:BO104" si="57">S70</f>
        <v>1599.792008336</v>
      </c>
      <c r="BP70" s="239">
        <f t="shared" ref="BP70:BP104" si="58">AL70</f>
        <v>109.99999999999997</v>
      </c>
      <c r="BQ70" s="243">
        <v>3</v>
      </c>
      <c r="BR70" s="241">
        <f t="shared" ref="BR70:BR101" si="59">IFERROR(BP70/BQ70,0)</f>
        <v>36.666666666666657</v>
      </c>
      <c r="BS70" s="242">
        <f t="shared" ref="BS70:BS101" si="60">BR70+BO70</f>
        <v>1636.4586750026667</v>
      </c>
      <c r="BT70" s="240">
        <v>3</v>
      </c>
      <c r="BV70" s="232" t="s">
        <v>1321</v>
      </c>
      <c r="BW70" s="238">
        <f t="shared" ref="BW70:BW104" si="61">V70</f>
        <v>1621.2031973359999</v>
      </c>
      <c r="BX70" s="239">
        <f t="shared" ref="BX70:BX104" si="62">AY70</f>
        <v>129.99999999999997</v>
      </c>
      <c r="BY70" s="243">
        <v>3</v>
      </c>
      <c r="BZ70" s="241">
        <f t="shared" ref="BZ70:BZ101" si="63">IFERROR(BX70/BY70,0)</f>
        <v>43.333333333333321</v>
      </c>
      <c r="CA70" s="242">
        <f t="shared" ref="CA70:CA101" si="64">BZ70+BW70</f>
        <v>1664.5365306693332</v>
      </c>
      <c r="CB70" s="240">
        <v>3</v>
      </c>
      <c r="CD70" s="232" t="s">
        <v>1321</v>
      </c>
      <c r="CE70" s="238">
        <f t="shared" ref="CE70:CE104" si="65">Y70</f>
        <v>1626.9031973359999</v>
      </c>
      <c r="CF70" s="239">
        <f t="shared" ref="CF70:CF104" si="66">BL70</f>
        <v>136.6666666666666</v>
      </c>
      <c r="CG70" s="243">
        <v>2</v>
      </c>
      <c r="CH70" s="241">
        <f t="shared" ref="CH70:CH101" si="67">IFERROR(CF70/CG70,0)</f>
        <v>68.3333333333333</v>
      </c>
      <c r="CI70" s="242">
        <f t="shared" ref="CI70:CI101" si="68">CH70+CE70</f>
        <v>1695.2365306693332</v>
      </c>
      <c r="CJ70" s="244">
        <v>3</v>
      </c>
    </row>
    <row r="71" spans="1:88" ht="30.75" customHeight="1" x14ac:dyDescent="0.3">
      <c r="A71" s="224" t="s">
        <v>246</v>
      </c>
      <c r="B71" s="225" t="s">
        <v>1305</v>
      </c>
      <c r="C71" s="226">
        <v>1.2320800999999999</v>
      </c>
      <c r="D71" s="470">
        <f>PARÂMETROS!$E$20*C71</f>
        <v>1980.3962695359996</v>
      </c>
      <c r="E71" s="470"/>
      <c r="F71" s="228">
        <v>0.55000000000000004</v>
      </c>
      <c r="G71" s="227">
        <f>F71*PARÂMETROS!$E$22</f>
        <v>23.3035</v>
      </c>
      <c r="H71" s="228">
        <v>2E-3</v>
      </c>
      <c r="I71" s="227">
        <f>H71*PARÂMETROS!$E$22</f>
        <v>8.4739999999999996E-2</v>
      </c>
      <c r="J71" s="228">
        <f t="shared" si="46"/>
        <v>5.5000000000000007E-2</v>
      </c>
      <c r="K71" s="230">
        <f>J71*PARÂMETROS!$E$8</f>
        <v>1.6989500000000002</v>
      </c>
      <c r="L71" s="229">
        <f t="shared" si="47"/>
        <v>2.0000000000000001E-4</v>
      </c>
      <c r="M71" s="230">
        <f>L71*PARÂMETROS!$E$8</f>
        <v>6.1780000000000003E-3</v>
      </c>
      <c r="N71" s="231">
        <v>2</v>
      </c>
      <c r="O71" s="230">
        <f>N71*PARÂMETROS!$E$27</f>
        <v>6</v>
      </c>
      <c r="P71" s="170"/>
      <c r="Q71" s="191"/>
      <c r="R71" s="232" t="s">
        <v>1322</v>
      </c>
      <c r="S71" s="233">
        <f t="shared" si="48"/>
        <v>1980.4871875359997</v>
      </c>
      <c r="U71" s="232" t="s">
        <v>1322</v>
      </c>
      <c r="V71" s="233">
        <f t="shared" si="49"/>
        <v>2005.4896375359997</v>
      </c>
      <c r="X71" s="232" t="s">
        <v>1322</v>
      </c>
      <c r="Y71" s="233">
        <f t="shared" si="50"/>
        <v>2011.4896375359997</v>
      </c>
      <c r="AA71" s="232" t="s">
        <v>1322</v>
      </c>
      <c r="AB71" s="234">
        <f>PARÂMETROS!$H$3</f>
        <v>40</v>
      </c>
      <c r="AC71" s="235">
        <v>4.1666666666666699E-2</v>
      </c>
      <c r="AD71" s="235">
        <v>6.9444444444444397E-3</v>
      </c>
      <c r="AE71" s="235">
        <v>2.0833333333333301E-2</v>
      </c>
      <c r="AF71" s="235">
        <v>6.9444444444444397E-3</v>
      </c>
      <c r="AG71" s="236"/>
      <c r="AH71" s="236"/>
      <c r="AI71" s="235">
        <v>6.9444444444444397E-3</v>
      </c>
      <c r="AJ71" s="235">
        <v>3.125E-2</v>
      </c>
      <c r="AK71" s="237">
        <f t="shared" si="51"/>
        <v>0.11458333333333331</v>
      </c>
      <c r="AL71" s="234">
        <f t="shared" si="52"/>
        <v>109.99999999999997</v>
      </c>
      <c r="AM71" s="193"/>
      <c r="AN71" s="232" t="s">
        <v>1322</v>
      </c>
      <c r="AO71" s="234">
        <f>PARÂMETROS!$H$3</f>
        <v>40</v>
      </c>
      <c r="AP71" s="235">
        <v>4.1666666666666699E-2</v>
      </c>
      <c r="AQ71" s="235">
        <v>6.9444444444444397E-3</v>
      </c>
      <c r="AR71" s="235">
        <v>2.0833333333333301E-2</v>
      </c>
      <c r="AS71" s="235">
        <v>6.9444444444444397E-3</v>
      </c>
      <c r="AT71" s="235">
        <v>2.0833333333333301E-2</v>
      </c>
      <c r="AU71" s="236"/>
      <c r="AV71" s="235">
        <v>6.9444444444444397E-3</v>
      </c>
      <c r="AW71" s="235">
        <v>3.125E-2</v>
      </c>
      <c r="AX71" s="237">
        <f t="shared" si="53"/>
        <v>0.13541666666666663</v>
      </c>
      <c r="AY71" s="234">
        <f t="shared" si="54"/>
        <v>129.99999999999997</v>
      </c>
      <c r="AZ71" s="193"/>
      <c r="BA71" s="232" t="s">
        <v>1322</v>
      </c>
      <c r="BB71" s="234">
        <f>PARÂMETROS!$H$3</f>
        <v>40</v>
      </c>
      <c r="BC71" s="235">
        <v>4.1666666666666699E-2</v>
      </c>
      <c r="BD71" s="235">
        <v>6.9444444444444397E-3</v>
      </c>
      <c r="BE71" s="235">
        <v>2.0833333333333301E-2</v>
      </c>
      <c r="BF71" s="235">
        <v>6.9444444444444397E-3</v>
      </c>
      <c r="BG71" s="235">
        <v>2.0833333333333301E-2</v>
      </c>
      <c r="BH71" s="235">
        <v>6.9444444444444397E-3</v>
      </c>
      <c r="BI71" s="235">
        <v>6.9444444444444397E-3</v>
      </c>
      <c r="BJ71" s="235">
        <v>3.125E-2</v>
      </c>
      <c r="BK71" s="237">
        <f t="shared" si="55"/>
        <v>0.14236111111111105</v>
      </c>
      <c r="BL71" s="234">
        <f t="shared" si="56"/>
        <v>136.6666666666666</v>
      </c>
      <c r="BN71" s="232" t="s">
        <v>1322</v>
      </c>
      <c r="BO71" s="238">
        <f t="shared" si="57"/>
        <v>1980.4871875359997</v>
      </c>
      <c r="BP71" s="239">
        <f t="shared" si="58"/>
        <v>109.99999999999997</v>
      </c>
      <c r="BQ71" s="243">
        <v>2</v>
      </c>
      <c r="BR71" s="241">
        <f t="shared" si="59"/>
        <v>54.999999999999986</v>
      </c>
      <c r="BS71" s="242">
        <f t="shared" si="60"/>
        <v>2035.4871875359997</v>
      </c>
      <c r="BT71" s="240">
        <v>2</v>
      </c>
      <c r="BV71" s="232" t="s">
        <v>1322</v>
      </c>
      <c r="BW71" s="238">
        <f t="shared" si="61"/>
        <v>2005.4896375359997</v>
      </c>
      <c r="BX71" s="239">
        <f t="shared" si="62"/>
        <v>129.99999999999997</v>
      </c>
      <c r="BY71" s="243">
        <v>2</v>
      </c>
      <c r="BZ71" s="241">
        <f t="shared" si="63"/>
        <v>64.999999999999986</v>
      </c>
      <c r="CA71" s="242">
        <f t="shared" si="64"/>
        <v>2070.4896375359995</v>
      </c>
      <c r="CB71" s="240">
        <v>2</v>
      </c>
      <c r="CD71" s="232" t="s">
        <v>1322</v>
      </c>
      <c r="CE71" s="238">
        <f t="shared" si="65"/>
        <v>2011.4896375359997</v>
      </c>
      <c r="CF71" s="239">
        <f t="shared" si="66"/>
        <v>136.6666666666666</v>
      </c>
      <c r="CG71" s="243">
        <v>2</v>
      </c>
      <c r="CH71" s="241">
        <f t="shared" si="67"/>
        <v>68.3333333333333</v>
      </c>
      <c r="CI71" s="242">
        <f t="shared" si="68"/>
        <v>2079.8229708693329</v>
      </c>
      <c r="CJ71" s="244">
        <v>2</v>
      </c>
    </row>
    <row r="72" spans="1:88" ht="30.75" customHeight="1" x14ac:dyDescent="0.3">
      <c r="A72" s="224" t="s">
        <v>250</v>
      </c>
      <c r="B72" s="225" t="s">
        <v>1305</v>
      </c>
      <c r="C72" s="226">
        <v>1.5037863</v>
      </c>
      <c r="D72" s="470">
        <f>PARÂMETROS!$E$20*C72</f>
        <v>2417.125947168</v>
      </c>
      <c r="E72" s="470"/>
      <c r="F72" s="228">
        <v>0.63</v>
      </c>
      <c r="G72" s="227">
        <f>F72*PARÂMETROS!$E$22</f>
        <v>26.693099999999998</v>
      </c>
      <c r="H72" s="228">
        <v>2E-3</v>
      </c>
      <c r="I72" s="227">
        <f>H72*PARÂMETROS!$E$22</f>
        <v>8.4739999999999996E-2</v>
      </c>
      <c r="J72" s="228">
        <f t="shared" si="46"/>
        <v>6.3E-2</v>
      </c>
      <c r="K72" s="230">
        <f>J72*PARÂMETROS!$E$8</f>
        <v>1.94607</v>
      </c>
      <c r="L72" s="229">
        <f t="shared" si="47"/>
        <v>2.0000000000000001E-4</v>
      </c>
      <c r="M72" s="230">
        <f>L72*PARÂMETROS!$E$8</f>
        <v>6.1780000000000003E-3</v>
      </c>
      <c r="N72" s="231">
        <v>2.1</v>
      </c>
      <c r="O72" s="230">
        <f>N72*PARÂMETROS!$E$27</f>
        <v>6.3000000000000007</v>
      </c>
      <c r="P72" s="170"/>
      <c r="Q72" s="191"/>
      <c r="R72" s="232" t="s">
        <v>1323</v>
      </c>
      <c r="S72" s="233">
        <f t="shared" si="48"/>
        <v>2417.2168651679999</v>
      </c>
      <c r="U72" s="232" t="s">
        <v>1323</v>
      </c>
      <c r="V72" s="233">
        <f t="shared" si="49"/>
        <v>2445.8560351679998</v>
      </c>
      <c r="X72" s="232" t="s">
        <v>1323</v>
      </c>
      <c r="Y72" s="233">
        <f t="shared" si="50"/>
        <v>2452.156035168</v>
      </c>
      <c r="AA72" s="232" t="s">
        <v>1323</v>
      </c>
      <c r="AB72" s="234">
        <f>PARÂMETROS!$H$3</f>
        <v>40</v>
      </c>
      <c r="AC72" s="235">
        <v>4.1666666666666699E-2</v>
      </c>
      <c r="AD72" s="235">
        <v>6.9444444444444397E-3</v>
      </c>
      <c r="AE72" s="235">
        <v>2.0833333333333301E-2</v>
      </c>
      <c r="AF72" s="235">
        <v>6.9444444444444397E-3</v>
      </c>
      <c r="AG72" s="236"/>
      <c r="AH72" s="236"/>
      <c r="AI72" s="235">
        <v>6.9444444444444397E-3</v>
      </c>
      <c r="AJ72" s="235">
        <v>3.125E-2</v>
      </c>
      <c r="AK72" s="237">
        <f t="shared" si="51"/>
        <v>0.11458333333333331</v>
      </c>
      <c r="AL72" s="234">
        <f t="shared" si="52"/>
        <v>109.99999999999997</v>
      </c>
      <c r="AM72" s="193"/>
      <c r="AN72" s="232" t="s">
        <v>1323</v>
      </c>
      <c r="AO72" s="234">
        <f>PARÂMETROS!$H$3</f>
        <v>40</v>
      </c>
      <c r="AP72" s="235">
        <v>4.1666666666666699E-2</v>
      </c>
      <c r="AQ72" s="235">
        <v>6.9444444444444397E-3</v>
      </c>
      <c r="AR72" s="235">
        <v>2.0833333333333301E-2</v>
      </c>
      <c r="AS72" s="235">
        <v>6.9444444444444397E-3</v>
      </c>
      <c r="AT72" s="235">
        <v>2.0833333333333301E-2</v>
      </c>
      <c r="AU72" s="236"/>
      <c r="AV72" s="235">
        <v>6.9444444444444397E-3</v>
      </c>
      <c r="AW72" s="235">
        <v>3.125E-2</v>
      </c>
      <c r="AX72" s="237">
        <f t="shared" si="53"/>
        <v>0.13541666666666663</v>
      </c>
      <c r="AY72" s="234">
        <f t="shared" si="54"/>
        <v>129.99999999999997</v>
      </c>
      <c r="AZ72" s="193"/>
      <c r="BA72" s="232" t="s">
        <v>1323</v>
      </c>
      <c r="BB72" s="234">
        <f>PARÂMETROS!$H$3</f>
        <v>40</v>
      </c>
      <c r="BC72" s="235">
        <v>4.1666666666666699E-2</v>
      </c>
      <c r="BD72" s="235">
        <v>6.9444444444444397E-3</v>
      </c>
      <c r="BE72" s="235">
        <v>2.0833333333333301E-2</v>
      </c>
      <c r="BF72" s="235">
        <v>6.9444444444444397E-3</v>
      </c>
      <c r="BG72" s="235">
        <v>2.0833333333333301E-2</v>
      </c>
      <c r="BH72" s="235">
        <v>6.9444444444444397E-3</v>
      </c>
      <c r="BI72" s="235">
        <v>6.9444444444444397E-3</v>
      </c>
      <c r="BJ72" s="235">
        <v>3.125E-2</v>
      </c>
      <c r="BK72" s="237">
        <f t="shared" si="55"/>
        <v>0.14236111111111105</v>
      </c>
      <c r="BL72" s="234">
        <f t="shared" si="56"/>
        <v>136.6666666666666</v>
      </c>
      <c r="BN72" s="232" t="s">
        <v>1323</v>
      </c>
      <c r="BO72" s="238">
        <f t="shared" si="57"/>
        <v>2417.2168651679999</v>
      </c>
      <c r="BP72" s="239">
        <f t="shared" si="58"/>
        <v>109.99999999999997</v>
      </c>
      <c r="BQ72" s="243">
        <v>2</v>
      </c>
      <c r="BR72" s="241">
        <f t="shared" si="59"/>
        <v>54.999999999999986</v>
      </c>
      <c r="BS72" s="242">
        <f t="shared" si="60"/>
        <v>2472.2168651679999</v>
      </c>
      <c r="BT72" s="240">
        <v>2</v>
      </c>
      <c r="BV72" s="232" t="s">
        <v>1323</v>
      </c>
      <c r="BW72" s="238">
        <f t="shared" si="61"/>
        <v>2445.8560351679998</v>
      </c>
      <c r="BX72" s="239">
        <f t="shared" si="62"/>
        <v>129.99999999999997</v>
      </c>
      <c r="BY72" s="243">
        <v>2</v>
      </c>
      <c r="BZ72" s="241">
        <f t="shared" si="63"/>
        <v>64.999999999999986</v>
      </c>
      <c r="CA72" s="242">
        <f t="shared" si="64"/>
        <v>2510.8560351679998</v>
      </c>
      <c r="CB72" s="240">
        <v>2</v>
      </c>
      <c r="CD72" s="232" t="s">
        <v>1323</v>
      </c>
      <c r="CE72" s="238">
        <f t="shared" si="65"/>
        <v>2452.156035168</v>
      </c>
      <c r="CF72" s="239">
        <f t="shared" si="66"/>
        <v>136.6666666666666</v>
      </c>
      <c r="CG72" s="243">
        <v>1</v>
      </c>
      <c r="CH72" s="241">
        <f t="shared" si="67"/>
        <v>136.6666666666666</v>
      </c>
      <c r="CI72" s="242">
        <f t="shared" si="68"/>
        <v>2588.8227018346665</v>
      </c>
      <c r="CJ72" s="244">
        <v>2</v>
      </c>
    </row>
    <row r="73" spans="1:88" ht="30.75" customHeight="1" x14ac:dyDescent="0.3">
      <c r="A73" s="224" t="s">
        <v>254</v>
      </c>
      <c r="B73" s="225" t="s">
        <v>1305</v>
      </c>
      <c r="C73" s="226">
        <v>1.8127464</v>
      </c>
      <c r="D73" s="470">
        <f>PARÂMETROS!$E$20*C73</f>
        <v>2913.7360535039998</v>
      </c>
      <c r="E73" s="470"/>
      <c r="F73" s="228">
        <v>0.7</v>
      </c>
      <c r="G73" s="227">
        <f>F73*PARÂMETROS!$E$22</f>
        <v>29.658999999999995</v>
      </c>
      <c r="H73" s="228">
        <v>2E-3</v>
      </c>
      <c r="I73" s="227">
        <f>H73*PARÂMETROS!$E$22</f>
        <v>8.4739999999999996E-2</v>
      </c>
      <c r="J73" s="228">
        <f t="shared" si="46"/>
        <v>6.9999999999999993E-2</v>
      </c>
      <c r="K73" s="230">
        <f>J73*PARÂMETROS!$E$8</f>
        <v>2.1622999999999997</v>
      </c>
      <c r="L73" s="229">
        <f t="shared" si="47"/>
        <v>2.0000000000000001E-4</v>
      </c>
      <c r="M73" s="230">
        <f>L73*PARÂMETROS!$E$8</f>
        <v>6.1780000000000003E-3</v>
      </c>
      <c r="N73" s="231">
        <v>2.2000000000000002</v>
      </c>
      <c r="O73" s="230">
        <f>N73*PARÂMETROS!$E$27</f>
        <v>6.6000000000000005</v>
      </c>
      <c r="P73" s="170"/>
      <c r="Q73" s="191"/>
      <c r="R73" s="232" t="s">
        <v>1324</v>
      </c>
      <c r="S73" s="233">
        <f t="shared" si="48"/>
        <v>2913.8269715039996</v>
      </c>
      <c r="U73" s="232" t="s">
        <v>1324</v>
      </c>
      <c r="V73" s="233">
        <f t="shared" si="49"/>
        <v>2945.6482715039997</v>
      </c>
      <c r="X73" s="232" t="s">
        <v>1324</v>
      </c>
      <c r="Y73" s="233">
        <f t="shared" si="50"/>
        <v>2952.2482715039996</v>
      </c>
      <c r="AA73" s="232" t="s">
        <v>1324</v>
      </c>
      <c r="AB73" s="234">
        <f>PARÂMETROS!$H$3</f>
        <v>40</v>
      </c>
      <c r="AC73" s="235">
        <v>4.1666666666666699E-2</v>
      </c>
      <c r="AD73" s="235">
        <v>6.9444444444444397E-3</v>
      </c>
      <c r="AE73" s="235">
        <v>2.0833333333333301E-2</v>
      </c>
      <c r="AF73" s="235">
        <v>6.9444444444444397E-3</v>
      </c>
      <c r="AG73" s="236"/>
      <c r="AH73" s="236"/>
      <c r="AI73" s="235">
        <v>6.9444444444444397E-3</v>
      </c>
      <c r="AJ73" s="235">
        <v>3.125E-2</v>
      </c>
      <c r="AK73" s="237">
        <f t="shared" si="51"/>
        <v>0.11458333333333331</v>
      </c>
      <c r="AL73" s="234">
        <f t="shared" si="52"/>
        <v>109.99999999999997</v>
      </c>
      <c r="AM73" s="193"/>
      <c r="AN73" s="232" t="s">
        <v>1324</v>
      </c>
      <c r="AO73" s="234">
        <f>PARÂMETROS!$H$3</f>
        <v>40</v>
      </c>
      <c r="AP73" s="235">
        <v>4.1666666666666699E-2</v>
      </c>
      <c r="AQ73" s="235">
        <v>6.9444444444444397E-3</v>
      </c>
      <c r="AR73" s="235">
        <v>2.0833333333333301E-2</v>
      </c>
      <c r="AS73" s="235">
        <v>6.9444444444444397E-3</v>
      </c>
      <c r="AT73" s="235">
        <v>2.0833333333333301E-2</v>
      </c>
      <c r="AU73" s="236"/>
      <c r="AV73" s="235">
        <v>6.9444444444444397E-3</v>
      </c>
      <c r="AW73" s="235">
        <v>3.125E-2</v>
      </c>
      <c r="AX73" s="237">
        <f t="shared" si="53"/>
        <v>0.13541666666666663</v>
      </c>
      <c r="AY73" s="234">
        <f t="shared" si="54"/>
        <v>129.99999999999997</v>
      </c>
      <c r="AZ73" s="193"/>
      <c r="BA73" s="232" t="s">
        <v>1324</v>
      </c>
      <c r="BB73" s="234">
        <f>PARÂMETROS!$H$3</f>
        <v>40</v>
      </c>
      <c r="BC73" s="235">
        <v>4.1666666666666699E-2</v>
      </c>
      <c r="BD73" s="235">
        <v>6.9444444444444397E-3</v>
      </c>
      <c r="BE73" s="235">
        <v>2.0833333333333301E-2</v>
      </c>
      <c r="BF73" s="235">
        <v>6.9444444444444397E-3</v>
      </c>
      <c r="BG73" s="235">
        <v>2.0833333333333301E-2</v>
      </c>
      <c r="BH73" s="235">
        <v>6.9444444444444397E-3</v>
      </c>
      <c r="BI73" s="235">
        <v>6.9444444444444397E-3</v>
      </c>
      <c r="BJ73" s="235">
        <v>3.125E-2</v>
      </c>
      <c r="BK73" s="237">
        <f t="shared" si="55"/>
        <v>0.14236111111111105</v>
      </c>
      <c r="BL73" s="234">
        <f t="shared" si="56"/>
        <v>136.6666666666666</v>
      </c>
      <c r="BN73" s="232" t="s">
        <v>1324</v>
      </c>
      <c r="BO73" s="238">
        <f t="shared" si="57"/>
        <v>2913.8269715039996</v>
      </c>
      <c r="BP73" s="239">
        <f t="shared" si="58"/>
        <v>109.99999999999997</v>
      </c>
      <c r="BQ73" s="243">
        <v>2</v>
      </c>
      <c r="BR73" s="241">
        <f t="shared" si="59"/>
        <v>54.999999999999986</v>
      </c>
      <c r="BS73" s="242">
        <f t="shared" si="60"/>
        <v>2968.8269715039996</v>
      </c>
      <c r="BT73" s="240">
        <v>2</v>
      </c>
      <c r="BV73" s="232" t="s">
        <v>1324</v>
      </c>
      <c r="BW73" s="238">
        <f t="shared" si="61"/>
        <v>2945.6482715039997</v>
      </c>
      <c r="BX73" s="239">
        <f t="shared" si="62"/>
        <v>129.99999999999997</v>
      </c>
      <c r="BY73" s="243">
        <v>2</v>
      </c>
      <c r="BZ73" s="241">
        <f t="shared" si="63"/>
        <v>64.999999999999986</v>
      </c>
      <c r="CA73" s="242">
        <f t="shared" si="64"/>
        <v>3010.6482715039997</v>
      </c>
      <c r="CB73" s="240">
        <v>2</v>
      </c>
      <c r="CD73" s="232" t="s">
        <v>1324</v>
      </c>
      <c r="CE73" s="238">
        <f t="shared" si="65"/>
        <v>2952.2482715039996</v>
      </c>
      <c r="CF73" s="239">
        <f t="shared" si="66"/>
        <v>136.6666666666666</v>
      </c>
      <c r="CG73" s="243">
        <v>1</v>
      </c>
      <c r="CH73" s="241">
        <f t="shared" si="67"/>
        <v>136.6666666666666</v>
      </c>
      <c r="CI73" s="242">
        <f t="shared" si="68"/>
        <v>3088.9149381706661</v>
      </c>
      <c r="CJ73" s="244">
        <v>2</v>
      </c>
    </row>
    <row r="74" spans="1:88" ht="30.75" customHeight="1" x14ac:dyDescent="0.3">
      <c r="A74" s="224" t="s">
        <v>258</v>
      </c>
      <c r="B74" s="225" t="s">
        <v>1305</v>
      </c>
      <c r="C74" s="226">
        <v>2.1613528</v>
      </c>
      <c r="D74" s="470">
        <f>PARÂMETROS!$E$20*C74</f>
        <v>3474.0720366079995</v>
      </c>
      <c r="E74" s="470"/>
      <c r="F74" s="228">
        <v>0.78</v>
      </c>
      <c r="G74" s="227">
        <f>F74*PARÂMETROS!$E$22</f>
        <v>33.0486</v>
      </c>
      <c r="H74" s="228">
        <v>2E-3</v>
      </c>
      <c r="I74" s="227">
        <f>H74*PARÂMETROS!$E$22</f>
        <v>8.4739999999999996E-2</v>
      </c>
      <c r="J74" s="228">
        <f t="shared" si="46"/>
        <v>7.8000000000000014E-2</v>
      </c>
      <c r="K74" s="230">
        <f>J74*PARÂMETROS!$E$8</f>
        <v>2.4094200000000003</v>
      </c>
      <c r="L74" s="229">
        <f t="shared" si="47"/>
        <v>2.0000000000000001E-4</v>
      </c>
      <c r="M74" s="230">
        <f>L74*PARÂMETROS!$E$8</f>
        <v>6.1780000000000003E-3</v>
      </c>
      <c r="N74" s="231">
        <v>2.2999999999999998</v>
      </c>
      <c r="O74" s="230">
        <f>N74*PARÂMETROS!$E$27</f>
        <v>6.8999999999999995</v>
      </c>
      <c r="P74" s="170"/>
      <c r="Q74" s="191"/>
      <c r="R74" s="232" t="s">
        <v>1325</v>
      </c>
      <c r="S74" s="233">
        <f t="shared" si="48"/>
        <v>3474.1629546079994</v>
      </c>
      <c r="U74" s="232" t="s">
        <v>1325</v>
      </c>
      <c r="V74" s="233">
        <f t="shared" si="49"/>
        <v>3509.6209746079994</v>
      </c>
      <c r="X74" s="232" t="s">
        <v>1325</v>
      </c>
      <c r="Y74" s="233">
        <f t="shared" si="50"/>
        <v>3516.5209746079995</v>
      </c>
      <c r="AA74" s="232" t="s">
        <v>1325</v>
      </c>
      <c r="AB74" s="234">
        <f>PARÂMETROS!$H$3</f>
        <v>40</v>
      </c>
      <c r="AC74" s="235">
        <v>4.1666666666666699E-2</v>
      </c>
      <c r="AD74" s="235">
        <v>6.9444444444444397E-3</v>
      </c>
      <c r="AE74" s="235">
        <v>2.0833333333333301E-2</v>
      </c>
      <c r="AF74" s="235">
        <v>6.9444444444444397E-3</v>
      </c>
      <c r="AG74" s="236"/>
      <c r="AH74" s="236"/>
      <c r="AI74" s="235">
        <v>6.9444444444444397E-3</v>
      </c>
      <c r="AJ74" s="235">
        <v>3.125E-2</v>
      </c>
      <c r="AK74" s="237">
        <f t="shared" si="51"/>
        <v>0.11458333333333331</v>
      </c>
      <c r="AL74" s="234">
        <f t="shared" si="52"/>
        <v>109.99999999999997</v>
      </c>
      <c r="AM74" s="193"/>
      <c r="AN74" s="232" t="s">
        <v>1325</v>
      </c>
      <c r="AO74" s="234">
        <f>PARÂMETROS!$H$3</f>
        <v>40</v>
      </c>
      <c r="AP74" s="235">
        <v>4.1666666666666699E-2</v>
      </c>
      <c r="AQ74" s="235">
        <v>6.9444444444444397E-3</v>
      </c>
      <c r="AR74" s="235">
        <v>2.0833333333333301E-2</v>
      </c>
      <c r="AS74" s="235">
        <v>6.9444444444444397E-3</v>
      </c>
      <c r="AT74" s="235">
        <v>2.0833333333333301E-2</v>
      </c>
      <c r="AU74" s="236"/>
      <c r="AV74" s="235">
        <v>6.9444444444444397E-3</v>
      </c>
      <c r="AW74" s="235">
        <v>3.125E-2</v>
      </c>
      <c r="AX74" s="237">
        <f t="shared" si="53"/>
        <v>0.13541666666666663</v>
      </c>
      <c r="AY74" s="234">
        <f t="shared" si="54"/>
        <v>129.99999999999997</v>
      </c>
      <c r="AZ74" s="193"/>
      <c r="BA74" s="232" t="s">
        <v>1325</v>
      </c>
      <c r="BB74" s="234">
        <f>PARÂMETROS!$H$3</f>
        <v>40</v>
      </c>
      <c r="BC74" s="235">
        <v>4.1666666666666699E-2</v>
      </c>
      <c r="BD74" s="235">
        <v>6.9444444444444397E-3</v>
      </c>
      <c r="BE74" s="235">
        <v>2.0833333333333301E-2</v>
      </c>
      <c r="BF74" s="235">
        <v>6.9444444444444397E-3</v>
      </c>
      <c r="BG74" s="235">
        <v>2.0833333333333301E-2</v>
      </c>
      <c r="BH74" s="235">
        <v>6.9444444444444397E-3</v>
      </c>
      <c r="BI74" s="235">
        <v>6.9444444444444397E-3</v>
      </c>
      <c r="BJ74" s="235">
        <v>3.125E-2</v>
      </c>
      <c r="BK74" s="237">
        <f t="shared" si="55"/>
        <v>0.14236111111111105</v>
      </c>
      <c r="BL74" s="234">
        <f t="shared" si="56"/>
        <v>136.6666666666666</v>
      </c>
      <c r="BN74" s="232" t="s">
        <v>1325</v>
      </c>
      <c r="BO74" s="238">
        <f t="shared" si="57"/>
        <v>3474.1629546079994</v>
      </c>
      <c r="BP74" s="239">
        <f t="shared" si="58"/>
        <v>109.99999999999997</v>
      </c>
      <c r="BQ74" s="243">
        <v>1</v>
      </c>
      <c r="BR74" s="241">
        <f t="shared" si="59"/>
        <v>109.99999999999997</v>
      </c>
      <c r="BS74" s="242">
        <f t="shared" si="60"/>
        <v>3584.1629546079994</v>
      </c>
      <c r="BT74" s="240">
        <v>1</v>
      </c>
      <c r="BV74" s="232" t="s">
        <v>1325</v>
      </c>
      <c r="BW74" s="238">
        <f t="shared" si="61"/>
        <v>3509.6209746079994</v>
      </c>
      <c r="BX74" s="239">
        <f t="shared" si="62"/>
        <v>129.99999999999997</v>
      </c>
      <c r="BY74" s="243">
        <v>1</v>
      </c>
      <c r="BZ74" s="241">
        <f t="shared" si="63"/>
        <v>129.99999999999997</v>
      </c>
      <c r="CA74" s="242">
        <f t="shared" si="64"/>
        <v>3639.6209746079994</v>
      </c>
      <c r="CB74" s="240">
        <v>1</v>
      </c>
      <c r="CD74" s="232" t="s">
        <v>1325</v>
      </c>
      <c r="CE74" s="238">
        <f t="shared" si="65"/>
        <v>3516.5209746079995</v>
      </c>
      <c r="CF74" s="239">
        <f t="shared" si="66"/>
        <v>136.6666666666666</v>
      </c>
      <c r="CG74" s="243">
        <v>1</v>
      </c>
      <c r="CH74" s="241">
        <f t="shared" si="67"/>
        <v>136.6666666666666</v>
      </c>
      <c r="CI74" s="242">
        <f t="shared" si="68"/>
        <v>3653.187641274666</v>
      </c>
      <c r="CJ74" s="244">
        <v>1</v>
      </c>
    </row>
    <row r="75" spans="1:88" ht="30.75" customHeight="1" x14ac:dyDescent="0.3">
      <c r="A75" s="224" t="s">
        <v>262</v>
      </c>
      <c r="B75" s="225" t="s">
        <v>1305</v>
      </c>
      <c r="C75" s="226">
        <v>2.5519981999999999</v>
      </c>
      <c r="D75" s="470">
        <f>PARÂMETROS!$E$20*C75</f>
        <v>4101.979826752</v>
      </c>
      <c r="E75" s="470"/>
      <c r="F75" s="228">
        <v>0.86699999999999999</v>
      </c>
      <c r="G75" s="227">
        <f>F75*PARÂMETROS!$E$22</f>
        <v>36.734789999999997</v>
      </c>
      <c r="H75" s="228">
        <v>2E-3</v>
      </c>
      <c r="I75" s="227">
        <f>H75*PARÂMETROS!$E$22</f>
        <v>8.4739999999999996E-2</v>
      </c>
      <c r="J75" s="228">
        <f t="shared" si="46"/>
        <v>8.6699999999999999E-2</v>
      </c>
      <c r="K75" s="230">
        <f>J75*PARÂMETROS!$E$8</f>
        <v>2.6781630000000001</v>
      </c>
      <c r="L75" s="229">
        <f t="shared" si="47"/>
        <v>2.0000000000000001E-4</v>
      </c>
      <c r="M75" s="230">
        <f>L75*PARÂMETROS!$E$8</f>
        <v>6.1780000000000003E-3</v>
      </c>
      <c r="N75" s="231">
        <v>2.44</v>
      </c>
      <c r="O75" s="230">
        <f>N75*PARÂMETROS!$E$27</f>
        <v>7.32</v>
      </c>
      <c r="P75" s="170"/>
      <c r="Q75" s="191"/>
      <c r="R75" s="232" t="s">
        <v>1326</v>
      </c>
      <c r="S75" s="233">
        <f t="shared" si="48"/>
        <v>4102.0707447519999</v>
      </c>
      <c r="U75" s="232" t="s">
        <v>1326</v>
      </c>
      <c r="V75" s="233">
        <f t="shared" si="49"/>
        <v>4141.4836977519999</v>
      </c>
      <c r="X75" s="232" t="s">
        <v>1326</v>
      </c>
      <c r="Y75" s="233">
        <f t="shared" si="50"/>
        <v>4148.8036977519996</v>
      </c>
      <c r="AA75" s="232" t="s">
        <v>1326</v>
      </c>
      <c r="AB75" s="234">
        <f>PARÂMETROS!$H$3</f>
        <v>40</v>
      </c>
      <c r="AC75" s="235">
        <v>4.1666666666666699E-2</v>
      </c>
      <c r="AD75" s="235">
        <v>6.9444444444444397E-3</v>
      </c>
      <c r="AE75" s="235">
        <v>2.0833333333333301E-2</v>
      </c>
      <c r="AF75" s="235">
        <v>6.9444444444444397E-3</v>
      </c>
      <c r="AG75" s="236"/>
      <c r="AH75" s="236"/>
      <c r="AI75" s="235">
        <v>6.9444444444444397E-3</v>
      </c>
      <c r="AJ75" s="235">
        <v>3.125E-2</v>
      </c>
      <c r="AK75" s="237">
        <f t="shared" si="51"/>
        <v>0.11458333333333331</v>
      </c>
      <c r="AL75" s="234">
        <f t="shared" si="52"/>
        <v>109.99999999999997</v>
      </c>
      <c r="AM75" s="193"/>
      <c r="AN75" s="232" t="s">
        <v>1326</v>
      </c>
      <c r="AO75" s="234">
        <f>PARÂMETROS!$H$3</f>
        <v>40</v>
      </c>
      <c r="AP75" s="235">
        <v>4.1666666666666699E-2</v>
      </c>
      <c r="AQ75" s="235">
        <v>6.9444444444444397E-3</v>
      </c>
      <c r="AR75" s="235">
        <v>2.0833333333333301E-2</v>
      </c>
      <c r="AS75" s="235">
        <v>6.9444444444444397E-3</v>
      </c>
      <c r="AT75" s="235">
        <v>2.0833333333333301E-2</v>
      </c>
      <c r="AU75" s="236"/>
      <c r="AV75" s="235">
        <v>6.9444444444444397E-3</v>
      </c>
      <c r="AW75" s="235">
        <v>3.125E-2</v>
      </c>
      <c r="AX75" s="237">
        <f t="shared" si="53"/>
        <v>0.13541666666666663</v>
      </c>
      <c r="AY75" s="234">
        <f t="shared" si="54"/>
        <v>129.99999999999997</v>
      </c>
      <c r="AZ75" s="193"/>
      <c r="BA75" s="232" t="s">
        <v>1326</v>
      </c>
      <c r="BB75" s="234">
        <f>PARÂMETROS!$H$3</f>
        <v>40</v>
      </c>
      <c r="BC75" s="235">
        <v>4.1666666666666699E-2</v>
      </c>
      <c r="BD75" s="235">
        <v>6.9444444444444397E-3</v>
      </c>
      <c r="BE75" s="235">
        <v>2.0833333333333301E-2</v>
      </c>
      <c r="BF75" s="235">
        <v>6.9444444444444397E-3</v>
      </c>
      <c r="BG75" s="235">
        <v>2.0833333333333301E-2</v>
      </c>
      <c r="BH75" s="235">
        <v>6.9444444444444397E-3</v>
      </c>
      <c r="BI75" s="235">
        <v>6.9444444444444397E-3</v>
      </c>
      <c r="BJ75" s="235">
        <v>3.125E-2</v>
      </c>
      <c r="BK75" s="237">
        <f t="shared" si="55"/>
        <v>0.14236111111111105</v>
      </c>
      <c r="BL75" s="234">
        <f t="shared" si="56"/>
        <v>136.6666666666666</v>
      </c>
      <c r="BN75" s="232" t="s">
        <v>1326</v>
      </c>
      <c r="BO75" s="238">
        <f t="shared" si="57"/>
        <v>4102.0707447519999</v>
      </c>
      <c r="BP75" s="239">
        <f t="shared" si="58"/>
        <v>109.99999999999997</v>
      </c>
      <c r="BQ75" s="243">
        <v>1</v>
      </c>
      <c r="BR75" s="241">
        <f t="shared" si="59"/>
        <v>109.99999999999997</v>
      </c>
      <c r="BS75" s="242">
        <f t="shared" si="60"/>
        <v>4212.0707447519999</v>
      </c>
      <c r="BT75" s="240">
        <v>1</v>
      </c>
      <c r="BV75" s="232" t="s">
        <v>1326</v>
      </c>
      <c r="BW75" s="238">
        <f t="shared" si="61"/>
        <v>4141.4836977519999</v>
      </c>
      <c r="BX75" s="239">
        <f t="shared" si="62"/>
        <v>129.99999999999997</v>
      </c>
      <c r="BY75" s="243">
        <v>1</v>
      </c>
      <c r="BZ75" s="241">
        <f t="shared" si="63"/>
        <v>129.99999999999997</v>
      </c>
      <c r="CA75" s="242">
        <f t="shared" si="64"/>
        <v>4271.4836977519999</v>
      </c>
      <c r="CB75" s="240">
        <v>1</v>
      </c>
      <c r="CD75" s="232" t="s">
        <v>1326</v>
      </c>
      <c r="CE75" s="238">
        <f t="shared" si="65"/>
        <v>4148.8036977519996</v>
      </c>
      <c r="CF75" s="239">
        <f t="shared" si="66"/>
        <v>136.6666666666666</v>
      </c>
      <c r="CG75" s="243">
        <v>1</v>
      </c>
      <c r="CH75" s="241">
        <f t="shared" si="67"/>
        <v>136.6666666666666</v>
      </c>
      <c r="CI75" s="242">
        <f t="shared" si="68"/>
        <v>4285.4703644186666</v>
      </c>
      <c r="CJ75" s="244">
        <v>1</v>
      </c>
    </row>
    <row r="76" spans="1:88" ht="30.75" customHeight="1" x14ac:dyDescent="0.3">
      <c r="A76" s="224" t="s">
        <v>266</v>
      </c>
      <c r="B76" s="225" t="s">
        <v>1305</v>
      </c>
      <c r="C76" s="226">
        <v>2.9870752</v>
      </c>
      <c r="D76" s="470">
        <f>PARÂMETROS!$E$20*C76</f>
        <v>4801.3051934719997</v>
      </c>
      <c r="E76" s="470"/>
      <c r="F76" s="228">
        <v>1</v>
      </c>
      <c r="G76" s="227">
        <f>F76*PARÂMETROS!$E$22</f>
        <v>42.37</v>
      </c>
      <c r="H76" s="228">
        <v>2E-3</v>
      </c>
      <c r="I76" s="227">
        <f>H76*PARÂMETROS!$E$22</f>
        <v>8.4739999999999996E-2</v>
      </c>
      <c r="J76" s="228">
        <f t="shared" si="46"/>
        <v>0.1</v>
      </c>
      <c r="K76" s="230">
        <f>J76*PARÂMETROS!$E$8</f>
        <v>3.0890000000000004</v>
      </c>
      <c r="L76" s="229">
        <f t="shared" si="47"/>
        <v>2.0000000000000001E-4</v>
      </c>
      <c r="M76" s="230">
        <f>L76*PARÂMETROS!$E$8</f>
        <v>6.1780000000000003E-3</v>
      </c>
      <c r="N76" s="231">
        <v>2.56</v>
      </c>
      <c r="O76" s="230">
        <f>N76*PARÂMETROS!$E$27</f>
        <v>7.68</v>
      </c>
      <c r="P76" s="170"/>
      <c r="Q76" s="191"/>
      <c r="R76" s="232" t="s">
        <v>1327</v>
      </c>
      <c r="S76" s="233">
        <f t="shared" si="48"/>
        <v>4801.3961114719996</v>
      </c>
      <c r="U76" s="232" t="s">
        <v>1327</v>
      </c>
      <c r="V76" s="233">
        <f t="shared" si="49"/>
        <v>4846.8551114719994</v>
      </c>
      <c r="X76" s="232" t="s">
        <v>1327</v>
      </c>
      <c r="Y76" s="233">
        <f t="shared" si="50"/>
        <v>4854.5351114719997</v>
      </c>
      <c r="AA76" s="232" t="s">
        <v>1327</v>
      </c>
      <c r="AB76" s="234">
        <f>PARÂMETROS!$H$3</f>
        <v>40</v>
      </c>
      <c r="AC76" s="235">
        <v>8.3333333333333301E-2</v>
      </c>
      <c r="AD76" s="235">
        <v>6.9444444444444397E-3</v>
      </c>
      <c r="AE76" s="235">
        <v>2.0833333333333301E-2</v>
      </c>
      <c r="AF76" s="235">
        <v>6.9444444444444397E-3</v>
      </c>
      <c r="AG76" s="236"/>
      <c r="AH76" s="236"/>
      <c r="AI76" s="235">
        <v>6.9444444444444397E-3</v>
      </c>
      <c r="AJ76" s="235">
        <v>3.125E-2</v>
      </c>
      <c r="AK76" s="237">
        <f t="shared" si="51"/>
        <v>0.15624999999999989</v>
      </c>
      <c r="AL76" s="234">
        <f t="shared" si="52"/>
        <v>149.99999999999989</v>
      </c>
      <c r="AM76" s="193"/>
      <c r="AN76" s="232" t="s">
        <v>1327</v>
      </c>
      <c r="AO76" s="234">
        <f>PARÂMETROS!$H$3</f>
        <v>40</v>
      </c>
      <c r="AP76" s="235">
        <v>8.3333333333333301E-2</v>
      </c>
      <c r="AQ76" s="235">
        <v>6.9444444444444397E-3</v>
      </c>
      <c r="AR76" s="235">
        <v>2.0833333333333301E-2</v>
      </c>
      <c r="AS76" s="235">
        <v>6.9444444444444397E-3</v>
      </c>
      <c r="AT76" s="235">
        <v>2.0833333333333301E-2</v>
      </c>
      <c r="AU76" s="236"/>
      <c r="AV76" s="235">
        <v>6.9444444444444397E-3</v>
      </c>
      <c r="AW76" s="235">
        <v>3.125E-2</v>
      </c>
      <c r="AX76" s="237">
        <f t="shared" si="53"/>
        <v>0.17708333333333323</v>
      </c>
      <c r="AY76" s="234">
        <f t="shared" si="54"/>
        <v>169.99999999999991</v>
      </c>
      <c r="AZ76" s="193"/>
      <c r="BA76" s="232" t="s">
        <v>1327</v>
      </c>
      <c r="BB76" s="234">
        <f>PARÂMETROS!$H$3</f>
        <v>40</v>
      </c>
      <c r="BC76" s="235">
        <v>8.3333333333333301E-2</v>
      </c>
      <c r="BD76" s="235">
        <v>6.9444444444444397E-3</v>
      </c>
      <c r="BE76" s="235">
        <v>2.0833333333333301E-2</v>
      </c>
      <c r="BF76" s="235">
        <v>6.9444444444444397E-3</v>
      </c>
      <c r="BG76" s="235">
        <v>2.0833333333333301E-2</v>
      </c>
      <c r="BH76" s="235">
        <v>6.9444444444444397E-3</v>
      </c>
      <c r="BI76" s="235">
        <v>6.9444444444444397E-3</v>
      </c>
      <c r="BJ76" s="235">
        <v>3.125E-2</v>
      </c>
      <c r="BK76" s="237">
        <f t="shared" si="55"/>
        <v>0.18402777777777768</v>
      </c>
      <c r="BL76" s="234">
        <f t="shared" si="56"/>
        <v>176.66666666666657</v>
      </c>
      <c r="BN76" s="232" t="s">
        <v>1327</v>
      </c>
      <c r="BO76" s="238">
        <f t="shared" si="57"/>
        <v>4801.3961114719996</v>
      </c>
      <c r="BP76" s="239">
        <f t="shared" si="58"/>
        <v>149.99999999999989</v>
      </c>
      <c r="BQ76" s="243">
        <v>1</v>
      </c>
      <c r="BR76" s="241">
        <f t="shared" si="59"/>
        <v>149.99999999999989</v>
      </c>
      <c r="BS76" s="242">
        <f t="shared" si="60"/>
        <v>4951.3961114719996</v>
      </c>
      <c r="BT76" s="240">
        <v>1</v>
      </c>
      <c r="BV76" s="232" t="s">
        <v>1327</v>
      </c>
      <c r="BW76" s="238">
        <f t="shared" si="61"/>
        <v>4846.8551114719994</v>
      </c>
      <c r="BX76" s="239">
        <f t="shared" si="62"/>
        <v>169.99999999999991</v>
      </c>
      <c r="BY76" s="243">
        <v>1</v>
      </c>
      <c r="BZ76" s="241">
        <f t="shared" si="63"/>
        <v>169.99999999999991</v>
      </c>
      <c r="CA76" s="242">
        <f t="shared" si="64"/>
        <v>5016.8551114719994</v>
      </c>
      <c r="CB76" s="240">
        <v>1</v>
      </c>
      <c r="CD76" s="232" t="s">
        <v>1327</v>
      </c>
      <c r="CE76" s="238">
        <f t="shared" si="65"/>
        <v>4854.5351114719997</v>
      </c>
      <c r="CF76" s="239">
        <f t="shared" si="66"/>
        <v>176.66666666666657</v>
      </c>
      <c r="CG76" s="243">
        <v>1</v>
      </c>
      <c r="CH76" s="241">
        <f t="shared" si="67"/>
        <v>176.66666666666657</v>
      </c>
      <c r="CI76" s="242">
        <f t="shared" si="68"/>
        <v>5031.2017781386667</v>
      </c>
      <c r="CJ76" s="244">
        <v>1</v>
      </c>
    </row>
    <row r="77" spans="1:88" ht="30.75" customHeight="1" x14ac:dyDescent="0.3">
      <c r="A77" s="224" t="s">
        <v>270</v>
      </c>
      <c r="B77" s="225" t="s">
        <v>1305</v>
      </c>
      <c r="C77" s="226">
        <v>3.4689762000000002</v>
      </c>
      <c r="D77" s="470">
        <f>PARÂMETROS!$E$20*C77</f>
        <v>5575.8935848319998</v>
      </c>
      <c r="E77" s="470"/>
      <c r="F77" s="228">
        <v>1.08</v>
      </c>
      <c r="G77" s="227">
        <f>F77*PARÂMETROS!$E$22</f>
        <v>45.759599999999999</v>
      </c>
      <c r="H77" s="228">
        <v>2E-3</v>
      </c>
      <c r="I77" s="227">
        <f>H77*PARÂMETROS!$E$22</f>
        <v>8.4739999999999996E-2</v>
      </c>
      <c r="J77" s="228">
        <f t="shared" si="46"/>
        <v>0.10800000000000001</v>
      </c>
      <c r="K77" s="230">
        <f>J77*PARÂMETROS!$E$8</f>
        <v>3.3361200000000006</v>
      </c>
      <c r="L77" s="229">
        <f t="shared" si="47"/>
        <v>2.0000000000000001E-4</v>
      </c>
      <c r="M77" s="230">
        <f>L77*PARÂMETROS!$E$8</f>
        <v>6.1780000000000003E-3</v>
      </c>
      <c r="N77" s="231">
        <v>2.68</v>
      </c>
      <c r="O77" s="230">
        <f>N77*PARÂMETROS!$E$27</f>
        <v>8.0400000000000009</v>
      </c>
      <c r="P77" s="170"/>
      <c r="Q77" s="191"/>
      <c r="R77" s="232" t="s">
        <v>1328</v>
      </c>
      <c r="S77" s="233">
        <f t="shared" si="48"/>
        <v>5575.9845028319996</v>
      </c>
      <c r="U77" s="232" t="s">
        <v>1328</v>
      </c>
      <c r="V77" s="233">
        <f t="shared" si="49"/>
        <v>5625.0802228319999</v>
      </c>
      <c r="X77" s="232" t="s">
        <v>1328</v>
      </c>
      <c r="Y77" s="233">
        <f t="shared" si="50"/>
        <v>5633.1202228319999</v>
      </c>
      <c r="AA77" s="232" t="s">
        <v>1328</v>
      </c>
      <c r="AB77" s="234">
        <f>PARÂMETROS!$H$3</f>
        <v>40</v>
      </c>
      <c r="AC77" s="235">
        <v>8.3333333333333301E-2</v>
      </c>
      <c r="AD77" s="235">
        <v>6.9444444444444397E-3</v>
      </c>
      <c r="AE77" s="235">
        <v>2.0833333333333301E-2</v>
      </c>
      <c r="AF77" s="235">
        <v>6.9444444444444397E-3</v>
      </c>
      <c r="AG77" s="236"/>
      <c r="AH77" s="236"/>
      <c r="AI77" s="235">
        <v>6.9444444444444397E-3</v>
      </c>
      <c r="AJ77" s="235">
        <v>3.125E-2</v>
      </c>
      <c r="AK77" s="237">
        <f t="shared" si="51"/>
        <v>0.15624999999999989</v>
      </c>
      <c r="AL77" s="234">
        <f t="shared" si="52"/>
        <v>149.99999999999989</v>
      </c>
      <c r="AM77" s="193"/>
      <c r="AN77" s="232" t="s">
        <v>1328</v>
      </c>
      <c r="AO77" s="234">
        <f>PARÂMETROS!$H$3</f>
        <v>40</v>
      </c>
      <c r="AP77" s="235">
        <v>8.3333333333333301E-2</v>
      </c>
      <c r="AQ77" s="235">
        <v>6.9444444444444397E-3</v>
      </c>
      <c r="AR77" s="235">
        <v>2.0833333333333301E-2</v>
      </c>
      <c r="AS77" s="235">
        <v>6.9444444444444397E-3</v>
      </c>
      <c r="AT77" s="235">
        <v>2.0833333333333301E-2</v>
      </c>
      <c r="AU77" s="236"/>
      <c r="AV77" s="235">
        <v>6.9444444444444397E-3</v>
      </c>
      <c r="AW77" s="235">
        <v>3.125E-2</v>
      </c>
      <c r="AX77" s="237">
        <f t="shared" si="53"/>
        <v>0.17708333333333323</v>
      </c>
      <c r="AY77" s="234">
        <f t="shared" si="54"/>
        <v>169.99999999999991</v>
      </c>
      <c r="AZ77" s="193"/>
      <c r="BA77" s="232" t="s">
        <v>1328</v>
      </c>
      <c r="BB77" s="234">
        <f>PARÂMETROS!$H$3</f>
        <v>40</v>
      </c>
      <c r="BC77" s="235">
        <v>8.3333333333333301E-2</v>
      </c>
      <c r="BD77" s="235">
        <v>6.9444444444444397E-3</v>
      </c>
      <c r="BE77" s="235">
        <v>2.0833333333333301E-2</v>
      </c>
      <c r="BF77" s="235">
        <v>6.9444444444444397E-3</v>
      </c>
      <c r="BG77" s="235">
        <v>2.0833333333333301E-2</v>
      </c>
      <c r="BH77" s="235">
        <v>6.9444444444444397E-3</v>
      </c>
      <c r="BI77" s="235">
        <v>6.9444444444444397E-3</v>
      </c>
      <c r="BJ77" s="235">
        <v>3.125E-2</v>
      </c>
      <c r="BK77" s="237">
        <f t="shared" si="55"/>
        <v>0.18402777777777768</v>
      </c>
      <c r="BL77" s="234">
        <f t="shared" si="56"/>
        <v>176.66666666666657</v>
      </c>
      <c r="BN77" s="232" t="s">
        <v>1328</v>
      </c>
      <c r="BO77" s="238">
        <f t="shared" si="57"/>
        <v>5575.9845028319996</v>
      </c>
      <c r="BP77" s="239">
        <f t="shared" si="58"/>
        <v>149.99999999999989</v>
      </c>
      <c r="BQ77" s="243">
        <v>1</v>
      </c>
      <c r="BR77" s="241">
        <f t="shared" si="59"/>
        <v>149.99999999999989</v>
      </c>
      <c r="BS77" s="242">
        <f t="shared" si="60"/>
        <v>5725.9845028319996</v>
      </c>
      <c r="BT77" s="240">
        <v>1</v>
      </c>
      <c r="BV77" s="232" t="s">
        <v>1328</v>
      </c>
      <c r="BW77" s="238">
        <f t="shared" si="61"/>
        <v>5625.0802228319999</v>
      </c>
      <c r="BX77" s="239">
        <f t="shared" si="62"/>
        <v>169.99999999999991</v>
      </c>
      <c r="BY77" s="243">
        <v>1</v>
      </c>
      <c r="BZ77" s="241">
        <f t="shared" si="63"/>
        <v>169.99999999999991</v>
      </c>
      <c r="CA77" s="242">
        <f t="shared" si="64"/>
        <v>5795.0802228319999</v>
      </c>
      <c r="CB77" s="240">
        <v>1</v>
      </c>
      <c r="CD77" s="232" t="s">
        <v>1328</v>
      </c>
      <c r="CE77" s="238">
        <f t="shared" si="65"/>
        <v>5633.1202228319999</v>
      </c>
      <c r="CF77" s="239">
        <f t="shared" si="66"/>
        <v>176.66666666666657</v>
      </c>
      <c r="CG77" s="243">
        <v>1</v>
      </c>
      <c r="CH77" s="241">
        <f t="shared" si="67"/>
        <v>176.66666666666657</v>
      </c>
      <c r="CI77" s="242">
        <f t="shared" si="68"/>
        <v>5809.7868894986668</v>
      </c>
      <c r="CJ77" s="244">
        <v>1</v>
      </c>
    </row>
    <row r="78" spans="1:88" ht="30.75" customHeight="1" x14ac:dyDescent="0.3">
      <c r="A78" s="224" t="s">
        <v>274</v>
      </c>
      <c r="B78" s="225" t="s">
        <v>1305</v>
      </c>
      <c r="C78" s="226">
        <v>4.0000939999999998</v>
      </c>
      <c r="D78" s="470">
        <f>PARÂMETROS!$E$20*C78</f>
        <v>6429.5910918399995</v>
      </c>
      <c r="E78" s="470"/>
      <c r="F78" s="228">
        <v>1.1619999999999999</v>
      </c>
      <c r="G78" s="227">
        <f>F78*PARÂMETROS!$E$22</f>
        <v>49.233939999999997</v>
      </c>
      <c r="H78" s="228">
        <v>2E-3</v>
      </c>
      <c r="I78" s="227">
        <f>H78*PARÂMETROS!$E$22</f>
        <v>8.4739999999999996E-2</v>
      </c>
      <c r="J78" s="228">
        <f t="shared" si="46"/>
        <v>0.1162</v>
      </c>
      <c r="K78" s="230">
        <f>J78*PARÂMETROS!$E$8</f>
        <v>3.5894179999999998</v>
      </c>
      <c r="L78" s="229">
        <f t="shared" si="47"/>
        <v>2.0000000000000001E-4</v>
      </c>
      <c r="M78" s="230">
        <f>L78*PARÂMETROS!$E$8</f>
        <v>6.1780000000000003E-3</v>
      </c>
      <c r="N78" s="231">
        <v>2.76</v>
      </c>
      <c r="O78" s="230">
        <f>N78*PARÂMETROS!$E$27</f>
        <v>8.2799999999999994</v>
      </c>
      <c r="P78" s="170"/>
      <c r="Q78" s="191"/>
      <c r="R78" s="232" t="s">
        <v>1329</v>
      </c>
      <c r="S78" s="233">
        <f t="shared" si="48"/>
        <v>6429.6820098399994</v>
      </c>
      <c r="U78" s="232" t="s">
        <v>1329</v>
      </c>
      <c r="V78" s="233">
        <f t="shared" si="49"/>
        <v>6482.5053678399991</v>
      </c>
      <c r="X78" s="232" t="s">
        <v>1329</v>
      </c>
      <c r="Y78" s="233">
        <f t="shared" si="50"/>
        <v>6490.7853678399988</v>
      </c>
      <c r="AA78" s="232" t="s">
        <v>1329</v>
      </c>
      <c r="AB78" s="234">
        <f>PARÂMETROS!$H$3</f>
        <v>40</v>
      </c>
      <c r="AC78" s="235">
        <v>8.3333333333333301E-2</v>
      </c>
      <c r="AD78" s="235">
        <v>6.9444444444444397E-3</v>
      </c>
      <c r="AE78" s="235">
        <v>2.0833333333333301E-2</v>
      </c>
      <c r="AF78" s="235">
        <v>6.9444444444444397E-3</v>
      </c>
      <c r="AG78" s="236"/>
      <c r="AH78" s="236"/>
      <c r="AI78" s="235">
        <v>6.9444444444444397E-3</v>
      </c>
      <c r="AJ78" s="235">
        <v>3.125E-2</v>
      </c>
      <c r="AK78" s="237">
        <f t="shared" si="51"/>
        <v>0.15624999999999989</v>
      </c>
      <c r="AL78" s="234">
        <f t="shared" si="52"/>
        <v>149.99999999999989</v>
      </c>
      <c r="AM78" s="193"/>
      <c r="AN78" s="232" t="s">
        <v>1329</v>
      </c>
      <c r="AO78" s="234">
        <f>PARÂMETROS!$H$3</f>
        <v>40</v>
      </c>
      <c r="AP78" s="235">
        <v>8.3333333333333301E-2</v>
      </c>
      <c r="AQ78" s="235">
        <v>6.9444444444444397E-3</v>
      </c>
      <c r="AR78" s="235">
        <v>2.0833333333333301E-2</v>
      </c>
      <c r="AS78" s="235">
        <v>6.9444444444444397E-3</v>
      </c>
      <c r="AT78" s="235">
        <v>2.0833333333333301E-2</v>
      </c>
      <c r="AU78" s="236"/>
      <c r="AV78" s="235">
        <v>6.9444444444444397E-3</v>
      </c>
      <c r="AW78" s="235">
        <v>3.125E-2</v>
      </c>
      <c r="AX78" s="237">
        <f t="shared" si="53"/>
        <v>0.17708333333333323</v>
      </c>
      <c r="AY78" s="234">
        <f t="shared" si="54"/>
        <v>169.99999999999991</v>
      </c>
      <c r="AZ78" s="193"/>
      <c r="BA78" s="232" t="s">
        <v>1329</v>
      </c>
      <c r="BB78" s="234">
        <f>PARÂMETROS!$H$3</f>
        <v>40</v>
      </c>
      <c r="BC78" s="235">
        <v>8.3333333333333301E-2</v>
      </c>
      <c r="BD78" s="235">
        <v>6.9444444444444397E-3</v>
      </c>
      <c r="BE78" s="235">
        <v>2.0833333333333301E-2</v>
      </c>
      <c r="BF78" s="235">
        <v>6.9444444444444397E-3</v>
      </c>
      <c r="BG78" s="235">
        <v>2.0833333333333301E-2</v>
      </c>
      <c r="BH78" s="235">
        <v>6.9444444444444397E-3</v>
      </c>
      <c r="BI78" s="235">
        <v>6.9444444444444397E-3</v>
      </c>
      <c r="BJ78" s="235">
        <v>3.125E-2</v>
      </c>
      <c r="BK78" s="237">
        <f t="shared" si="55"/>
        <v>0.18402777777777768</v>
      </c>
      <c r="BL78" s="234">
        <f t="shared" si="56"/>
        <v>176.66666666666657</v>
      </c>
      <c r="BN78" s="232" t="s">
        <v>1329</v>
      </c>
      <c r="BO78" s="238">
        <f t="shared" si="57"/>
        <v>6429.6820098399994</v>
      </c>
      <c r="BP78" s="239">
        <f t="shared" si="58"/>
        <v>149.99999999999989</v>
      </c>
      <c r="BQ78" s="243">
        <v>1</v>
      </c>
      <c r="BR78" s="241">
        <f t="shared" si="59"/>
        <v>149.99999999999989</v>
      </c>
      <c r="BS78" s="242">
        <f t="shared" si="60"/>
        <v>6579.6820098399994</v>
      </c>
      <c r="BT78" s="240">
        <v>1</v>
      </c>
      <c r="BV78" s="232" t="s">
        <v>1329</v>
      </c>
      <c r="BW78" s="238">
        <f t="shared" si="61"/>
        <v>6482.5053678399991</v>
      </c>
      <c r="BX78" s="239">
        <f t="shared" si="62"/>
        <v>169.99999999999991</v>
      </c>
      <c r="BY78" s="243">
        <v>1</v>
      </c>
      <c r="BZ78" s="241">
        <f t="shared" si="63"/>
        <v>169.99999999999991</v>
      </c>
      <c r="CA78" s="242">
        <f t="shared" si="64"/>
        <v>6652.5053678399991</v>
      </c>
      <c r="CB78" s="240">
        <v>1</v>
      </c>
      <c r="CD78" s="232" t="s">
        <v>1329</v>
      </c>
      <c r="CE78" s="238">
        <f t="shared" si="65"/>
        <v>6490.7853678399988</v>
      </c>
      <c r="CF78" s="239">
        <f t="shared" si="66"/>
        <v>176.66666666666657</v>
      </c>
      <c r="CG78" s="243">
        <v>1</v>
      </c>
      <c r="CH78" s="241">
        <f t="shared" si="67"/>
        <v>176.66666666666657</v>
      </c>
      <c r="CI78" s="242">
        <f t="shared" si="68"/>
        <v>6667.4520345066658</v>
      </c>
      <c r="CJ78" s="244">
        <v>1</v>
      </c>
    </row>
    <row r="79" spans="1:88" ht="30.75" customHeight="1" x14ac:dyDescent="0.3">
      <c r="A79" s="224" t="s">
        <v>278</v>
      </c>
      <c r="B79" s="225" t="s">
        <v>1305</v>
      </c>
      <c r="C79" s="226">
        <v>4.582821</v>
      </c>
      <c r="D79" s="470">
        <f>PARÂMETROS!$E$20*C79</f>
        <v>7366.2431625599993</v>
      </c>
      <c r="E79" s="470"/>
      <c r="F79" s="228">
        <v>1.27</v>
      </c>
      <c r="G79" s="227">
        <f>F79*PARÂMETROS!$E$22</f>
        <v>53.809899999999999</v>
      </c>
      <c r="H79" s="228">
        <v>2E-3</v>
      </c>
      <c r="I79" s="227">
        <f>H79*PARÂMETROS!$E$22</f>
        <v>8.4739999999999996E-2</v>
      </c>
      <c r="J79" s="228">
        <f t="shared" si="46"/>
        <v>0.127</v>
      </c>
      <c r="K79" s="230">
        <f>J79*PARÂMETROS!$E$8</f>
        <v>3.9230300000000002</v>
      </c>
      <c r="L79" s="229">
        <f t="shared" si="47"/>
        <v>2.0000000000000001E-4</v>
      </c>
      <c r="M79" s="230">
        <f>L79*PARÂMETROS!$E$8</f>
        <v>6.1780000000000003E-3</v>
      </c>
      <c r="N79" s="231">
        <v>2.8</v>
      </c>
      <c r="O79" s="230">
        <f>N79*PARÂMETROS!$E$27</f>
        <v>8.3999999999999986</v>
      </c>
      <c r="P79" s="170"/>
      <c r="Q79" s="191"/>
      <c r="R79" s="232" t="s">
        <v>1330</v>
      </c>
      <c r="S79" s="233">
        <f t="shared" si="48"/>
        <v>7366.3340805599992</v>
      </c>
      <c r="U79" s="232" t="s">
        <v>1330</v>
      </c>
      <c r="V79" s="233">
        <f t="shared" si="49"/>
        <v>7424.0670105599993</v>
      </c>
      <c r="X79" s="232" t="s">
        <v>1330</v>
      </c>
      <c r="Y79" s="233">
        <f t="shared" si="50"/>
        <v>7432.4670105599989</v>
      </c>
      <c r="AA79" s="232" t="s">
        <v>1330</v>
      </c>
      <c r="AB79" s="234">
        <f>PARÂMETROS!$H$3</f>
        <v>40</v>
      </c>
      <c r="AC79" s="235">
        <v>8.3333333333333301E-2</v>
      </c>
      <c r="AD79" s="235">
        <v>6.9444444444444397E-3</v>
      </c>
      <c r="AE79" s="235">
        <v>2.0833333333333301E-2</v>
      </c>
      <c r="AF79" s="235">
        <v>6.9444444444444397E-3</v>
      </c>
      <c r="AG79" s="236"/>
      <c r="AH79" s="236"/>
      <c r="AI79" s="235">
        <v>6.9444444444444397E-3</v>
      </c>
      <c r="AJ79" s="235">
        <v>3.125E-2</v>
      </c>
      <c r="AK79" s="237">
        <f t="shared" si="51"/>
        <v>0.15624999999999989</v>
      </c>
      <c r="AL79" s="234">
        <f t="shared" si="52"/>
        <v>149.99999999999989</v>
      </c>
      <c r="AM79" s="193"/>
      <c r="AN79" s="232" t="s">
        <v>1330</v>
      </c>
      <c r="AO79" s="234">
        <f>PARÂMETROS!$H$3</f>
        <v>40</v>
      </c>
      <c r="AP79" s="235">
        <v>8.3333333333333301E-2</v>
      </c>
      <c r="AQ79" s="235">
        <v>6.9444444444444397E-3</v>
      </c>
      <c r="AR79" s="235">
        <v>2.0833333333333301E-2</v>
      </c>
      <c r="AS79" s="235">
        <v>6.9444444444444397E-3</v>
      </c>
      <c r="AT79" s="235">
        <v>2.0833333333333301E-2</v>
      </c>
      <c r="AU79" s="236"/>
      <c r="AV79" s="235">
        <v>6.9444444444444397E-3</v>
      </c>
      <c r="AW79" s="235">
        <v>3.125E-2</v>
      </c>
      <c r="AX79" s="237">
        <f t="shared" si="53"/>
        <v>0.17708333333333323</v>
      </c>
      <c r="AY79" s="234">
        <f t="shared" si="54"/>
        <v>169.99999999999991</v>
      </c>
      <c r="AZ79" s="193"/>
      <c r="BA79" s="232" t="s">
        <v>1330</v>
      </c>
      <c r="BB79" s="234">
        <f>PARÂMETROS!$H$3</f>
        <v>40</v>
      </c>
      <c r="BC79" s="235">
        <v>8.3333333333333301E-2</v>
      </c>
      <c r="BD79" s="235">
        <v>6.9444444444444397E-3</v>
      </c>
      <c r="BE79" s="235">
        <v>2.0833333333333301E-2</v>
      </c>
      <c r="BF79" s="235">
        <v>6.9444444444444397E-3</v>
      </c>
      <c r="BG79" s="235">
        <v>2.0833333333333301E-2</v>
      </c>
      <c r="BH79" s="235">
        <v>6.9444444444444397E-3</v>
      </c>
      <c r="BI79" s="235">
        <v>6.9444444444444397E-3</v>
      </c>
      <c r="BJ79" s="235">
        <v>3.125E-2</v>
      </c>
      <c r="BK79" s="237">
        <f t="shared" si="55"/>
        <v>0.18402777777777768</v>
      </c>
      <c r="BL79" s="234">
        <f t="shared" si="56"/>
        <v>176.66666666666657</v>
      </c>
      <c r="BN79" s="232" t="s">
        <v>1330</v>
      </c>
      <c r="BO79" s="238">
        <f t="shared" si="57"/>
        <v>7366.3340805599992</v>
      </c>
      <c r="BP79" s="239">
        <f t="shared" si="58"/>
        <v>149.99999999999989</v>
      </c>
      <c r="BQ79" s="243">
        <v>1</v>
      </c>
      <c r="BR79" s="241">
        <f t="shared" si="59"/>
        <v>149.99999999999989</v>
      </c>
      <c r="BS79" s="242">
        <f t="shared" si="60"/>
        <v>7516.3340805599992</v>
      </c>
      <c r="BT79" s="240">
        <v>1</v>
      </c>
      <c r="BV79" s="232" t="s">
        <v>1330</v>
      </c>
      <c r="BW79" s="238">
        <f t="shared" si="61"/>
        <v>7424.0670105599993</v>
      </c>
      <c r="BX79" s="239">
        <f t="shared" si="62"/>
        <v>169.99999999999991</v>
      </c>
      <c r="BY79" s="243">
        <v>1</v>
      </c>
      <c r="BZ79" s="241">
        <f t="shared" si="63"/>
        <v>169.99999999999991</v>
      </c>
      <c r="CA79" s="242">
        <f t="shared" si="64"/>
        <v>7594.0670105599993</v>
      </c>
      <c r="CB79" s="240">
        <v>1</v>
      </c>
      <c r="CD79" s="232" t="s">
        <v>1330</v>
      </c>
      <c r="CE79" s="238">
        <f t="shared" si="65"/>
        <v>7432.4670105599989</v>
      </c>
      <c r="CF79" s="239">
        <f t="shared" si="66"/>
        <v>176.66666666666657</v>
      </c>
      <c r="CG79" s="243">
        <v>1</v>
      </c>
      <c r="CH79" s="241">
        <f t="shared" si="67"/>
        <v>176.66666666666657</v>
      </c>
      <c r="CI79" s="242">
        <f t="shared" si="68"/>
        <v>7609.1336772266659</v>
      </c>
      <c r="CJ79" s="244">
        <v>1</v>
      </c>
    </row>
    <row r="80" spans="1:88" ht="30.75" customHeight="1" x14ac:dyDescent="0.3">
      <c r="A80" s="224" t="s">
        <v>189</v>
      </c>
      <c r="B80" s="225" t="s">
        <v>1331</v>
      </c>
      <c r="C80" s="226">
        <v>3.6650000000000002E-4</v>
      </c>
      <c r="D80" s="470">
        <f>PARÂMETROS!$E$21*C80</f>
        <v>0.78546447500000005</v>
      </c>
      <c r="E80" s="470"/>
      <c r="F80" s="228">
        <v>2E-3</v>
      </c>
      <c r="G80" s="227">
        <f>F80*PARÂMETROS!$E$22</f>
        <v>8.4739999999999996E-2</v>
      </c>
      <c r="H80" s="228">
        <v>2E-3</v>
      </c>
      <c r="I80" s="227">
        <f>H80*PARÂMETROS!$E$22</f>
        <v>8.4739999999999996E-2</v>
      </c>
      <c r="J80" s="228">
        <f t="shared" si="46"/>
        <v>2.0000000000000001E-4</v>
      </c>
      <c r="K80" s="230">
        <f>J80*PARÂMETROS!$E$8</f>
        <v>6.1780000000000003E-3</v>
      </c>
      <c r="L80" s="229">
        <f t="shared" si="47"/>
        <v>2.0000000000000001E-4</v>
      </c>
      <c r="M80" s="230">
        <f>L80*PARÂMETROS!$E$8</f>
        <v>6.1780000000000003E-3</v>
      </c>
      <c r="N80" s="231">
        <v>0.3</v>
      </c>
      <c r="O80" s="230">
        <f>N80*PARÂMETROS!$E$27</f>
        <v>0.89999999999999991</v>
      </c>
      <c r="P80" s="170"/>
      <c r="Q80" s="191"/>
      <c r="R80" s="232" t="s">
        <v>1332</v>
      </c>
      <c r="S80" s="233">
        <f t="shared" si="48"/>
        <v>0.87638247500000011</v>
      </c>
      <c r="U80" s="232" t="s">
        <v>1332</v>
      </c>
      <c r="V80" s="233">
        <f t="shared" si="49"/>
        <v>0.96730047500000016</v>
      </c>
      <c r="X80" s="232" t="s">
        <v>1332</v>
      </c>
      <c r="Y80" s="233">
        <f t="shared" si="50"/>
        <v>1.867300475</v>
      </c>
      <c r="AA80" s="232" t="s">
        <v>1332</v>
      </c>
      <c r="AB80" s="234">
        <f>PARÂMETROS!$H$3</f>
        <v>40</v>
      </c>
      <c r="AC80" s="235">
        <v>2.1527777777777798E-2</v>
      </c>
      <c r="AD80" s="235">
        <v>6.9444444444444397E-3</v>
      </c>
      <c r="AE80" s="235">
        <v>6.9444444444444397E-3</v>
      </c>
      <c r="AF80" s="235">
        <v>6.9444444444444397E-3</v>
      </c>
      <c r="AG80" s="236"/>
      <c r="AH80" s="236"/>
      <c r="AI80" s="235">
        <v>6.9444444444444397E-3</v>
      </c>
      <c r="AJ80" s="235">
        <v>3.125E-2</v>
      </c>
      <c r="AK80" s="237">
        <f t="shared" si="51"/>
        <v>8.0555555555555561E-2</v>
      </c>
      <c r="AL80" s="234">
        <f t="shared" si="52"/>
        <v>77.333333333333343</v>
      </c>
      <c r="AM80" s="193"/>
      <c r="AN80" s="232" t="s">
        <v>1332</v>
      </c>
      <c r="AO80" s="234">
        <f>PARÂMETROS!$H$3</f>
        <v>40</v>
      </c>
      <c r="AP80" s="235">
        <v>2.1527777777777798E-2</v>
      </c>
      <c r="AQ80" s="235">
        <v>6.9444444444444397E-3</v>
      </c>
      <c r="AR80" s="235">
        <v>6.9444444444444397E-3</v>
      </c>
      <c r="AS80" s="235">
        <v>6.9444444444444397E-3</v>
      </c>
      <c r="AT80" s="235">
        <v>2.0833333333333301E-2</v>
      </c>
      <c r="AU80" s="236"/>
      <c r="AV80" s="235">
        <v>6.9444444444444397E-3</v>
      </c>
      <c r="AW80" s="235">
        <v>3.125E-2</v>
      </c>
      <c r="AX80" s="237">
        <f t="shared" si="53"/>
        <v>0.10138888888888885</v>
      </c>
      <c r="AY80" s="234">
        <f t="shared" si="54"/>
        <v>97.333333333333286</v>
      </c>
      <c r="AZ80" s="193"/>
      <c r="BA80" s="232" t="s">
        <v>1332</v>
      </c>
      <c r="BB80" s="234">
        <f>PARÂMETROS!$H$3</f>
        <v>40</v>
      </c>
      <c r="BC80" s="235">
        <v>2.1527777777777798E-2</v>
      </c>
      <c r="BD80" s="235">
        <v>6.9444444444444397E-3</v>
      </c>
      <c r="BE80" s="235">
        <v>6.9444444444444397E-3</v>
      </c>
      <c r="BF80" s="235">
        <v>6.9444444444444397E-3</v>
      </c>
      <c r="BG80" s="235">
        <v>2.0833333333333301E-2</v>
      </c>
      <c r="BH80" s="235">
        <v>6.9444444444444397E-3</v>
      </c>
      <c r="BI80" s="235">
        <v>6.9444444444444397E-3</v>
      </c>
      <c r="BJ80" s="235">
        <v>3.125E-2</v>
      </c>
      <c r="BK80" s="237">
        <f t="shared" si="55"/>
        <v>0.10833333333333328</v>
      </c>
      <c r="BL80" s="234">
        <f t="shared" si="56"/>
        <v>103.99999999999994</v>
      </c>
      <c r="BN80" s="232" t="s">
        <v>1332</v>
      </c>
      <c r="BO80" s="238">
        <f t="shared" si="57"/>
        <v>0.87638247500000011</v>
      </c>
      <c r="BP80" s="239">
        <f t="shared" si="58"/>
        <v>77.333333333333343</v>
      </c>
      <c r="BQ80" s="243">
        <v>50</v>
      </c>
      <c r="BR80" s="241">
        <f t="shared" si="59"/>
        <v>1.5466666666666669</v>
      </c>
      <c r="BS80" s="242">
        <f t="shared" si="60"/>
        <v>2.4230491416666671</v>
      </c>
      <c r="BT80" s="240">
        <v>50</v>
      </c>
      <c r="BV80" s="232" t="s">
        <v>1332</v>
      </c>
      <c r="BW80" s="238">
        <f t="shared" si="61"/>
        <v>0.96730047500000016</v>
      </c>
      <c r="BX80" s="239">
        <f t="shared" si="62"/>
        <v>97.333333333333286</v>
      </c>
      <c r="BY80" s="243">
        <v>35</v>
      </c>
      <c r="BZ80" s="241">
        <f t="shared" si="63"/>
        <v>2.7809523809523795</v>
      </c>
      <c r="CA80" s="242">
        <f t="shared" si="64"/>
        <v>3.7482528559523796</v>
      </c>
      <c r="CB80" s="240">
        <v>35</v>
      </c>
      <c r="CD80" s="232" t="s">
        <v>1332</v>
      </c>
      <c r="CE80" s="238">
        <f t="shared" si="65"/>
        <v>1.867300475</v>
      </c>
      <c r="CF80" s="239">
        <f t="shared" si="66"/>
        <v>103.99999999999994</v>
      </c>
      <c r="CG80" s="243">
        <v>5</v>
      </c>
      <c r="CH80" s="241">
        <f t="shared" si="67"/>
        <v>20.79999999999999</v>
      </c>
      <c r="CI80" s="242">
        <f t="shared" si="68"/>
        <v>22.66730047499999</v>
      </c>
      <c r="CJ80" s="244">
        <v>5</v>
      </c>
    </row>
    <row r="81" spans="1:88" ht="30.75" customHeight="1" x14ac:dyDescent="0.3">
      <c r="A81" s="224" t="s">
        <v>196</v>
      </c>
      <c r="B81" s="225" t="s">
        <v>1331</v>
      </c>
      <c r="C81" s="226">
        <v>1.3734000000000001E-3</v>
      </c>
      <c r="D81" s="470">
        <f>PARÂMETROS!$E$21*C81</f>
        <v>2.9434022100000004</v>
      </c>
      <c r="E81" s="470"/>
      <c r="F81" s="228">
        <v>6.0000000000000001E-3</v>
      </c>
      <c r="G81" s="227">
        <f>F81*PARÂMETROS!$E$22</f>
        <v>0.25422</v>
      </c>
      <c r="H81" s="228">
        <v>2E-3</v>
      </c>
      <c r="I81" s="227">
        <f>H81*PARÂMETROS!$E$22</f>
        <v>8.4739999999999996E-2</v>
      </c>
      <c r="J81" s="228">
        <f t="shared" si="46"/>
        <v>6.0000000000000006E-4</v>
      </c>
      <c r="K81" s="230">
        <f>J81*PARÂMETROS!$E$8</f>
        <v>1.8534000000000002E-2</v>
      </c>
      <c r="L81" s="229">
        <f t="shared" si="47"/>
        <v>2.0000000000000001E-4</v>
      </c>
      <c r="M81" s="230">
        <f>L81*PARÂMETROS!$E$8</f>
        <v>6.1780000000000003E-3</v>
      </c>
      <c r="N81" s="231">
        <v>0.35</v>
      </c>
      <c r="O81" s="230">
        <f>N81*PARÂMETROS!$E$27</f>
        <v>1.0499999999999998</v>
      </c>
      <c r="P81" s="170"/>
      <c r="Q81" s="191"/>
      <c r="R81" s="232" t="s">
        <v>1333</v>
      </c>
      <c r="S81" s="233">
        <f t="shared" si="48"/>
        <v>3.0343202100000002</v>
      </c>
      <c r="U81" s="232" t="s">
        <v>1333</v>
      </c>
      <c r="V81" s="233">
        <f t="shared" si="49"/>
        <v>3.3070742100000001</v>
      </c>
      <c r="X81" s="232" t="s">
        <v>1333</v>
      </c>
      <c r="Y81" s="233">
        <f t="shared" si="50"/>
        <v>4.3570742100000004</v>
      </c>
      <c r="AA81" s="232" t="s">
        <v>1333</v>
      </c>
      <c r="AB81" s="234">
        <f>PARÂMETROS!$H$3</f>
        <v>40</v>
      </c>
      <c r="AC81" s="235">
        <v>2.1527777777777798E-2</v>
      </c>
      <c r="AD81" s="235">
        <v>6.9444444444444397E-3</v>
      </c>
      <c r="AE81" s="235">
        <v>6.9444444444444397E-3</v>
      </c>
      <c r="AF81" s="235">
        <v>6.9444444444444397E-3</v>
      </c>
      <c r="AG81" s="236"/>
      <c r="AH81" s="236"/>
      <c r="AI81" s="235">
        <v>6.9444444444444397E-3</v>
      </c>
      <c r="AJ81" s="235">
        <v>3.125E-2</v>
      </c>
      <c r="AK81" s="237">
        <f t="shared" si="51"/>
        <v>8.0555555555555561E-2</v>
      </c>
      <c r="AL81" s="234">
        <f t="shared" si="52"/>
        <v>77.333333333333343</v>
      </c>
      <c r="AM81" s="193"/>
      <c r="AN81" s="232" t="s">
        <v>1333</v>
      </c>
      <c r="AO81" s="234">
        <f>PARÂMETROS!$H$3</f>
        <v>40</v>
      </c>
      <c r="AP81" s="235">
        <v>2.1527777777777798E-2</v>
      </c>
      <c r="AQ81" s="235">
        <v>6.9444444444444397E-3</v>
      </c>
      <c r="AR81" s="235">
        <v>6.9444444444444397E-3</v>
      </c>
      <c r="AS81" s="235">
        <v>6.9444444444444397E-3</v>
      </c>
      <c r="AT81" s="235">
        <v>2.0833333333333301E-2</v>
      </c>
      <c r="AU81" s="236"/>
      <c r="AV81" s="235">
        <v>6.9444444444444397E-3</v>
      </c>
      <c r="AW81" s="235">
        <v>3.125E-2</v>
      </c>
      <c r="AX81" s="237">
        <f t="shared" si="53"/>
        <v>0.10138888888888885</v>
      </c>
      <c r="AY81" s="234">
        <f t="shared" si="54"/>
        <v>97.333333333333286</v>
      </c>
      <c r="AZ81" s="193"/>
      <c r="BA81" s="232" t="s">
        <v>1333</v>
      </c>
      <c r="BB81" s="234">
        <f>PARÂMETROS!$H$3</f>
        <v>40</v>
      </c>
      <c r="BC81" s="235">
        <v>2.1527777777777798E-2</v>
      </c>
      <c r="BD81" s="235">
        <v>6.9444444444444397E-3</v>
      </c>
      <c r="BE81" s="235">
        <v>6.9444444444444397E-3</v>
      </c>
      <c r="BF81" s="235">
        <v>6.9444444444444397E-3</v>
      </c>
      <c r="BG81" s="235">
        <v>2.0833333333333301E-2</v>
      </c>
      <c r="BH81" s="235">
        <v>6.9444444444444397E-3</v>
      </c>
      <c r="BI81" s="235">
        <v>6.9444444444444397E-3</v>
      </c>
      <c r="BJ81" s="235">
        <v>3.125E-2</v>
      </c>
      <c r="BK81" s="237">
        <f t="shared" si="55"/>
        <v>0.10833333333333328</v>
      </c>
      <c r="BL81" s="234">
        <f t="shared" si="56"/>
        <v>103.99999999999994</v>
      </c>
      <c r="BN81" s="232" t="s">
        <v>1333</v>
      </c>
      <c r="BO81" s="238">
        <f t="shared" si="57"/>
        <v>3.0343202100000002</v>
      </c>
      <c r="BP81" s="239">
        <f t="shared" si="58"/>
        <v>77.333333333333343</v>
      </c>
      <c r="BQ81" s="243">
        <v>50</v>
      </c>
      <c r="BR81" s="241">
        <f t="shared" si="59"/>
        <v>1.5466666666666669</v>
      </c>
      <c r="BS81" s="242">
        <f t="shared" si="60"/>
        <v>4.5809868766666675</v>
      </c>
      <c r="BT81" s="240">
        <v>50</v>
      </c>
      <c r="BV81" s="232" t="s">
        <v>1333</v>
      </c>
      <c r="BW81" s="238">
        <f t="shared" si="61"/>
        <v>3.3070742100000001</v>
      </c>
      <c r="BX81" s="239">
        <f t="shared" si="62"/>
        <v>97.333333333333286</v>
      </c>
      <c r="BY81" s="243">
        <v>35</v>
      </c>
      <c r="BZ81" s="241">
        <f t="shared" si="63"/>
        <v>2.7809523809523795</v>
      </c>
      <c r="CA81" s="242">
        <f t="shared" si="64"/>
        <v>6.0880265909523796</v>
      </c>
      <c r="CB81" s="240">
        <v>35</v>
      </c>
      <c r="CD81" s="232" t="s">
        <v>1333</v>
      </c>
      <c r="CE81" s="238">
        <f t="shared" si="65"/>
        <v>4.3570742100000004</v>
      </c>
      <c r="CF81" s="239">
        <f t="shared" si="66"/>
        <v>103.99999999999994</v>
      </c>
      <c r="CG81" s="243">
        <v>50</v>
      </c>
      <c r="CH81" s="241">
        <f t="shared" si="67"/>
        <v>2.0799999999999987</v>
      </c>
      <c r="CI81" s="242">
        <f t="shared" si="68"/>
        <v>6.4370742099999987</v>
      </c>
      <c r="CJ81" s="244">
        <v>20</v>
      </c>
    </row>
    <row r="82" spans="1:88" ht="30.75" customHeight="1" x14ac:dyDescent="0.3">
      <c r="A82" s="224" t="s">
        <v>200</v>
      </c>
      <c r="B82" s="225" t="s">
        <v>1331</v>
      </c>
      <c r="C82" s="226">
        <v>3.3197999999999999E-3</v>
      </c>
      <c r="D82" s="470">
        <f>PARÂMETROS!$E$21*C82</f>
        <v>7.1148293699999998</v>
      </c>
      <c r="E82" s="470"/>
      <c r="F82" s="228">
        <v>0.01</v>
      </c>
      <c r="G82" s="227">
        <f>F82*PARÂMETROS!$E$22</f>
        <v>0.42369999999999997</v>
      </c>
      <c r="H82" s="228">
        <v>2E-3</v>
      </c>
      <c r="I82" s="227">
        <f>H82*PARÂMETROS!$E$22</f>
        <v>8.4739999999999996E-2</v>
      </c>
      <c r="J82" s="228">
        <f t="shared" si="46"/>
        <v>1E-3</v>
      </c>
      <c r="K82" s="230">
        <f>J82*PARÂMETROS!$E$8</f>
        <v>3.0890000000000001E-2</v>
      </c>
      <c r="L82" s="229">
        <f t="shared" si="47"/>
        <v>2.0000000000000001E-4</v>
      </c>
      <c r="M82" s="230">
        <f>L82*PARÂMETROS!$E$8</f>
        <v>6.1780000000000003E-3</v>
      </c>
      <c r="N82" s="231">
        <v>0.38</v>
      </c>
      <c r="O82" s="230">
        <f>N82*PARÂMETROS!$E$27</f>
        <v>1.1400000000000001</v>
      </c>
      <c r="P82" s="170"/>
      <c r="Q82" s="191"/>
      <c r="R82" s="232" t="s">
        <v>1334</v>
      </c>
      <c r="S82" s="233">
        <f t="shared" si="48"/>
        <v>7.2057473700000001</v>
      </c>
      <c r="U82" s="232" t="s">
        <v>1334</v>
      </c>
      <c r="V82" s="233">
        <f t="shared" si="49"/>
        <v>7.6603373700000006</v>
      </c>
      <c r="X82" s="232" t="s">
        <v>1334</v>
      </c>
      <c r="Y82" s="233">
        <f t="shared" si="50"/>
        <v>8.8003373700000012</v>
      </c>
      <c r="AA82" s="232" t="s">
        <v>1334</v>
      </c>
      <c r="AB82" s="234">
        <f>PARÂMETROS!$H$3</f>
        <v>40</v>
      </c>
      <c r="AC82" s="235">
        <v>2.1527777777777798E-2</v>
      </c>
      <c r="AD82" s="235">
        <v>6.9444444444444397E-3</v>
      </c>
      <c r="AE82" s="235">
        <v>6.9444444444444397E-3</v>
      </c>
      <c r="AF82" s="235">
        <v>6.9444444444444397E-3</v>
      </c>
      <c r="AG82" s="236"/>
      <c r="AH82" s="236"/>
      <c r="AI82" s="235">
        <v>6.9444444444444397E-3</v>
      </c>
      <c r="AJ82" s="235">
        <v>3.125E-2</v>
      </c>
      <c r="AK82" s="237">
        <f t="shared" si="51"/>
        <v>8.0555555555555561E-2</v>
      </c>
      <c r="AL82" s="234">
        <f t="shared" si="52"/>
        <v>77.333333333333343</v>
      </c>
      <c r="AM82" s="193"/>
      <c r="AN82" s="232" t="s">
        <v>1334</v>
      </c>
      <c r="AO82" s="234">
        <f>PARÂMETROS!$H$3</f>
        <v>40</v>
      </c>
      <c r="AP82" s="235">
        <v>2.1527777777777798E-2</v>
      </c>
      <c r="AQ82" s="235">
        <v>6.9444444444444397E-3</v>
      </c>
      <c r="AR82" s="235">
        <v>6.9444444444444397E-3</v>
      </c>
      <c r="AS82" s="235">
        <v>6.9444444444444397E-3</v>
      </c>
      <c r="AT82" s="235">
        <v>2.0833333333333301E-2</v>
      </c>
      <c r="AU82" s="236"/>
      <c r="AV82" s="235">
        <v>6.9444444444444397E-3</v>
      </c>
      <c r="AW82" s="235">
        <v>3.125E-2</v>
      </c>
      <c r="AX82" s="237">
        <f t="shared" si="53"/>
        <v>0.10138888888888885</v>
      </c>
      <c r="AY82" s="234">
        <f t="shared" si="54"/>
        <v>97.333333333333286</v>
      </c>
      <c r="AZ82" s="193"/>
      <c r="BA82" s="232" t="s">
        <v>1334</v>
      </c>
      <c r="BB82" s="234">
        <f>PARÂMETROS!$H$3</f>
        <v>40</v>
      </c>
      <c r="BC82" s="235">
        <v>2.1527777777777798E-2</v>
      </c>
      <c r="BD82" s="235">
        <v>6.9444444444444397E-3</v>
      </c>
      <c r="BE82" s="235">
        <v>6.9444444444444397E-3</v>
      </c>
      <c r="BF82" s="235">
        <v>6.9444444444444397E-3</v>
      </c>
      <c r="BG82" s="235">
        <v>2.0833333333333301E-2</v>
      </c>
      <c r="BH82" s="235">
        <v>6.9444444444444397E-3</v>
      </c>
      <c r="BI82" s="235">
        <v>6.9444444444444397E-3</v>
      </c>
      <c r="BJ82" s="235">
        <v>3.125E-2</v>
      </c>
      <c r="BK82" s="237">
        <f t="shared" si="55"/>
        <v>0.10833333333333328</v>
      </c>
      <c r="BL82" s="234">
        <f t="shared" si="56"/>
        <v>103.99999999999994</v>
      </c>
      <c r="BN82" s="232" t="s">
        <v>1334</v>
      </c>
      <c r="BO82" s="238">
        <f t="shared" si="57"/>
        <v>7.2057473700000001</v>
      </c>
      <c r="BP82" s="239">
        <f t="shared" si="58"/>
        <v>77.333333333333343</v>
      </c>
      <c r="BQ82" s="243">
        <v>30</v>
      </c>
      <c r="BR82" s="241">
        <f t="shared" si="59"/>
        <v>2.5777777777777779</v>
      </c>
      <c r="BS82" s="242">
        <f t="shared" si="60"/>
        <v>9.7835251477777785</v>
      </c>
      <c r="BT82" s="240">
        <v>30</v>
      </c>
      <c r="BV82" s="232" t="s">
        <v>1334</v>
      </c>
      <c r="BW82" s="238">
        <f t="shared" si="61"/>
        <v>7.6603373700000006</v>
      </c>
      <c r="BX82" s="239">
        <f t="shared" si="62"/>
        <v>97.333333333333286</v>
      </c>
      <c r="BY82" s="243">
        <v>25</v>
      </c>
      <c r="BZ82" s="241">
        <f t="shared" si="63"/>
        <v>3.8933333333333313</v>
      </c>
      <c r="CA82" s="242">
        <f t="shared" si="64"/>
        <v>11.553670703333331</v>
      </c>
      <c r="CB82" s="240">
        <v>25</v>
      </c>
      <c r="CD82" s="232" t="s">
        <v>1334</v>
      </c>
      <c r="CE82" s="238">
        <f t="shared" si="65"/>
        <v>8.8003373700000012</v>
      </c>
      <c r="CF82" s="239">
        <f t="shared" si="66"/>
        <v>103.99999999999994</v>
      </c>
      <c r="CG82" s="243">
        <v>50</v>
      </c>
      <c r="CH82" s="241">
        <f t="shared" si="67"/>
        <v>2.0799999999999987</v>
      </c>
      <c r="CI82" s="242">
        <f t="shared" si="68"/>
        <v>10.880337369999999</v>
      </c>
      <c r="CJ82" s="244">
        <v>20</v>
      </c>
    </row>
    <row r="83" spans="1:88" ht="30.75" customHeight="1" x14ac:dyDescent="0.3">
      <c r="A83" s="224" t="s">
        <v>185</v>
      </c>
      <c r="B83" s="225" t="s">
        <v>1331</v>
      </c>
      <c r="C83" s="226">
        <v>6.5046000000000001E-3</v>
      </c>
      <c r="D83" s="470">
        <f>PARÂMETROS!$E$21*C83</f>
        <v>13.94033349</v>
      </c>
      <c r="E83" s="470"/>
      <c r="F83" s="228">
        <v>1.6E-2</v>
      </c>
      <c r="G83" s="227">
        <f>F83*PARÂMETROS!$E$22</f>
        <v>0.67791999999999997</v>
      </c>
      <c r="H83" s="228">
        <v>2E-3</v>
      </c>
      <c r="I83" s="227">
        <f>H83*PARÂMETROS!$E$22</f>
        <v>8.4739999999999996E-2</v>
      </c>
      <c r="J83" s="228">
        <f t="shared" si="46"/>
        <v>1.6000000000000001E-3</v>
      </c>
      <c r="K83" s="230">
        <f>J83*PARÂMETROS!$E$8</f>
        <v>4.9424000000000003E-2</v>
      </c>
      <c r="L83" s="229">
        <f t="shared" si="47"/>
        <v>2.0000000000000001E-4</v>
      </c>
      <c r="M83" s="230">
        <f>L83*PARÂMETROS!$E$8</f>
        <v>6.1780000000000003E-3</v>
      </c>
      <c r="N83" s="231">
        <v>0.46</v>
      </c>
      <c r="O83" s="230">
        <f>N83*PARÂMETROS!$E$27</f>
        <v>1.3800000000000001</v>
      </c>
      <c r="P83" s="170"/>
      <c r="Q83" s="191"/>
      <c r="R83" s="232" t="s">
        <v>1335</v>
      </c>
      <c r="S83" s="233">
        <f t="shared" si="48"/>
        <v>14.031251490000001</v>
      </c>
      <c r="U83" s="232" t="s">
        <v>1335</v>
      </c>
      <c r="V83" s="233">
        <f t="shared" si="49"/>
        <v>14.758595490000001</v>
      </c>
      <c r="X83" s="232" t="s">
        <v>1335</v>
      </c>
      <c r="Y83" s="233">
        <f t="shared" si="50"/>
        <v>16.13859549</v>
      </c>
      <c r="AA83" s="232" t="s">
        <v>1335</v>
      </c>
      <c r="AB83" s="234">
        <f>PARÂMETROS!$H$3</f>
        <v>40</v>
      </c>
      <c r="AC83" s="235">
        <v>2.1527777777777798E-2</v>
      </c>
      <c r="AD83" s="235">
        <v>6.9444444444444397E-3</v>
      </c>
      <c r="AE83" s="235">
        <v>6.9444444444444397E-3</v>
      </c>
      <c r="AF83" s="235">
        <v>6.9444444444444397E-3</v>
      </c>
      <c r="AG83" s="236"/>
      <c r="AH83" s="236"/>
      <c r="AI83" s="235">
        <v>6.9444444444444397E-3</v>
      </c>
      <c r="AJ83" s="235">
        <v>3.125E-2</v>
      </c>
      <c r="AK83" s="237">
        <f t="shared" si="51"/>
        <v>8.0555555555555561E-2</v>
      </c>
      <c r="AL83" s="234">
        <f t="shared" si="52"/>
        <v>77.333333333333343</v>
      </c>
      <c r="AM83" s="193"/>
      <c r="AN83" s="232" t="s">
        <v>1335</v>
      </c>
      <c r="AO83" s="234">
        <f>PARÂMETROS!$H$3</f>
        <v>40</v>
      </c>
      <c r="AP83" s="235">
        <v>2.1527777777777798E-2</v>
      </c>
      <c r="AQ83" s="235">
        <v>6.9444444444444397E-3</v>
      </c>
      <c r="AR83" s="235">
        <v>6.9444444444444397E-3</v>
      </c>
      <c r="AS83" s="235">
        <v>6.9444444444444397E-3</v>
      </c>
      <c r="AT83" s="235">
        <v>2.0833333333333301E-2</v>
      </c>
      <c r="AU83" s="236"/>
      <c r="AV83" s="235">
        <v>6.9444444444444397E-3</v>
      </c>
      <c r="AW83" s="235">
        <v>3.125E-2</v>
      </c>
      <c r="AX83" s="237">
        <f t="shared" si="53"/>
        <v>0.10138888888888885</v>
      </c>
      <c r="AY83" s="234">
        <f t="shared" si="54"/>
        <v>97.333333333333286</v>
      </c>
      <c r="AZ83" s="193"/>
      <c r="BA83" s="232" t="s">
        <v>1335</v>
      </c>
      <c r="BB83" s="234">
        <f>PARÂMETROS!$H$3</f>
        <v>40</v>
      </c>
      <c r="BC83" s="235">
        <v>2.1527777777777798E-2</v>
      </c>
      <c r="BD83" s="235">
        <v>6.9444444444444397E-3</v>
      </c>
      <c r="BE83" s="235">
        <v>6.9444444444444397E-3</v>
      </c>
      <c r="BF83" s="235">
        <v>6.9444444444444397E-3</v>
      </c>
      <c r="BG83" s="235">
        <v>2.0833333333333301E-2</v>
      </c>
      <c r="BH83" s="235">
        <v>6.9444444444444397E-3</v>
      </c>
      <c r="BI83" s="235">
        <v>6.9444444444444397E-3</v>
      </c>
      <c r="BJ83" s="235">
        <v>3.125E-2</v>
      </c>
      <c r="BK83" s="237">
        <f t="shared" si="55"/>
        <v>0.10833333333333328</v>
      </c>
      <c r="BL83" s="234">
        <f t="shared" si="56"/>
        <v>103.99999999999994</v>
      </c>
      <c r="BN83" s="232" t="s">
        <v>1335</v>
      </c>
      <c r="BO83" s="238">
        <f t="shared" si="57"/>
        <v>14.031251490000001</v>
      </c>
      <c r="BP83" s="239">
        <f t="shared" si="58"/>
        <v>77.333333333333343</v>
      </c>
      <c r="BQ83" s="243">
        <v>30</v>
      </c>
      <c r="BR83" s="241">
        <f t="shared" si="59"/>
        <v>2.5777777777777779</v>
      </c>
      <c r="BS83" s="242">
        <f t="shared" si="60"/>
        <v>16.609029267777778</v>
      </c>
      <c r="BT83" s="240">
        <v>30</v>
      </c>
      <c r="BV83" s="232" t="s">
        <v>1335</v>
      </c>
      <c r="BW83" s="238">
        <f t="shared" si="61"/>
        <v>14.758595490000001</v>
      </c>
      <c r="BX83" s="239">
        <f t="shared" si="62"/>
        <v>97.333333333333286</v>
      </c>
      <c r="BY83" s="243">
        <v>25</v>
      </c>
      <c r="BZ83" s="241">
        <f t="shared" si="63"/>
        <v>3.8933333333333313</v>
      </c>
      <c r="CA83" s="242">
        <f t="shared" si="64"/>
        <v>18.651928823333332</v>
      </c>
      <c r="CB83" s="240">
        <v>25</v>
      </c>
      <c r="CD83" s="232" t="s">
        <v>1335</v>
      </c>
      <c r="CE83" s="238">
        <f t="shared" si="65"/>
        <v>16.13859549</v>
      </c>
      <c r="CF83" s="239">
        <f t="shared" si="66"/>
        <v>103.99999999999994</v>
      </c>
      <c r="CG83" s="243">
        <v>30</v>
      </c>
      <c r="CH83" s="241">
        <f t="shared" si="67"/>
        <v>3.4666666666666646</v>
      </c>
      <c r="CI83" s="242">
        <f t="shared" si="68"/>
        <v>19.605262156666665</v>
      </c>
      <c r="CJ83" s="244">
        <v>15</v>
      </c>
    </row>
    <row r="84" spans="1:88" ht="30.75" customHeight="1" x14ac:dyDescent="0.3">
      <c r="A84" s="224" t="s">
        <v>39</v>
      </c>
      <c r="B84" s="225" t="s">
        <v>1331</v>
      </c>
      <c r="C84" s="226">
        <v>1.7786099999999999E-2</v>
      </c>
      <c r="D84" s="470">
        <f>PARÂMETROS!$E$21*C84</f>
        <v>38.118280214999999</v>
      </c>
      <c r="E84" s="470"/>
      <c r="F84" s="228">
        <v>3.1E-2</v>
      </c>
      <c r="G84" s="227">
        <f>F84*PARÂMETROS!$E$22</f>
        <v>1.3134699999999999</v>
      </c>
      <c r="H84" s="228">
        <v>2E-3</v>
      </c>
      <c r="I84" s="227">
        <f>H84*PARÂMETROS!$E$22</f>
        <v>8.4739999999999996E-2</v>
      </c>
      <c r="J84" s="228">
        <f t="shared" si="46"/>
        <v>3.1000000000000003E-3</v>
      </c>
      <c r="K84" s="230">
        <f>J84*PARÂMETROS!$E$8</f>
        <v>9.5759000000000011E-2</v>
      </c>
      <c r="L84" s="229">
        <f t="shared" si="47"/>
        <v>2.0000000000000001E-4</v>
      </c>
      <c r="M84" s="230">
        <f>L84*PARÂMETROS!$E$8</f>
        <v>6.1780000000000003E-3</v>
      </c>
      <c r="N84" s="231">
        <v>0.86</v>
      </c>
      <c r="O84" s="230">
        <f>N84*PARÂMETROS!$E$27</f>
        <v>2.58</v>
      </c>
      <c r="P84" s="170"/>
      <c r="Q84" s="191"/>
      <c r="R84" s="232" t="s">
        <v>1336</v>
      </c>
      <c r="S84" s="233">
        <f t="shared" si="48"/>
        <v>38.209198214999994</v>
      </c>
      <c r="U84" s="232" t="s">
        <v>1336</v>
      </c>
      <c r="V84" s="233">
        <f t="shared" si="49"/>
        <v>39.618427214999997</v>
      </c>
      <c r="X84" s="232" t="s">
        <v>1336</v>
      </c>
      <c r="Y84" s="233">
        <f t="shared" si="50"/>
        <v>42.198427214999995</v>
      </c>
      <c r="AA84" s="232" t="s">
        <v>1336</v>
      </c>
      <c r="AB84" s="234">
        <f>PARÂMETROS!$H$3</f>
        <v>40</v>
      </c>
      <c r="AC84" s="235">
        <v>2.1527777777777798E-2</v>
      </c>
      <c r="AD84" s="235">
        <v>6.9444444444444397E-3</v>
      </c>
      <c r="AE84" s="235">
        <v>6.9444444444444397E-3</v>
      </c>
      <c r="AF84" s="235">
        <v>6.9444444444444397E-3</v>
      </c>
      <c r="AG84" s="236"/>
      <c r="AH84" s="236"/>
      <c r="AI84" s="235">
        <v>6.9444444444444397E-3</v>
      </c>
      <c r="AJ84" s="235">
        <v>3.125E-2</v>
      </c>
      <c r="AK84" s="237">
        <f t="shared" si="51"/>
        <v>8.0555555555555561E-2</v>
      </c>
      <c r="AL84" s="234">
        <f t="shared" si="52"/>
        <v>77.333333333333343</v>
      </c>
      <c r="AM84" s="193"/>
      <c r="AN84" s="232" t="s">
        <v>1336</v>
      </c>
      <c r="AO84" s="234">
        <f>PARÂMETROS!$H$3</f>
        <v>40</v>
      </c>
      <c r="AP84" s="235">
        <v>2.1527777777777798E-2</v>
      </c>
      <c r="AQ84" s="235">
        <v>6.9444444444444397E-3</v>
      </c>
      <c r="AR84" s="235">
        <v>6.9444444444444397E-3</v>
      </c>
      <c r="AS84" s="235">
        <v>6.9444444444444397E-3</v>
      </c>
      <c r="AT84" s="235">
        <v>2.0833333333333301E-2</v>
      </c>
      <c r="AU84" s="236"/>
      <c r="AV84" s="235">
        <v>6.9444444444444397E-3</v>
      </c>
      <c r="AW84" s="235">
        <v>3.125E-2</v>
      </c>
      <c r="AX84" s="237">
        <f t="shared" si="53"/>
        <v>0.10138888888888885</v>
      </c>
      <c r="AY84" s="234">
        <f t="shared" si="54"/>
        <v>97.333333333333286</v>
      </c>
      <c r="AZ84" s="193"/>
      <c r="BA84" s="232" t="s">
        <v>1336</v>
      </c>
      <c r="BB84" s="234">
        <f>PARÂMETROS!$H$3</f>
        <v>40</v>
      </c>
      <c r="BC84" s="235">
        <v>2.1527777777777798E-2</v>
      </c>
      <c r="BD84" s="235">
        <v>6.9444444444444397E-3</v>
      </c>
      <c r="BE84" s="235">
        <v>6.9444444444444397E-3</v>
      </c>
      <c r="BF84" s="235">
        <v>6.9444444444444397E-3</v>
      </c>
      <c r="BG84" s="235">
        <v>2.0833333333333301E-2</v>
      </c>
      <c r="BH84" s="235">
        <v>6.9444444444444397E-3</v>
      </c>
      <c r="BI84" s="235">
        <v>6.9444444444444397E-3</v>
      </c>
      <c r="BJ84" s="235">
        <v>3.125E-2</v>
      </c>
      <c r="BK84" s="237">
        <f t="shared" si="55"/>
        <v>0.10833333333333328</v>
      </c>
      <c r="BL84" s="234">
        <f t="shared" si="56"/>
        <v>103.99999999999994</v>
      </c>
      <c r="BN84" s="232" t="s">
        <v>1336</v>
      </c>
      <c r="BO84" s="238">
        <f t="shared" si="57"/>
        <v>38.209198214999994</v>
      </c>
      <c r="BP84" s="239">
        <f t="shared" si="58"/>
        <v>77.333333333333343</v>
      </c>
      <c r="BQ84" s="243">
        <v>30</v>
      </c>
      <c r="BR84" s="241">
        <f t="shared" si="59"/>
        <v>2.5777777777777779</v>
      </c>
      <c r="BS84" s="242">
        <f t="shared" si="60"/>
        <v>40.786975992777769</v>
      </c>
      <c r="BT84" s="240">
        <v>30</v>
      </c>
      <c r="BV84" s="232" t="s">
        <v>1336</v>
      </c>
      <c r="BW84" s="238">
        <f t="shared" si="61"/>
        <v>39.618427214999997</v>
      </c>
      <c r="BX84" s="239">
        <f t="shared" si="62"/>
        <v>97.333333333333286</v>
      </c>
      <c r="BY84" s="243">
        <v>25</v>
      </c>
      <c r="BZ84" s="241">
        <f t="shared" si="63"/>
        <v>3.8933333333333313</v>
      </c>
      <c r="CA84" s="242">
        <f t="shared" si="64"/>
        <v>43.511760548333328</v>
      </c>
      <c r="CB84" s="240">
        <v>25</v>
      </c>
      <c r="CD84" s="232" t="s">
        <v>1336</v>
      </c>
      <c r="CE84" s="238">
        <f t="shared" si="65"/>
        <v>42.198427214999995</v>
      </c>
      <c r="CF84" s="239">
        <f t="shared" si="66"/>
        <v>103.99999999999994</v>
      </c>
      <c r="CG84" s="243">
        <v>20</v>
      </c>
      <c r="CH84" s="241">
        <f t="shared" si="67"/>
        <v>5.1999999999999975</v>
      </c>
      <c r="CI84" s="242">
        <f t="shared" si="68"/>
        <v>47.398427214999991</v>
      </c>
      <c r="CJ84" s="244">
        <v>15</v>
      </c>
    </row>
    <row r="85" spans="1:88" ht="30.75" customHeight="1" x14ac:dyDescent="0.3">
      <c r="A85" s="224" t="s">
        <v>300</v>
      </c>
      <c r="B85" s="225" t="s">
        <v>1331</v>
      </c>
      <c r="C85" s="226">
        <v>2.6480900000000002E-2</v>
      </c>
      <c r="D85" s="470">
        <f>PARÂMETROS!$E$21*C85</f>
        <v>56.752540835000005</v>
      </c>
      <c r="E85" s="470"/>
      <c r="F85" s="228">
        <v>3.6999999999999998E-2</v>
      </c>
      <c r="G85" s="227">
        <f>F85*PARÂMETROS!$E$22</f>
        <v>1.5676899999999998</v>
      </c>
      <c r="H85" s="228">
        <v>2E-3</v>
      </c>
      <c r="I85" s="227">
        <f>H85*PARÂMETROS!$E$22</f>
        <v>8.4739999999999996E-2</v>
      </c>
      <c r="J85" s="228">
        <f t="shared" si="46"/>
        <v>3.7000000000000002E-3</v>
      </c>
      <c r="K85" s="230">
        <f>J85*PARÂMETROS!$E$8</f>
        <v>0.11429300000000001</v>
      </c>
      <c r="L85" s="229">
        <f t="shared" si="47"/>
        <v>2.0000000000000001E-4</v>
      </c>
      <c r="M85" s="230">
        <f>L85*PARÂMETROS!$E$8</f>
        <v>6.1780000000000003E-3</v>
      </c>
      <c r="N85" s="231">
        <v>0.9</v>
      </c>
      <c r="O85" s="230">
        <f>N85*PARÂMETROS!$E$27</f>
        <v>2.7</v>
      </c>
      <c r="P85" s="170"/>
      <c r="Q85" s="191"/>
      <c r="R85" s="232" t="s">
        <v>1337</v>
      </c>
      <c r="S85" s="233">
        <f t="shared" si="48"/>
        <v>56.843458835</v>
      </c>
      <c r="U85" s="232" t="s">
        <v>1337</v>
      </c>
      <c r="V85" s="233">
        <f t="shared" si="49"/>
        <v>58.525441835000002</v>
      </c>
      <c r="X85" s="232" t="s">
        <v>1337</v>
      </c>
      <c r="Y85" s="233">
        <f t="shared" si="50"/>
        <v>61.225441835000005</v>
      </c>
      <c r="AA85" s="232" t="s">
        <v>1337</v>
      </c>
      <c r="AB85" s="234">
        <f>PARÂMETROS!$H$3</f>
        <v>40</v>
      </c>
      <c r="AC85" s="235">
        <v>2.1527777777777798E-2</v>
      </c>
      <c r="AD85" s="235">
        <v>6.9444444444444397E-3</v>
      </c>
      <c r="AE85" s="235">
        <v>1.0416666666666701E-2</v>
      </c>
      <c r="AF85" s="235">
        <v>6.9444444444444397E-3</v>
      </c>
      <c r="AG85" s="236"/>
      <c r="AH85" s="236"/>
      <c r="AI85" s="235">
        <v>6.9444444444444397E-3</v>
      </c>
      <c r="AJ85" s="235">
        <v>3.125E-2</v>
      </c>
      <c r="AK85" s="237">
        <f t="shared" si="51"/>
        <v>8.4027777777777812E-2</v>
      </c>
      <c r="AL85" s="234">
        <f t="shared" si="52"/>
        <v>80.6666666666667</v>
      </c>
      <c r="AM85" s="193"/>
      <c r="AN85" s="232" t="s">
        <v>1337</v>
      </c>
      <c r="AO85" s="234">
        <f>PARÂMETROS!$H$3</f>
        <v>40</v>
      </c>
      <c r="AP85" s="235">
        <v>2.1527777777777798E-2</v>
      </c>
      <c r="AQ85" s="235">
        <v>6.9444444444444397E-3</v>
      </c>
      <c r="AR85" s="235">
        <v>1.0416666666666701E-2</v>
      </c>
      <c r="AS85" s="235">
        <v>6.9444444444444397E-3</v>
      </c>
      <c r="AT85" s="235">
        <v>2.0833333333333301E-2</v>
      </c>
      <c r="AU85" s="236"/>
      <c r="AV85" s="235">
        <v>6.9444444444444397E-3</v>
      </c>
      <c r="AW85" s="235">
        <v>3.125E-2</v>
      </c>
      <c r="AX85" s="237">
        <f t="shared" si="53"/>
        <v>0.10486111111111111</v>
      </c>
      <c r="AY85" s="234">
        <f t="shared" si="54"/>
        <v>100.66666666666667</v>
      </c>
      <c r="AZ85" s="193"/>
      <c r="BA85" s="232" t="s">
        <v>1337</v>
      </c>
      <c r="BB85" s="234">
        <f>PARÂMETROS!$H$3</f>
        <v>40</v>
      </c>
      <c r="BC85" s="235">
        <v>2.1527777777777798E-2</v>
      </c>
      <c r="BD85" s="235">
        <v>6.9444444444444397E-3</v>
      </c>
      <c r="BE85" s="235">
        <v>1.0416666666666701E-2</v>
      </c>
      <c r="BF85" s="235">
        <v>6.9444444444444397E-3</v>
      </c>
      <c r="BG85" s="235">
        <v>2.0833333333333301E-2</v>
      </c>
      <c r="BH85" s="235">
        <v>6.9444444444444397E-3</v>
      </c>
      <c r="BI85" s="235">
        <v>6.9444444444444397E-3</v>
      </c>
      <c r="BJ85" s="235">
        <v>3.125E-2</v>
      </c>
      <c r="BK85" s="237">
        <f t="shared" si="55"/>
        <v>0.11180555555555555</v>
      </c>
      <c r="BL85" s="234">
        <f t="shared" si="56"/>
        <v>107.33333333333331</v>
      </c>
      <c r="BN85" s="232" t="s">
        <v>1337</v>
      </c>
      <c r="BO85" s="238">
        <f t="shared" si="57"/>
        <v>56.843458835</v>
      </c>
      <c r="BP85" s="239">
        <f t="shared" si="58"/>
        <v>80.6666666666667</v>
      </c>
      <c r="BQ85" s="243">
        <v>30</v>
      </c>
      <c r="BR85" s="241">
        <f t="shared" si="59"/>
        <v>2.68888888888889</v>
      </c>
      <c r="BS85" s="242">
        <f t="shared" si="60"/>
        <v>59.53234772388889</v>
      </c>
      <c r="BT85" s="240">
        <v>30</v>
      </c>
      <c r="BV85" s="232" t="s">
        <v>1337</v>
      </c>
      <c r="BW85" s="238">
        <f t="shared" si="61"/>
        <v>58.525441835000002</v>
      </c>
      <c r="BX85" s="239">
        <f t="shared" si="62"/>
        <v>100.66666666666667</v>
      </c>
      <c r="BY85" s="243">
        <v>25</v>
      </c>
      <c r="BZ85" s="241">
        <f t="shared" si="63"/>
        <v>4.0266666666666673</v>
      </c>
      <c r="CA85" s="242">
        <f t="shared" si="64"/>
        <v>62.552108501666666</v>
      </c>
      <c r="CB85" s="240">
        <v>25</v>
      </c>
      <c r="CD85" s="232" t="s">
        <v>1337</v>
      </c>
      <c r="CE85" s="238">
        <f t="shared" si="65"/>
        <v>61.225441835000005</v>
      </c>
      <c r="CF85" s="239">
        <f t="shared" si="66"/>
        <v>107.33333333333331</v>
      </c>
      <c r="CG85" s="243">
        <v>20</v>
      </c>
      <c r="CH85" s="241">
        <f t="shared" si="67"/>
        <v>5.3666666666666654</v>
      </c>
      <c r="CI85" s="242">
        <f t="shared" si="68"/>
        <v>66.592108501666672</v>
      </c>
      <c r="CJ85" s="244">
        <v>15</v>
      </c>
    </row>
    <row r="86" spans="1:88" ht="30.75" customHeight="1" x14ac:dyDescent="0.3">
      <c r="A86" s="224" t="s">
        <v>41</v>
      </c>
      <c r="B86" s="225" t="s">
        <v>1331</v>
      </c>
      <c r="C86" s="226">
        <v>3.7610499999999998E-2</v>
      </c>
      <c r="D86" s="470">
        <f>PARÂMETROS!$E$21*C86</f>
        <v>80.604943074999994</v>
      </c>
      <c r="E86" s="470"/>
      <c r="F86" s="228">
        <v>5.0999999999999997E-2</v>
      </c>
      <c r="G86" s="227">
        <f>F86*PARÂMETROS!$E$22</f>
        <v>2.1608699999999996</v>
      </c>
      <c r="H86" s="228">
        <v>2E-3</v>
      </c>
      <c r="I86" s="227">
        <f>H86*PARÂMETROS!$E$22</f>
        <v>8.4739999999999996E-2</v>
      </c>
      <c r="J86" s="228">
        <f t="shared" si="46"/>
        <v>5.1000000000000004E-3</v>
      </c>
      <c r="K86" s="230">
        <f>J86*PARÂMETROS!$E$8</f>
        <v>0.15753900000000001</v>
      </c>
      <c r="L86" s="229">
        <f t="shared" si="47"/>
        <v>2.0000000000000001E-4</v>
      </c>
      <c r="M86" s="230">
        <f>L86*PARÂMETROS!$E$8</f>
        <v>6.1780000000000003E-3</v>
      </c>
      <c r="N86" s="231">
        <v>0.96</v>
      </c>
      <c r="O86" s="230">
        <f>N86*PARÂMETROS!$E$27</f>
        <v>2.88</v>
      </c>
      <c r="P86" s="170"/>
      <c r="Q86" s="191"/>
      <c r="R86" s="232" t="s">
        <v>1338</v>
      </c>
      <c r="S86" s="233">
        <f t="shared" si="48"/>
        <v>80.695861074999996</v>
      </c>
      <c r="U86" s="232" t="s">
        <v>1338</v>
      </c>
      <c r="V86" s="233">
        <f t="shared" si="49"/>
        <v>83.014270074999999</v>
      </c>
      <c r="X86" s="232" t="s">
        <v>1338</v>
      </c>
      <c r="Y86" s="233">
        <f t="shared" si="50"/>
        <v>85.894270074999994</v>
      </c>
      <c r="AA86" s="232" t="s">
        <v>1338</v>
      </c>
      <c r="AB86" s="234">
        <f>PARÂMETROS!$H$3</f>
        <v>40</v>
      </c>
      <c r="AC86" s="235">
        <v>2.1527777777777798E-2</v>
      </c>
      <c r="AD86" s="235">
        <v>6.9444444444444397E-3</v>
      </c>
      <c r="AE86" s="235">
        <v>1.0416666666666701E-2</v>
      </c>
      <c r="AF86" s="235">
        <v>6.9444444444444397E-3</v>
      </c>
      <c r="AG86" s="236"/>
      <c r="AH86" s="236"/>
      <c r="AI86" s="235">
        <v>6.9444444444444397E-3</v>
      </c>
      <c r="AJ86" s="235">
        <v>3.125E-2</v>
      </c>
      <c r="AK86" s="237">
        <f t="shared" si="51"/>
        <v>8.4027777777777812E-2</v>
      </c>
      <c r="AL86" s="234">
        <f t="shared" si="52"/>
        <v>80.6666666666667</v>
      </c>
      <c r="AM86" s="193"/>
      <c r="AN86" s="232" t="s">
        <v>1338</v>
      </c>
      <c r="AO86" s="234">
        <f>PARÂMETROS!$H$3</f>
        <v>40</v>
      </c>
      <c r="AP86" s="235">
        <v>2.1527777777777798E-2</v>
      </c>
      <c r="AQ86" s="235">
        <v>6.9444444444444397E-3</v>
      </c>
      <c r="AR86" s="235">
        <v>1.0416666666666701E-2</v>
      </c>
      <c r="AS86" s="235">
        <v>6.9444444444444397E-3</v>
      </c>
      <c r="AT86" s="235">
        <v>2.0833333333333301E-2</v>
      </c>
      <c r="AU86" s="236"/>
      <c r="AV86" s="235">
        <v>6.9444444444444397E-3</v>
      </c>
      <c r="AW86" s="235">
        <v>3.125E-2</v>
      </c>
      <c r="AX86" s="237">
        <f t="shared" si="53"/>
        <v>0.10486111111111111</v>
      </c>
      <c r="AY86" s="234">
        <f t="shared" si="54"/>
        <v>100.66666666666667</v>
      </c>
      <c r="AZ86" s="193"/>
      <c r="BA86" s="232" t="s">
        <v>1338</v>
      </c>
      <c r="BB86" s="234">
        <f>PARÂMETROS!$H$3</f>
        <v>40</v>
      </c>
      <c r="BC86" s="235">
        <v>2.1527777777777798E-2</v>
      </c>
      <c r="BD86" s="235">
        <v>6.9444444444444397E-3</v>
      </c>
      <c r="BE86" s="235">
        <v>1.0416666666666701E-2</v>
      </c>
      <c r="BF86" s="235">
        <v>6.9444444444444397E-3</v>
      </c>
      <c r="BG86" s="235">
        <v>2.0833333333333301E-2</v>
      </c>
      <c r="BH86" s="235">
        <v>6.9444444444444397E-3</v>
      </c>
      <c r="BI86" s="235">
        <v>6.9444444444444397E-3</v>
      </c>
      <c r="BJ86" s="235">
        <v>3.125E-2</v>
      </c>
      <c r="BK86" s="237">
        <f t="shared" si="55"/>
        <v>0.11180555555555555</v>
      </c>
      <c r="BL86" s="234">
        <f t="shared" si="56"/>
        <v>107.33333333333331</v>
      </c>
      <c r="BN86" s="232" t="s">
        <v>1338</v>
      </c>
      <c r="BO86" s="238">
        <f t="shared" si="57"/>
        <v>80.695861074999996</v>
      </c>
      <c r="BP86" s="239">
        <f t="shared" si="58"/>
        <v>80.6666666666667</v>
      </c>
      <c r="BQ86" s="243">
        <v>20</v>
      </c>
      <c r="BR86" s="241">
        <f t="shared" si="59"/>
        <v>4.033333333333335</v>
      </c>
      <c r="BS86" s="242">
        <f t="shared" si="60"/>
        <v>84.729194408333328</v>
      </c>
      <c r="BT86" s="240">
        <v>20</v>
      </c>
      <c r="BV86" s="232" t="s">
        <v>1338</v>
      </c>
      <c r="BW86" s="238">
        <f t="shared" si="61"/>
        <v>83.014270074999999</v>
      </c>
      <c r="BX86" s="239">
        <f t="shared" si="62"/>
        <v>100.66666666666667</v>
      </c>
      <c r="BY86" s="243">
        <v>15</v>
      </c>
      <c r="BZ86" s="241">
        <f t="shared" si="63"/>
        <v>6.7111111111111112</v>
      </c>
      <c r="CA86" s="242">
        <f t="shared" si="64"/>
        <v>89.725381186111107</v>
      </c>
      <c r="CB86" s="240">
        <v>15</v>
      </c>
      <c r="CD86" s="232" t="s">
        <v>1338</v>
      </c>
      <c r="CE86" s="238">
        <f t="shared" si="65"/>
        <v>85.894270074999994</v>
      </c>
      <c r="CF86" s="239">
        <f t="shared" si="66"/>
        <v>107.33333333333331</v>
      </c>
      <c r="CG86" s="243">
        <v>15</v>
      </c>
      <c r="CH86" s="241">
        <f t="shared" si="67"/>
        <v>7.1555555555555541</v>
      </c>
      <c r="CI86" s="242">
        <f t="shared" si="68"/>
        <v>93.049825630555546</v>
      </c>
      <c r="CJ86" s="244">
        <v>10</v>
      </c>
    </row>
    <row r="87" spans="1:88" ht="30.75" customHeight="1" x14ac:dyDescent="0.3">
      <c r="A87" s="224" t="s">
        <v>43</v>
      </c>
      <c r="B87" s="225" t="s">
        <v>1331</v>
      </c>
      <c r="C87" s="226">
        <v>6.8370299999999995E-2</v>
      </c>
      <c r="D87" s="470">
        <f>PARÂMETROS!$E$21*C87</f>
        <v>146.52780844500001</v>
      </c>
      <c r="E87" s="470"/>
      <c r="F87" s="228">
        <v>7.4999999999999997E-2</v>
      </c>
      <c r="G87" s="227">
        <f>F87*PARÂMETROS!$E$22</f>
        <v>3.1777499999999996</v>
      </c>
      <c r="H87" s="228">
        <v>2E-3</v>
      </c>
      <c r="I87" s="227">
        <f>H87*PARÂMETROS!$E$22</f>
        <v>8.4739999999999996E-2</v>
      </c>
      <c r="J87" s="228">
        <f t="shared" si="46"/>
        <v>7.4999999999999997E-3</v>
      </c>
      <c r="K87" s="230">
        <f>J87*PARÂMETROS!$E$8</f>
        <v>0.23167499999999999</v>
      </c>
      <c r="L87" s="229">
        <f t="shared" si="47"/>
        <v>2.0000000000000001E-4</v>
      </c>
      <c r="M87" s="230">
        <f>L87*PARÂMETROS!$E$8</f>
        <v>6.1780000000000003E-3</v>
      </c>
      <c r="N87" s="231">
        <v>1.06</v>
      </c>
      <c r="O87" s="230">
        <f>N87*PARÂMETROS!$E$27</f>
        <v>3.18</v>
      </c>
      <c r="P87" s="170"/>
      <c r="Q87" s="191"/>
      <c r="R87" s="232" t="s">
        <v>1339</v>
      </c>
      <c r="S87" s="233">
        <f t="shared" si="48"/>
        <v>146.61872644500002</v>
      </c>
      <c r="U87" s="232" t="s">
        <v>1339</v>
      </c>
      <c r="V87" s="233">
        <f t="shared" si="49"/>
        <v>150.02815144500002</v>
      </c>
      <c r="X87" s="232" t="s">
        <v>1339</v>
      </c>
      <c r="Y87" s="233">
        <f t="shared" si="50"/>
        <v>153.20815144500003</v>
      </c>
      <c r="AA87" s="232" t="s">
        <v>1339</v>
      </c>
      <c r="AB87" s="234">
        <f>PARÂMETROS!$H$3</f>
        <v>40</v>
      </c>
      <c r="AC87" s="235">
        <v>2.1527777777777798E-2</v>
      </c>
      <c r="AD87" s="235">
        <v>6.9444444444444397E-3</v>
      </c>
      <c r="AE87" s="235">
        <v>1.0416666666666701E-2</v>
      </c>
      <c r="AF87" s="235">
        <v>6.9444444444444397E-3</v>
      </c>
      <c r="AG87" s="236"/>
      <c r="AH87" s="236"/>
      <c r="AI87" s="235">
        <v>6.9444444444444397E-3</v>
      </c>
      <c r="AJ87" s="235">
        <v>3.125E-2</v>
      </c>
      <c r="AK87" s="237">
        <f t="shared" si="51"/>
        <v>8.4027777777777812E-2</v>
      </c>
      <c r="AL87" s="234">
        <f t="shared" si="52"/>
        <v>80.6666666666667</v>
      </c>
      <c r="AM87" s="193"/>
      <c r="AN87" s="232" t="s">
        <v>1339</v>
      </c>
      <c r="AO87" s="234">
        <f>PARÂMETROS!$H$3</f>
        <v>40</v>
      </c>
      <c r="AP87" s="235">
        <v>2.1527777777777798E-2</v>
      </c>
      <c r="AQ87" s="235">
        <v>6.9444444444444397E-3</v>
      </c>
      <c r="AR87" s="235">
        <v>1.0416666666666701E-2</v>
      </c>
      <c r="AS87" s="235">
        <v>6.9444444444444397E-3</v>
      </c>
      <c r="AT87" s="235">
        <v>2.0833333333333301E-2</v>
      </c>
      <c r="AU87" s="236"/>
      <c r="AV87" s="235">
        <v>6.9444444444444397E-3</v>
      </c>
      <c r="AW87" s="235">
        <v>3.125E-2</v>
      </c>
      <c r="AX87" s="237">
        <f t="shared" si="53"/>
        <v>0.10486111111111111</v>
      </c>
      <c r="AY87" s="234">
        <f t="shared" si="54"/>
        <v>100.66666666666667</v>
      </c>
      <c r="AZ87" s="193"/>
      <c r="BA87" s="232" t="s">
        <v>1339</v>
      </c>
      <c r="BB87" s="234">
        <f>PARÂMETROS!$H$3</f>
        <v>40</v>
      </c>
      <c r="BC87" s="235">
        <v>2.1527777777777798E-2</v>
      </c>
      <c r="BD87" s="235">
        <v>6.9444444444444397E-3</v>
      </c>
      <c r="BE87" s="235">
        <v>1.0416666666666701E-2</v>
      </c>
      <c r="BF87" s="235">
        <v>6.9444444444444397E-3</v>
      </c>
      <c r="BG87" s="235">
        <v>2.0833333333333301E-2</v>
      </c>
      <c r="BH87" s="235">
        <v>6.9444444444444397E-3</v>
      </c>
      <c r="BI87" s="235">
        <v>6.9444444444444397E-3</v>
      </c>
      <c r="BJ87" s="235">
        <v>3.125E-2</v>
      </c>
      <c r="BK87" s="237">
        <f t="shared" si="55"/>
        <v>0.11180555555555555</v>
      </c>
      <c r="BL87" s="234">
        <f t="shared" si="56"/>
        <v>107.33333333333331</v>
      </c>
      <c r="BN87" s="232" t="s">
        <v>1339</v>
      </c>
      <c r="BO87" s="238">
        <f t="shared" si="57"/>
        <v>146.61872644500002</v>
      </c>
      <c r="BP87" s="239">
        <f t="shared" si="58"/>
        <v>80.6666666666667</v>
      </c>
      <c r="BQ87" s="243">
        <v>20</v>
      </c>
      <c r="BR87" s="241">
        <f t="shared" si="59"/>
        <v>4.033333333333335</v>
      </c>
      <c r="BS87" s="242">
        <f t="shared" si="60"/>
        <v>150.65205977833335</v>
      </c>
      <c r="BT87" s="240">
        <v>20</v>
      </c>
      <c r="BV87" s="232" t="s">
        <v>1339</v>
      </c>
      <c r="BW87" s="238">
        <f t="shared" si="61"/>
        <v>150.02815144500002</v>
      </c>
      <c r="BX87" s="239">
        <f t="shared" si="62"/>
        <v>100.66666666666667</v>
      </c>
      <c r="BY87" s="243">
        <v>15</v>
      </c>
      <c r="BZ87" s="241">
        <f t="shared" si="63"/>
        <v>6.7111111111111112</v>
      </c>
      <c r="CA87" s="242">
        <f t="shared" si="64"/>
        <v>156.73926255611113</v>
      </c>
      <c r="CB87" s="240">
        <v>15</v>
      </c>
      <c r="CD87" s="232" t="s">
        <v>1339</v>
      </c>
      <c r="CE87" s="238">
        <f t="shared" si="65"/>
        <v>153.20815144500003</v>
      </c>
      <c r="CF87" s="239">
        <f t="shared" si="66"/>
        <v>107.33333333333331</v>
      </c>
      <c r="CG87" s="243">
        <v>15</v>
      </c>
      <c r="CH87" s="241">
        <f t="shared" si="67"/>
        <v>7.1555555555555541</v>
      </c>
      <c r="CI87" s="242">
        <f t="shared" si="68"/>
        <v>160.36370700055559</v>
      </c>
      <c r="CJ87" s="244">
        <v>10</v>
      </c>
    </row>
    <row r="88" spans="1:88" ht="30.75" customHeight="1" x14ac:dyDescent="0.3">
      <c r="A88" s="224" t="s">
        <v>45</v>
      </c>
      <c r="B88" s="225" t="s">
        <v>1331</v>
      </c>
      <c r="C88" s="226">
        <v>0.1234582</v>
      </c>
      <c r="D88" s="470">
        <f>PARÂMETROS!$E$21*C88</f>
        <v>264.58944133</v>
      </c>
      <c r="E88" s="470"/>
      <c r="F88" s="228">
        <v>0.105</v>
      </c>
      <c r="G88" s="227">
        <f>F88*PARÂMETROS!$E$22</f>
        <v>4.4488499999999993</v>
      </c>
      <c r="H88" s="228">
        <v>2E-3</v>
      </c>
      <c r="I88" s="227">
        <f>H88*PARÂMETROS!$E$22</f>
        <v>8.4739999999999996E-2</v>
      </c>
      <c r="J88" s="228">
        <f t="shared" si="46"/>
        <v>1.0500000000000001E-2</v>
      </c>
      <c r="K88" s="230">
        <f>J88*PARÂMETROS!$E$8</f>
        <v>0.32434500000000005</v>
      </c>
      <c r="L88" s="229">
        <f t="shared" si="47"/>
        <v>2.0000000000000001E-4</v>
      </c>
      <c r="M88" s="230">
        <f>L88*PARÂMETROS!$E$8</f>
        <v>6.1780000000000003E-3</v>
      </c>
      <c r="N88" s="231">
        <v>1.1599999999999999</v>
      </c>
      <c r="O88" s="230">
        <f>N88*PARÂMETROS!$E$27</f>
        <v>3.4799999999999995</v>
      </c>
      <c r="P88" s="170"/>
      <c r="Q88" s="191"/>
      <c r="R88" s="232" t="s">
        <v>1340</v>
      </c>
      <c r="S88" s="233">
        <f t="shared" si="48"/>
        <v>264.68035932999999</v>
      </c>
      <c r="U88" s="232" t="s">
        <v>1340</v>
      </c>
      <c r="V88" s="233">
        <f t="shared" si="49"/>
        <v>269.45355432999997</v>
      </c>
      <c r="X88" s="232" t="s">
        <v>1340</v>
      </c>
      <c r="Y88" s="233">
        <f t="shared" si="50"/>
        <v>272.93355432999999</v>
      </c>
      <c r="AA88" s="232" t="s">
        <v>1340</v>
      </c>
      <c r="AB88" s="234">
        <f>PARÂMETROS!$H$3</f>
        <v>40</v>
      </c>
      <c r="AC88" s="235">
        <v>2.1527777777777798E-2</v>
      </c>
      <c r="AD88" s="235">
        <v>6.9444444444444397E-3</v>
      </c>
      <c r="AE88" s="235">
        <v>1.0416666666666701E-2</v>
      </c>
      <c r="AF88" s="235">
        <v>6.9444444444444397E-3</v>
      </c>
      <c r="AG88" s="236"/>
      <c r="AH88" s="236"/>
      <c r="AI88" s="235">
        <v>6.9444444444444397E-3</v>
      </c>
      <c r="AJ88" s="235">
        <v>3.125E-2</v>
      </c>
      <c r="AK88" s="237">
        <f t="shared" si="51"/>
        <v>8.4027777777777812E-2</v>
      </c>
      <c r="AL88" s="234">
        <f t="shared" si="52"/>
        <v>80.6666666666667</v>
      </c>
      <c r="AM88" s="193"/>
      <c r="AN88" s="232" t="s">
        <v>1340</v>
      </c>
      <c r="AO88" s="234">
        <f>PARÂMETROS!$H$3</f>
        <v>40</v>
      </c>
      <c r="AP88" s="235">
        <v>2.1527777777777798E-2</v>
      </c>
      <c r="AQ88" s="235">
        <v>6.9444444444444397E-3</v>
      </c>
      <c r="AR88" s="235">
        <v>1.0416666666666701E-2</v>
      </c>
      <c r="AS88" s="235">
        <v>6.9444444444444397E-3</v>
      </c>
      <c r="AT88" s="235">
        <v>2.0833333333333301E-2</v>
      </c>
      <c r="AU88" s="236"/>
      <c r="AV88" s="235">
        <v>6.9444444444444397E-3</v>
      </c>
      <c r="AW88" s="235">
        <v>3.125E-2</v>
      </c>
      <c r="AX88" s="237">
        <f t="shared" si="53"/>
        <v>0.10486111111111111</v>
      </c>
      <c r="AY88" s="234">
        <f t="shared" si="54"/>
        <v>100.66666666666667</v>
      </c>
      <c r="AZ88" s="193"/>
      <c r="BA88" s="232" t="s">
        <v>1340</v>
      </c>
      <c r="BB88" s="234">
        <f>PARÂMETROS!$H$3</f>
        <v>40</v>
      </c>
      <c r="BC88" s="235">
        <v>2.1527777777777798E-2</v>
      </c>
      <c r="BD88" s="235">
        <v>6.9444444444444397E-3</v>
      </c>
      <c r="BE88" s="235">
        <v>1.0416666666666701E-2</v>
      </c>
      <c r="BF88" s="235">
        <v>6.9444444444444397E-3</v>
      </c>
      <c r="BG88" s="235">
        <v>2.0833333333333301E-2</v>
      </c>
      <c r="BH88" s="235">
        <v>6.9444444444444397E-3</v>
      </c>
      <c r="BI88" s="235">
        <v>6.9444444444444397E-3</v>
      </c>
      <c r="BJ88" s="235">
        <v>3.125E-2</v>
      </c>
      <c r="BK88" s="237">
        <f t="shared" si="55"/>
        <v>0.11180555555555555</v>
      </c>
      <c r="BL88" s="234">
        <f t="shared" si="56"/>
        <v>107.33333333333331</v>
      </c>
      <c r="BN88" s="232" t="s">
        <v>1340</v>
      </c>
      <c r="BO88" s="238">
        <f t="shared" si="57"/>
        <v>264.68035932999999</v>
      </c>
      <c r="BP88" s="239">
        <f t="shared" si="58"/>
        <v>80.6666666666667</v>
      </c>
      <c r="BQ88" s="243">
        <v>20</v>
      </c>
      <c r="BR88" s="241">
        <f t="shared" si="59"/>
        <v>4.033333333333335</v>
      </c>
      <c r="BS88" s="242">
        <f t="shared" si="60"/>
        <v>268.71369266333335</v>
      </c>
      <c r="BT88" s="240">
        <v>20</v>
      </c>
      <c r="BV88" s="232" t="s">
        <v>1340</v>
      </c>
      <c r="BW88" s="238">
        <f t="shared" si="61"/>
        <v>269.45355432999997</v>
      </c>
      <c r="BX88" s="239">
        <f t="shared" si="62"/>
        <v>100.66666666666667</v>
      </c>
      <c r="BY88" s="243">
        <v>15</v>
      </c>
      <c r="BZ88" s="241">
        <f t="shared" si="63"/>
        <v>6.7111111111111112</v>
      </c>
      <c r="CA88" s="242">
        <f t="shared" si="64"/>
        <v>276.16466544111108</v>
      </c>
      <c r="CB88" s="240">
        <v>15</v>
      </c>
      <c r="CD88" s="232" t="s">
        <v>1340</v>
      </c>
      <c r="CE88" s="238">
        <f t="shared" si="65"/>
        <v>272.93355432999999</v>
      </c>
      <c r="CF88" s="239">
        <f t="shared" si="66"/>
        <v>107.33333333333331</v>
      </c>
      <c r="CG88" s="243">
        <v>10</v>
      </c>
      <c r="CH88" s="241">
        <f t="shared" si="67"/>
        <v>10.733333333333331</v>
      </c>
      <c r="CI88" s="242">
        <f t="shared" si="68"/>
        <v>283.66688766333334</v>
      </c>
      <c r="CJ88" s="244">
        <v>10</v>
      </c>
    </row>
    <row r="89" spans="1:88" ht="30.75" customHeight="1" x14ac:dyDescent="0.3">
      <c r="A89" s="224" t="s">
        <v>47</v>
      </c>
      <c r="B89" s="225" t="s">
        <v>1331</v>
      </c>
      <c r="C89" s="226">
        <v>0.17226669999999999</v>
      </c>
      <c r="D89" s="470">
        <f>PARÂMETROS!$E$21*C89</f>
        <v>369.19337810500002</v>
      </c>
      <c r="E89" s="470"/>
      <c r="F89" s="228">
        <v>0.15</v>
      </c>
      <c r="G89" s="227">
        <f>F89*PARÂMETROS!$E$22</f>
        <v>6.3554999999999993</v>
      </c>
      <c r="H89" s="228">
        <v>2E-3</v>
      </c>
      <c r="I89" s="227">
        <f>H89*PARÂMETROS!$E$22</f>
        <v>8.4739999999999996E-2</v>
      </c>
      <c r="J89" s="228">
        <f t="shared" si="46"/>
        <v>1.4999999999999999E-2</v>
      </c>
      <c r="K89" s="230">
        <f>J89*PARÂMETROS!$E$8</f>
        <v>0.46334999999999998</v>
      </c>
      <c r="L89" s="229">
        <f t="shared" si="47"/>
        <v>2.0000000000000001E-4</v>
      </c>
      <c r="M89" s="230">
        <f>L89*PARÂMETROS!$E$8</f>
        <v>6.1780000000000003E-3</v>
      </c>
      <c r="N89" s="231">
        <v>1.26</v>
      </c>
      <c r="O89" s="230">
        <f>N89*PARÂMETROS!$E$27</f>
        <v>3.7800000000000002</v>
      </c>
      <c r="P89" s="170"/>
      <c r="Q89" s="191"/>
      <c r="R89" s="232" t="s">
        <v>1341</v>
      </c>
      <c r="S89" s="233">
        <f t="shared" si="48"/>
        <v>369.28429610500001</v>
      </c>
      <c r="U89" s="232" t="s">
        <v>1341</v>
      </c>
      <c r="V89" s="233">
        <f t="shared" si="49"/>
        <v>376.10314610500001</v>
      </c>
      <c r="X89" s="232" t="s">
        <v>1341</v>
      </c>
      <c r="Y89" s="233">
        <f t="shared" si="50"/>
        <v>379.88314610499998</v>
      </c>
      <c r="AA89" s="232" t="s">
        <v>1341</v>
      </c>
      <c r="AB89" s="234">
        <f>PARÂMETROS!$H$3</f>
        <v>40</v>
      </c>
      <c r="AC89" s="235">
        <v>2.1527777777777798E-2</v>
      </c>
      <c r="AD89" s="235">
        <v>6.9444444444444397E-3</v>
      </c>
      <c r="AE89" s="235">
        <v>2.0833333333333301E-2</v>
      </c>
      <c r="AF89" s="235">
        <v>6.9444444444444397E-3</v>
      </c>
      <c r="AG89" s="236"/>
      <c r="AH89" s="236"/>
      <c r="AI89" s="235">
        <v>6.9444444444444397E-3</v>
      </c>
      <c r="AJ89" s="235">
        <v>3.125E-2</v>
      </c>
      <c r="AK89" s="237">
        <f t="shared" si="51"/>
        <v>9.4444444444444414E-2</v>
      </c>
      <c r="AL89" s="234">
        <f t="shared" si="52"/>
        <v>90.666666666666643</v>
      </c>
      <c r="AM89" s="193"/>
      <c r="AN89" s="232" t="s">
        <v>1341</v>
      </c>
      <c r="AO89" s="234">
        <f>PARÂMETROS!$H$3</f>
        <v>40</v>
      </c>
      <c r="AP89" s="235">
        <v>2.1527777777777798E-2</v>
      </c>
      <c r="AQ89" s="235">
        <v>6.9444444444444397E-3</v>
      </c>
      <c r="AR89" s="235">
        <v>2.0833333333333301E-2</v>
      </c>
      <c r="AS89" s="235">
        <v>6.9444444444444397E-3</v>
      </c>
      <c r="AT89" s="235">
        <v>2.0833333333333301E-2</v>
      </c>
      <c r="AU89" s="236"/>
      <c r="AV89" s="235">
        <v>6.9444444444444397E-3</v>
      </c>
      <c r="AW89" s="235">
        <v>3.125E-2</v>
      </c>
      <c r="AX89" s="237">
        <f t="shared" si="53"/>
        <v>0.11527777777777772</v>
      </c>
      <c r="AY89" s="234">
        <f t="shared" si="54"/>
        <v>110.66666666666661</v>
      </c>
      <c r="AZ89" s="193"/>
      <c r="BA89" s="232" t="s">
        <v>1341</v>
      </c>
      <c r="BB89" s="234">
        <f>PARÂMETROS!$H$3</f>
        <v>40</v>
      </c>
      <c r="BC89" s="235">
        <v>2.1527777777777798E-2</v>
      </c>
      <c r="BD89" s="235">
        <v>6.9444444444444397E-3</v>
      </c>
      <c r="BE89" s="235">
        <v>2.0833333333333301E-2</v>
      </c>
      <c r="BF89" s="235">
        <v>6.9444444444444397E-3</v>
      </c>
      <c r="BG89" s="235">
        <v>2.0833333333333301E-2</v>
      </c>
      <c r="BH89" s="235">
        <v>6.9444444444444397E-3</v>
      </c>
      <c r="BI89" s="235">
        <v>6.9444444444444397E-3</v>
      </c>
      <c r="BJ89" s="235">
        <v>3.125E-2</v>
      </c>
      <c r="BK89" s="237">
        <f t="shared" si="55"/>
        <v>0.12222222222222215</v>
      </c>
      <c r="BL89" s="234">
        <f t="shared" si="56"/>
        <v>117.33333333333326</v>
      </c>
      <c r="BN89" s="232" t="s">
        <v>1341</v>
      </c>
      <c r="BO89" s="238">
        <f t="shared" si="57"/>
        <v>369.28429610500001</v>
      </c>
      <c r="BP89" s="239">
        <f t="shared" si="58"/>
        <v>90.666666666666643</v>
      </c>
      <c r="BQ89" s="243">
        <v>16</v>
      </c>
      <c r="BR89" s="241">
        <f t="shared" si="59"/>
        <v>5.6666666666666652</v>
      </c>
      <c r="BS89" s="242">
        <f t="shared" si="60"/>
        <v>374.9509627716667</v>
      </c>
      <c r="BT89" s="240">
        <v>16</v>
      </c>
      <c r="BV89" s="232" t="s">
        <v>1341</v>
      </c>
      <c r="BW89" s="238">
        <f t="shared" si="61"/>
        <v>376.10314610500001</v>
      </c>
      <c r="BX89" s="239">
        <f t="shared" si="62"/>
        <v>110.66666666666661</v>
      </c>
      <c r="BY89" s="243">
        <v>10</v>
      </c>
      <c r="BZ89" s="241">
        <f t="shared" si="63"/>
        <v>11.066666666666661</v>
      </c>
      <c r="CA89" s="242">
        <f t="shared" si="64"/>
        <v>387.16981277166667</v>
      </c>
      <c r="CB89" s="240">
        <v>10</v>
      </c>
      <c r="CD89" s="232" t="s">
        <v>1341</v>
      </c>
      <c r="CE89" s="238">
        <f t="shared" si="65"/>
        <v>379.88314610499998</v>
      </c>
      <c r="CF89" s="239">
        <f t="shared" si="66"/>
        <v>117.33333333333326</v>
      </c>
      <c r="CG89" s="243">
        <v>5</v>
      </c>
      <c r="CH89" s="241">
        <f t="shared" si="67"/>
        <v>23.466666666666651</v>
      </c>
      <c r="CI89" s="242">
        <f t="shared" si="68"/>
        <v>403.34981277166662</v>
      </c>
      <c r="CJ89" s="244">
        <v>7</v>
      </c>
    </row>
    <row r="90" spans="1:88" ht="30.75" customHeight="1" x14ac:dyDescent="0.3">
      <c r="A90" s="224" t="s">
        <v>222</v>
      </c>
      <c r="B90" s="225" t="s">
        <v>1331</v>
      </c>
      <c r="C90" s="226">
        <v>0.25018839999999998</v>
      </c>
      <c r="D90" s="470">
        <f>PARÂMETROS!$E$21*C90</f>
        <v>536.19126945999994</v>
      </c>
      <c r="E90" s="470"/>
      <c r="F90" s="228">
        <v>0.19400000000000001</v>
      </c>
      <c r="G90" s="227">
        <f>F90*PARÂMETROS!$E$22</f>
        <v>8.2197800000000001</v>
      </c>
      <c r="H90" s="228">
        <v>2E-3</v>
      </c>
      <c r="I90" s="227">
        <f>H90*PARÂMETROS!$E$22</f>
        <v>8.4739999999999996E-2</v>
      </c>
      <c r="J90" s="228">
        <f t="shared" si="46"/>
        <v>1.9400000000000001E-2</v>
      </c>
      <c r="K90" s="230">
        <f>J90*PARÂMETROS!$E$8</f>
        <v>0.59926600000000008</v>
      </c>
      <c r="L90" s="229">
        <f t="shared" si="47"/>
        <v>2.0000000000000001E-4</v>
      </c>
      <c r="M90" s="230">
        <f>L90*PARÂMETROS!$E$8</f>
        <v>6.1780000000000003E-3</v>
      </c>
      <c r="N90" s="231">
        <v>1.38</v>
      </c>
      <c r="O90" s="230">
        <f>N90*PARÂMETROS!$E$27</f>
        <v>4.1399999999999997</v>
      </c>
      <c r="P90" s="170"/>
      <c r="Q90" s="191"/>
      <c r="R90" s="232" t="s">
        <v>1342</v>
      </c>
      <c r="S90" s="233">
        <f t="shared" si="48"/>
        <v>536.28218745999993</v>
      </c>
      <c r="U90" s="232" t="s">
        <v>1342</v>
      </c>
      <c r="V90" s="233">
        <f t="shared" si="49"/>
        <v>545.10123346</v>
      </c>
      <c r="X90" s="232" t="s">
        <v>1342</v>
      </c>
      <c r="Y90" s="233">
        <f t="shared" si="50"/>
        <v>549.24123345999999</v>
      </c>
      <c r="AA90" s="232" t="s">
        <v>1342</v>
      </c>
      <c r="AB90" s="234">
        <f>PARÂMETROS!$H$3</f>
        <v>40</v>
      </c>
      <c r="AC90" s="235">
        <v>2.1527777777777798E-2</v>
      </c>
      <c r="AD90" s="235">
        <v>6.9444444444444397E-3</v>
      </c>
      <c r="AE90" s="235">
        <v>2.0833333333333301E-2</v>
      </c>
      <c r="AF90" s="235">
        <v>6.9444444444444397E-3</v>
      </c>
      <c r="AG90" s="236"/>
      <c r="AH90" s="236"/>
      <c r="AI90" s="235">
        <v>6.9444444444444397E-3</v>
      </c>
      <c r="AJ90" s="235">
        <v>3.125E-2</v>
      </c>
      <c r="AK90" s="237">
        <f t="shared" si="51"/>
        <v>9.4444444444444414E-2</v>
      </c>
      <c r="AL90" s="234">
        <f t="shared" si="52"/>
        <v>90.666666666666643</v>
      </c>
      <c r="AM90" s="193"/>
      <c r="AN90" s="232" t="s">
        <v>1342</v>
      </c>
      <c r="AO90" s="234">
        <f>PARÂMETROS!$H$3</f>
        <v>40</v>
      </c>
      <c r="AP90" s="235">
        <v>2.1527777777777798E-2</v>
      </c>
      <c r="AQ90" s="235">
        <v>6.9444444444444397E-3</v>
      </c>
      <c r="AR90" s="235">
        <v>2.0833333333333301E-2</v>
      </c>
      <c r="AS90" s="235">
        <v>6.9444444444444397E-3</v>
      </c>
      <c r="AT90" s="235">
        <v>2.0833333333333301E-2</v>
      </c>
      <c r="AU90" s="236"/>
      <c r="AV90" s="235">
        <v>6.9444444444444397E-3</v>
      </c>
      <c r="AW90" s="235">
        <v>3.125E-2</v>
      </c>
      <c r="AX90" s="237">
        <f t="shared" si="53"/>
        <v>0.11527777777777772</v>
      </c>
      <c r="AY90" s="234">
        <f t="shared" si="54"/>
        <v>110.66666666666661</v>
      </c>
      <c r="AZ90" s="193"/>
      <c r="BA90" s="232" t="s">
        <v>1342</v>
      </c>
      <c r="BB90" s="234">
        <f>PARÂMETROS!$H$3</f>
        <v>40</v>
      </c>
      <c r="BC90" s="235">
        <v>2.1527777777777798E-2</v>
      </c>
      <c r="BD90" s="235">
        <v>6.9444444444444397E-3</v>
      </c>
      <c r="BE90" s="235">
        <v>2.0833333333333301E-2</v>
      </c>
      <c r="BF90" s="235">
        <v>6.9444444444444397E-3</v>
      </c>
      <c r="BG90" s="235">
        <v>2.0833333333333301E-2</v>
      </c>
      <c r="BH90" s="235">
        <v>6.9444444444444397E-3</v>
      </c>
      <c r="BI90" s="235">
        <v>6.9444444444444397E-3</v>
      </c>
      <c r="BJ90" s="235">
        <v>3.125E-2</v>
      </c>
      <c r="BK90" s="237">
        <f t="shared" si="55"/>
        <v>0.12222222222222215</v>
      </c>
      <c r="BL90" s="234">
        <f t="shared" si="56"/>
        <v>117.33333333333326</v>
      </c>
      <c r="BN90" s="232" t="s">
        <v>1342</v>
      </c>
      <c r="BO90" s="238">
        <f t="shared" si="57"/>
        <v>536.28218745999993</v>
      </c>
      <c r="BP90" s="239">
        <f t="shared" si="58"/>
        <v>90.666666666666643</v>
      </c>
      <c r="BQ90" s="243">
        <v>15</v>
      </c>
      <c r="BR90" s="241">
        <f t="shared" si="59"/>
        <v>6.0444444444444425</v>
      </c>
      <c r="BS90" s="242">
        <f t="shared" si="60"/>
        <v>542.32663190444441</v>
      </c>
      <c r="BT90" s="240">
        <v>15</v>
      </c>
      <c r="BV90" s="232" t="s">
        <v>1342</v>
      </c>
      <c r="BW90" s="238">
        <f t="shared" si="61"/>
        <v>545.10123346</v>
      </c>
      <c r="BX90" s="239">
        <f t="shared" si="62"/>
        <v>110.66666666666661</v>
      </c>
      <c r="BY90" s="243">
        <v>10</v>
      </c>
      <c r="BZ90" s="241">
        <f t="shared" si="63"/>
        <v>11.066666666666661</v>
      </c>
      <c r="CA90" s="242">
        <f t="shared" si="64"/>
        <v>556.16790012666661</v>
      </c>
      <c r="CB90" s="240">
        <v>10</v>
      </c>
      <c r="CD90" s="232" t="s">
        <v>1342</v>
      </c>
      <c r="CE90" s="238">
        <f t="shared" si="65"/>
        <v>549.24123345999999</v>
      </c>
      <c r="CF90" s="239">
        <f t="shared" si="66"/>
        <v>117.33333333333326</v>
      </c>
      <c r="CG90" s="243">
        <v>5</v>
      </c>
      <c r="CH90" s="241">
        <f t="shared" si="67"/>
        <v>23.466666666666651</v>
      </c>
      <c r="CI90" s="242">
        <f t="shared" si="68"/>
        <v>572.70790012666669</v>
      </c>
      <c r="CJ90" s="244">
        <v>7</v>
      </c>
    </row>
    <row r="91" spans="1:88" ht="30.75" customHeight="1" x14ac:dyDescent="0.3">
      <c r="A91" s="224" t="s">
        <v>226</v>
      </c>
      <c r="B91" s="225" t="s">
        <v>1331</v>
      </c>
      <c r="C91" s="226">
        <v>0.34861589999999998</v>
      </c>
      <c r="D91" s="470">
        <f>PARÂMETROS!$E$21*C91</f>
        <v>747.13616608500001</v>
      </c>
      <c r="E91" s="470"/>
      <c r="F91" s="228">
        <v>0.24</v>
      </c>
      <c r="G91" s="227">
        <f>F91*PARÂMETROS!$E$22</f>
        <v>10.168799999999999</v>
      </c>
      <c r="H91" s="228">
        <v>2E-3</v>
      </c>
      <c r="I91" s="227">
        <f>H91*PARÂMETROS!$E$22</f>
        <v>8.4739999999999996E-2</v>
      </c>
      <c r="J91" s="228">
        <f t="shared" si="46"/>
        <v>2.4E-2</v>
      </c>
      <c r="K91" s="230">
        <f>J91*PARÂMETROS!$E$8</f>
        <v>0.74136000000000002</v>
      </c>
      <c r="L91" s="229">
        <f t="shared" si="47"/>
        <v>2.0000000000000001E-4</v>
      </c>
      <c r="M91" s="230">
        <f>L91*PARÂMETROS!$E$8</f>
        <v>6.1780000000000003E-3</v>
      </c>
      <c r="N91" s="231">
        <v>1.46</v>
      </c>
      <c r="O91" s="230">
        <f>N91*PARÂMETROS!$E$27</f>
        <v>4.38</v>
      </c>
      <c r="P91" s="170"/>
      <c r="Q91" s="191"/>
      <c r="R91" s="232" t="s">
        <v>1343</v>
      </c>
      <c r="S91" s="233">
        <f t="shared" si="48"/>
        <v>747.227084085</v>
      </c>
      <c r="U91" s="232" t="s">
        <v>1343</v>
      </c>
      <c r="V91" s="233">
        <f t="shared" si="49"/>
        <v>758.13724408500002</v>
      </c>
      <c r="X91" s="232" t="s">
        <v>1343</v>
      </c>
      <c r="Y91" s="233">
        <f t="shared" si="50"/>
        <v>762.51724408500002</v>
      </c>
      <c r="AA91" s="232" t="s">
        <v>1343</v>
      </c>
      <c r="AB91" s="234">
        <f>PARÂMETROS!$H$3</f>
        <v>40</v>
      </c>
      <c r="AC91" s="235">
        <v>2.1527777777777798E-2</v>
      </c>
      <c r="AD91" s="235">
        <v>6.9444444444444397E-3</v>
      </c>
      <c r="AE91" s="235">
        <v>2.0833333333333301E-2</v>
      </c>
      <c r="AF91" s="235">
        <v>6.9444444444444397E-3</v>
      </c>
      <c r="AG91" s="236"/>
      <c r="AH91" s="236"/>
      <c r="AI91" s="235">
        <v>6.9444444444444397E-3</v>
      </c>
      <c r="AJ91" s="235">
        <v>3.125E-2</v>
      </c>
      <c r="AK91" s="237">
        <f t="shared" si="51"/>
        <v>9.4444444444444414E-2</v>
      </c>
      <c r="AL91" s="234">
        <f t="shared" si="52"/>
        <v>90.666666666666643</v>
      </c>
      <c r="AM91" s="193"/>
      <c r="AN91" s="232" t="s">
        <v>1343</v>
      </c>
      <c r="AO91" s="234">
        <f>PARÂMETROS!$H$3</f>
        <v>40</v>
      </c>
      <c r="AP91" s="235">
        <v>2.1527777777777798E-2</v>
      </c>
      <c r="AQ91" s="235">
        <v>6.9444444444444397E-3</v>
      </c>
      <c r="AR91" s="235">
        <v>2.0833333333333301E-2</v>
      </c>
      <c r="AS91" s="235">
        <v>6.9444444444444397E-3</v>
      </c>
      <c r="AT91" s="235">
        <v>2.0833333333333301E-2</v>
      </c>
      <c r="AU91" s="236"/>
      <c r="AV91" s="235">
        <v>6.9444444444444397E-3</v>
      </c>
      <c r="AW91" s="235">
        <v>3.125E-2</v>
      </c>
      <c r="AX91" s="237">
        <f t="shared" si="53"/>
        <v>0.11527777777777772</v>
      </c>
      <c r="AY91" s="234">
        <f t="shared" si="54"/>
        <v>110.66666666666661</v>
      </c>
      <c r="AZ91" s="193"/>
      <c r="BA91" s="232" t="s">
        <v>1343</v>
      </c>
      <c r="BB91" s="234">
        <f>PARÂMETROS!$H$3</f>
        <v>40</v>
      </c>
      <c r="BC91" s="235">
        <v>2.1527777777777798E-2</v>
      </c>
      <c r="BD91" s="235">
        <v>6.9444444444444397E-3</v>
      </c>
      <c r="BE91" s="235">
        <v>2.0833333333333301E-2</v>
      </c>
      <c r="BF91" s="235">
        <v>6.9444444444444397E-3</v>
      </c>
      <c r="BG91" s="235">
        <v>2.0833333333333301E-2</v>
      </c>
      <c r="BH91" s="235">
        <v>6.9444444444444397E-3</v>
      </c>
      <c r="BI91" s="235">
        <v>6.9444444444444397E-3</v>
      </c>
      <c r="BJ91" s="235">
        <v>3.125E-2</v>
      </c>
      <c r="BK91" s="237">
        <f t="shared" si="55"/>
        <v>0.12222222222222215</v>
      </c>
      <c r="BL91" s="234">
        <f t="shared" si="56"/>
        <v>117.33333333333326</v>
      </c>
      <c r="BN91" s="232" t="s">
        <v>1343</v>
      </c>
      <c r="BO91" s="238">
        <f t="shared" si="57"/>
        <v>747.227084085</v>
      </c>
      <c r="BP91" s="239">
        <f t="shared" si="58"/>
        <v>90.666666666666643</v>
      </c>
      <c r="BQ91" s="243">
        <v>7</v>
      </c>
      <c r="BR91" s="241">
        <f t="shared" si="59"/>
        <v>12.952380952380949</v>
      </c>
      <c r="BS91" s="242">
        <f t="shared" si="60"/>
        <v>760.17946503738096</v>
      </c>
      <c r="BT91" s="240">
        <v>7</v>
      </c>
      <c r="BV91" s="232" t="s">
        <v>1343</v>
      </c>
      <c r="BW91" s="238">
        <f t="shared" si="61"/>
        <v>758.13724408500002</v>
      </c>
      <c r="BX91" s="239">
        <f t="shared" si="62"/>
        <v>110.66666666666661</v>
      </c>
      <c r="BY91" s="243">
        <v>5</v>
      </c>
      <c r="BZ91" s="241">
        <f t="shared" si="63"/>
        <v>22.133333333333322</v>
      </c>
      <c r="CA91" s="242">
        <f t="shared" si="64"/>
        <v>780.27057741833335</v>
      </c>
      <c r="CB91" s="240">
        <v>5</v>
      </c>
      <c r="CD91" s="232" t="s">
        <v>1343</v>
      </c>
      <c r="CE91" s="238">
        <f t="shared" si="65"/>
        <v>762.51724408500002</v>
      </c>
      <c r="CF91" s="239">
        <f t="shared" si="66"/>
        <v>117.33333333333326</v>
      </c>
      <c r="CG91" s="243">
        <v>5</v>
      </c>
      <c r="CH91" s="241">
        <f t="shared" si="67"/>
        <v>23.466666666666651</v>
      </c>
      <c r="CI91" s="242">
        <f t="shared" si="68"/>
        <v>785.98391075166671</v>
      </c>
      <c r="CJ91" s="244">
        <v>4</v>
      </c>
    </row>
    <row r="92" spans="1:88" ht="30.75" customHeight="1" x14ac:dyDescent="0.3">
      <c r="A92" s="224" t="s">
        <v>230</v>
      </c>
      <c r="B92" s="225" t="s">
        <v>1331</v>
      </c>
      <c r="C92" s="226">
        <v>0.46994170000000002</v>
      </c>
      <c r="D92" s="470">
        <f>PARÂMETROS!$E$21*C92</f>
        <v>1007.155554355</v>
      </c>
      <c r="E92" s="470"/>
      <c r="F92" s="228">
        <v>0.29099999999999998</v>
      </c>
      <c r="G92" s="227">
        <f>F92*PARÂMETROS!$E$22</f>
        <v>12.329669999999998</v>
      </c>
      <c r="H92" s="228">
        <v>2E-3</v>
      </c>
      <c r="I92" s="227">
        <f>H92*PARÂMETROS!$E$22</f>
        <v>8.4739999999999996E-2</v>
      </c>
      <c r="J92" s="228">
        <f t="shared" si="46"/>
        <v>2.9100000000000001E-2</v>
      </c>
      <c r="K92" s="230">
        <f>J92*PARÂMETROS!$E$8</f>
        <v>0.898899</v>
      </c>
      <c r="L92" s="229">
        <f t="shared" si="47"/>
        <v>2.0000000000000001E-4</v>
      </c>
      <c r="M92" s="230">
        <f>L92*PARÂMETROS!$E$8</f>
        <v>6.1780000000000003E-3</v>
      </c>
      <c r="N92" s="231">
        <v>1.56</v>
      </c>
      <c r="O92" s="230">
        <f>N92*PARÂMETROS!$E$27</f>
        <v>4.68</v>
      </c>
      <c r="P92" s="170"/>
      <c r="Q92" s="191"/>
      <c r="R92" s="232" t="s">
        <v>1344</v>
      </c>
      <c r="S92" s="233">
        <f t="shared" si="48"/>
        <v>1007.246472355</v>
      </c>
      <c r="U92" s="232" t="s">
        <v>1344</v>
      </c>
      <c r="V92" s="233">
        <f t="shared" si="49"/>
        <v>1020.475041355</v>
      </c>
      <c r="X92" s="232" t="s">
        <v>1344</v>
      </c>
      <c r="Y92" s="233">
        <f t="shared" si="50"/>
        <v>1025.1550413550001</v>
      </c>
      <c r="AA92" s="232" t="s">
        <v>1344</v>
      </c>
      <c r="AB92" s="234">
        <f>PARÂMETROS!$H$3</f>
        <v>40</v>
      </c>
      <c r="AC92" s="235">
        <v>2.1527777777777798E-2</v>
      </c>
      <c r="AD92" s="235">
        <v>6.9444444444444397E-3</v>
      </c>
      <c r="AE92" s="235">
        <v>2.0833333333333301E-2</v>
      </c>
      <c r="AF92" s="235">
        <v>6.9444444444444397E-3</v>
      </c>
      <c r="AG92" s="236"/>
      <c r="AH92" s="236"/>
      <c r="AI92" s="235">
        <v>6.9444444444444397E-3</v>
      </c>
      <c r="AJ92" s="235">
        <v>3.125E-2</v>
      </c>
      <c r="AK92" s="237">
        <f t="shared" si="51"/>
        <v>9.4444444444444414E-2</v>
      </c>
      <c r="AL92" s="234">
        <f t="shared" si="52"/>
        <v>90.666666666666643</v>
      </c>
      <c r="AM92" s="193"/>
      <c r="AN92" s="232" t="s">
        <v>1344</v>
      </c>
      <c r="AO92" s="234">
        <f>PARÂMETROS!$H$3</f>
        <v>40</v>
      </c>
      <c r="AP92" s="235">
        <v>2.1527777777777798E-2</v>
      </c>
      <c r="AQ92" s="235">
        <v>6.9444444444444397E-3</v>
      </c>
      <c r="AR92" s="235">
        <v>2.0833333333333301E-2</v>
      </c>
      <c r="AS92" s="235">
        <v>6.9444444444444397E-3</v>
      </c>
      <c r="AT92" s="235">
        <v>2.0833333333333301E-2</v>
      </c>
      <c r="AU92" s="236"/>
      <c r="AV92" s="235">
        <v>6.9444444444444397E-3</v>
      </c>
      <c r="AW92" s="235">
        <v>3.125E-2</v>
      </c>
      <c r="AX92" s="237">
        <f t="shared" si="53"/>
        <v>0.11527777777777772</v>
      </c>
      <c r="AY92" s="234">
        <f t="shared" si="54"/>
        <v>110.66666666666661</v>
      </c>
      <c r="AZ92" s="193"/>
      <c r="BA92" s="232" t="s">
        <v>1344</v>
      </c>
      <c r="BB92" s="234">
        <f>PARÂMETROS!$H$3</f>
        <v>40</v>
      </c>
      <c r="BC92" s="235">
        <v>2.1527777777777798E-2</v>
      </c>
      <c r="BD92" s="235">
        <v>6.9444444444444397E-3</v>
      </c>
      <c r="BE92" s="235">
        <v>2.0833333333333301E-2</v>
      </c>
      <c r="BF92" s="235">
        <v>6.9444444444444397E-3</v>
      </c>
      <c r="BG92" s="235">
        <v>2.0833333333333301E-2</v>
      </c>
      <c r="BH92" s="235">
        <v>6.9444444444444397E-3</v>
      </c>
      <c r="BI92" s="235">
        <v>6.9444444444444397E-3</v>
      </c>
      <c r="BJ92" s="235">
        <v>3.125E-2</v>
      </c>
      <c r="BK92" s="237">
        <f t="shared" si="55"/>
        <v>0.12222222222222215</v>
      </c>
      <c r="BL92" s="234">
        <f t="shared" si="56"/>
        <v>117.33333333333326</v>
      </c>
      <c r="BN92" s="232" t="s">
        <v>1344</v>
      </c>
      <c r="BO92" s="238">
        <f t="shared" si="57"/>
        <v>1007.246472355</v>
      </c>
      <c r="BP92" s="239">
        <f t="shared" si="58"/>
        <v>90.666666666666643</v>
      </c>
      <c r="BQ92" s="243">
        <v>7</v>
      </c>
      <c r="BR92" s="241">
        <f t="shared" si="59"/>
        <v>12.952380952380949</v>
      </c>
      <c r="BS92" s="242">
        <f t="shared" si="60"/>
        <v>1020.198853307381</v>
      </c>
      <c r="BT92" s="240">
        <v>7</v>
      </c>
      <c r="BV92" s="232" t="s">
        <v>1344</v>
      </c>
      <c r="BW92" s="238">
        <f t="shared" si="61"/>
        <v>1020.475041355</v>
      </c>
      <c r="BX92" s="239">
        <f t="shared" si="62"/>
        <v>110.66666666666661</v>
      </c>
      <c r="BY92" s="243">
        <v>5</v>
      </c>
      <c r="BZ92" s="241">
        <f t="shared" si="63"/>
        <v>22.133333333333322</v>
      </c>
      <c r="CA92" s="242">
        <f t="shared" si="64"/>
        <v>1042.6083746883332</v>
      </c>
      <c r="CB92" s="240">
        <v>5</v>
      </c>
      <c r="CD92" s="232" t="s">
        <v>1344</v>
      </c>
      <c r="CE92" s="238">
        <f t="shared" si="65"/>
        <v>1025.1550413550001</v>
      </c>
      <c r="CF92" s="239">
        <f t="shared" si="66"/>
        <v>117.33333333333326</v>
      </c>
      <c r="CG92" s="243">
        <v>3</v>
      </c>
      <c r="CH92" s="241">
        <f t="shared" si="67"/>
        <v>39.111111111111086</v>
      </c>
      <c r="CI92" s="242">
        <f t="shared" si="68"/>
        <v>1064.2661524661112</v>
      </c>
      <c r="CJ92" s="244">
        <v>4</v>
      </c>
    </row>
    <row r="93" spans="1:88" ht="30.75" customHeight="1" x14ac:dyDescent="0.3">
      <c r="A93" s="224" t="s">
        <v>234</v>
      </c>
      <c r="B93" s="225" t="s">
        <v>1331</v>
      </c>
      <c r="C93" s="226">
        <v>0.61655850000000001</v>
      </c>
      <c r="D93" s="470">
        <f>PARÂMETROS!$E$21*C93</f>
        <v>1321.3773492750001</v>
      </c>
      <c r="E93" s="470"/>
      <c r="F93" s="228">
        <v>0.34599999999999997</v>
      </c>
      <c r="G93" s="227">
        <f>F93*PARÂMETROS!$E$22</f>
        <v>14.660019999999998</v>
      </c>
      <c r="H93" s="228">
        <v>2E-3</v>
      </c>
      <c r="I93" s="227">
        <f>H93*PARÂMETROS!$E$22</f>
        <v>8.4739999999999996E-2</v>
      </c>
      <c r="J93" s="228">
        <f t="shared" si="46"/>
        <v>3.4599999999999999E-2</v>
      </c>
      <c r="K93" s="230">
        <f>J93*PARÂMETROS!$E$8</f>
        <v>1.068794</v>
      </c>
      <c r="L93" s="229">
        <f t="shared" si="47"/>
        <v>2.0000000000000001E-4</v>
      </c>
      <c r="M93" s="230">
        <f>L93*PARÂMETROS!$E$8</f>
        <v>6.1780000000000003E-3</v>
      </c>
      <c r="N93" s="231">
        <v>1.66</v>
      </c>
      <c r="O93" s="230">
        <f>N93*PARÂMETROS!$E$27</f>
        <v>4.9799999999999995</v>
      </c>
      <c r="P93" s="170"/>
      <c r="Q93" s="191"/>
      <c r="R93" s="232" t="s">
        <v>1345</v>
      </c>
      <c r="S93" s="233">
        <f t="shared" si="48"/>
        <v>1321.4682672750002</v>
      </c>
      <c r="U93" s="232" t="s">
        <v>1345</v>
      </c>
      <c r="V93" s="233">
        <f t="shared" si="49"/>
        <v>1337.1970812750003</v>
      </c>
      <c r="X93" s="232" t="s">
        <v>1345</v>
      </c>
      <c r="Y93" s="233">
        <f t="shared" si="50"/>
        <v>1342.1770812750003</v>
      </c>
      <c r="AA93" s="232" t="s">
        <v>1345</v>
      </c>
      <c r="AB93" s="234">
        <f>PARÂMETROS!$H$3</f>
        <v>40</v>
      </c>
      <c r="AC93" s="235">
        <v>2.1527777777777798E-2</v>
      </c>
      <c r="AD93" s="235">
        <v>6.9444444444444397E-3</v>
      </c>
      <c r="AE93" s="235">
        <v>2.0833333333333301E-2</v>
      </c>
      <c r="AF93" s="235">
        <v>6.9444444444444397E-3</v>
      </c>
      <c r="AG93" s="236"/>
      <c r="AH93" s="236"/>
      <c r="AI93" s="235">
        <v>6.9444444444444397E-3</v>
      </c>
      <c r="AJ93" s="235">
        <v>3.125E-2</v>
      </c>
      <c r="AK93" s="237">
        <f t="shared" si="51"/>
        <v>9.4444444444444414E-2</v>
      </c>
      <c r="AL93" s="234">
        <f t="shared" si="52"/>
        <v>90.666666666666643</v>
      </c>
      <c r="AM93" s="193"/>
      <c r="AN93" s="232" t="s">
        <v>1345</v>
      </c>
      <c r="AO93" s="234">
        <f>PARÂMETROS!$H$3</f>
        <v>40</v>
      </c>
      <c r="AP93" s="235">
        <v>2.1527777777777798E-2</v>
      </c>
      <c r="AQ93" s="235">
        <v>6.9444444444444397E-3</v>
      </c>
      <c r="AR93" s="235">
        <v>2.0833333333333301E-2</v>
      </c>
      <c r="AS93" s="235">
        <v>6.9444444444444397E-3</v>
      </c>
      <c r="AT93" s="235">
        <v>2.0833333333333301E-2</v>
      </c>
      <c r="AU93" s="236"/>
      <c r="AV93" s="235">
        <v>6.9444444444444397E-3</v>
      </c>
      <c r="AW93" s="235">
        <v>3.125E-2</v>
      </c>
      <c r="AX93" s="237">
        <f t="shared" si="53"/>
        <v>0.11527777777777772</v>
      </c>
      <c r="AY93" s="234">
        <f t="shared" si="54"/>
        <v>110.66666666666661</v>
      </c>
      <c r="AZ93" s="193"/>
      <c r="BA93" s="232" t="s">
        <v>1345</v>
      </c>
      <c r="BB93" s="234">
        <f>PARÂMETROS!$H$3</f>
        <v>40</v>
      </c>
      <c r="BC93" s="235">
        <v>2.1527777777777798E-2</v>
      </c>
      <c r="BD93" s="235">
        <v>6.9444444444444397E-3</v>
      </c>
      <c r="BE93" s="235">
        <v>2.0833333333333301E-2</v>
      </c>
      <c r="BF93" s="235">
        <v>6.9444444444444397E-3</v>
      </c>
      <c r="BG93" s="235">
        <v>2.0833333333333301E-2</v>
      </c>
      <c r="BH93" s="235">
        <v>6.9444444444444397E-3</v>
      </c>
      <c r="BI93" s="235">
        <v>6.9444444444444397E-3</v>
      </c>
      <c r="BJ93" s="235">
        <v>3.125E-2</v>
      </c>
      <c r="BK93" s="237">
        <f t="shared" si="55"/>
        <v>0.12222222222222215</v>
      </c>
      <c r="BL93" s="234">
        <f t="shared" si="56"/>
        <v>117.33333333333326</v>
      </c>
      <c r="BN93" s="232" t="s">
        <v>1345</v>
      </c>
      <c r="BO93" s="238">
        <f t="shared" si="57"/>
        <v>1321.4682672750002</v>
      </c>
      <c r="BP93" s="239">
        <f t="shared" si="58"/>
        <v>90.666666666666643</v>
      </c>
      <c r="BQ93" s="243">
        <v>3</v>
      </c>
      <c r="BR93" s="241">
        <f t="shared" si="59"/>
        <v>30.222222222222214</v>
      </c>
      <c r="BS93" s="242">
        <f t="shared" si="60"/>
        <v>1351.6904894972224</v>
      </c>
      <c r="BT93" s="240">
        <v>3</v>
      </c>
      <c r="BV93" s="232" t="s">
        <v>1345</v>
      </c>
      <c r="BW93" s="238">
        <f t="shared" si="61"/>
        <v>1337.1970812750003</v>
      </c>
      <c r="BX93" s="239">
        <f t="shared" si="62"/>
        <v>110.66666666666661</v>
      </c>
      <c r="BY93" s="243">
        <v>3</v>
      </c>
      <c r="BZ93" s="241">
        <f t="shared" si="63"/>
        <v>36.888888888888872</v>
      </c>
      <c r="CA93" s="242">
        <f t="shared" si="64"/>
        <v>1374.0859701638892</v>
      </c>
      <c r="CB93" s="240">
        <v>3</v>
      </c>
      <c r="CD93" s="232" t="s">
        <v>1345</v>
      </c>
      <c r="CE93" s="238">
        <f t="shared" si="65"/>
        <v>1342.1770812750003</v>
      </c>
      <c r="CF93" s="239">
        <f t="shared" si="66"/>
        <v>117.33333333333326</v>
      </c>
      <c r="CG93" s="243">
        <v>3</v>
      </c>
      <c r="CH93" s="241">
        <f t="shared" si="67"/>
        <v>39.111111111111086</v>
      </c>
      <c r="CI93" s="242">
        <f t="shared" si="68"/>
        <v>1381.2881923861114</v>
      </c>
      <c r="CJ93" s="244">
        <v>3</v>
      </c>
    </row>
    <row r="94" spans="1:88" ht="30.75" customHeight="1" x14ac:dyDescent="0.3">
      <c r="A94" s="224" t="s">
        <v>238</v>
      </c>
      <c r="B94" s="225" t="s">
        <v>1331</v>
      </c>
      <c r="C94" s="226">
        <v>0.79085879999999997</v>
      </c>
      <c r="D94" s="470">
        <f>PARÂMETROS!$E$21*C94</f>
        <v>1694.9290372200001</v>
      </c>
      <c r="E94" s="470"/>
      <c r="F94" s="228">
        <v>0.40600000000000003</v>
      </c>
      <c r="G94" s="227">
        <f>F94*PARÂMETROS!$E$22</f>
        <v>17.202220000000001</v>
      </c>
      <c r="H94" s="228">
        <v>2E-3</v>
      </c>
      <c r="I94" s="227">
        <f>H94*PARÂMETROS!$E$22</f>
        <v>8.4739999999999996E-2</v>
      </c>
      <c r="J94" s="228">
        <f t="shared" si="46"/>
        <v>4.0600000000000004E-2</v>
      </c>
      <c r="K94" s="230">
        <f>J94*PARÂMETROS!$E$8</f>
        <v>1.2541340000000001</v>
      </c>
      <c r="L94" s="229">
        <f t="shared" si="47"/>
        <v>2.0000000000000001E-4</v>
      </c>
      <c r="M94" s="230">
        <f>L94*PARÂMETROS!$E$8</f>
        <v>6.1780000000000003E-3</v>
      </c>
      <c r="N94" s="231">
        <v>1.8</v>
      </c>
      <c r="O94" s="230">
        <f>N94*PARÂMETROS!$E$27</f>
        <v>5.4</v>
      </c>
      <c r="P94" s="170"/>
      <c r="Q94" s="191"/>
      <c r="R94" s="232" t="s">
        <v>1346</v>
      </c>
      <c r="S94" s="233">
        <f t="shared" si="48"/>
        <v>1695.0199552200002</v>
      </c>
      <c r="U94" s="232" t="s">
        <v>1346</v>
      </c>
      <c r="V94" s="233">
        <f t="shared" si="49"/>
        <v>1713.4763092200001</v>
      </c>
      <c r="X94" s="232" t="s">
        <v>1346</v>
      </c>
      <c r="Y94" s="233">
        <f t="shared" si="50"/>
        <v>1718.8763092200002</v>
      </c>
      <c r="AA94" s="232" t="s">
        <v>1346</v>
      </c>
      <c r="AB94" s="234">
        <f>PARÂMETROS!$H$3</f>
        <v>40</v>
      </c>
      <c r="AC94" s="235">
        <v>4.1666666666666699E-2</v>
      </c>
      <c r="AD94" s="235">
        <v>6.9444444444444397E-3</v>
      </c>
      <c r="AE94" s="235">
        <v>2.0833333333333301E-2</v>
      </c>
      <c r="AF94" s="235">
        <v>6.9444444444444397E-3</v>
      </c>
      <c r="AG94" s="236"/>
      <c r="AH94" s="236"/>
      <c r="AI94" s="235">
        <v>6.9444444444444397E-3</v>
      </c>
      <c r="AJ94" s="235">
        <v>3.125E-2</v>
      </c>
      <c r="AK94" s="237">
        <f t="shared" si="51"/>
        <v>0.11458333333333331</v>
      </c>
      <c r="AL94" s="234">
        <f t="shared" si="52"/>
        <v>109.99999999999997</v>
      </c>
      <c r="AM94" s="193"/>
      <c r="AN94" s="232" t="s">
        <v>1346</v>
      </c>
      <c r="AO94" s="234">
        <f>PARÂMETROS!$H$3</f>
        <v>40</v>
      </c>
      <c r="AP94" s="235">
        <v>4.1666666666666699E-2</v>
      </c>
      <c r="AQ94" s="235">
        <v>6.9444444444444397E-3</v>
      </c>
      <c r="AR94" s="235">
        <v>2.0833333333333301E-2</v>
      </c>
      <c r="AS94" s="235">
        <v>6.9444444444444397E-3</v>
      </c>
      <c r="AT94" s="235">
        <v>2.0833333333333301E-2</v>
      </c>
      <c r="AU94" s="236"/>
      <c r="AV94" s="235">
        <v>6.9444444444444397E-3</v>
      </c>
      <c r="AW94" s="235">
        <v>3.125E-2</v>
      </c>
      <c r="AX94" s="237">
        <f t="shared" si="53"/>
        <v>0.13541666666666663</v>
      </c>
      <c r="AY94" s="234">
        <f t="shared" si="54"/>
        <v>129.99999999999997</v>
      </c>
      <c r="AZ94" s="193"/>
      <c r="BA94" s="232" t="s">
        <v>1346</v>
      </c>
      <c r="BB94" s="234">
        <f>PARÂMETROS!$H$3</f>
        <v>40</v>
      </c>
      <c r="BC94" s="235">
        <v>4.1666666666666699E-2</v>
      </c>
      <c r="BD94" s="235">
        <v>6.9444444444444397E-3</v>
      </c>
      <c r="BE94" s="235">
        <v>2.0833333333333301E-2</v>
      </c>
      <c r="BF94" s="235">
        <v>6.9444444444444397E-3</v>
      </c>
      <c r="BG94" s="235">
        <v>2.0833333333333301E-2</v>
      </c>
      <c r="BH94" s="235">
        <v>6.9444444444444397E-3</v>
      </c>
      <c r="BI94" s="235">
        <v>6.9444444444444397E-3</v>
      </c>
      <c r="BJ94" s="235">
        <v>3.125E-2</v>
      </c>
      <c r="BK94" s="237">
        <f t="shared" si="55"/>
        <v>0.14236111111111105</v>
      </c>
      <c r="BL94" s="234">
        <f t="shared" si="56"/>
        <v>136.6666666666666</v>
      </c>
      <c r="BN94" s="232" t="s">
        <v>1346</v>
      </c>
      <c r="BO94" s="238">
        <f t="shared" si="57"/>
        <v>1695.0199552200002</v>
      </c>
      <c r="BP94" s="239">
        <f t="shared" si="58"/>
        <v>109.99999999999997</v>
      </c>
      <c r="BQ94" s="243">
        <v>3</v>
      </c>
      <c r="BR94" s="241">
        <f t="shared" si="59"/>
        <v>36.666666666666657</v>
      </c>
      <c r="BS94" s="242">
        <f t="shared" si="60"/>
        <v>1731.6866218866669</v>
      </c>
      <c r="BT94" s="240">
        <v>3</v>
      </c>
      <c r="BV94" s="232" t="s">
        <v>1346</v>
      </c>
      <c r="BW94" s="238">
        <f t="shared" si="61"/>
        <v>1713.4763092200001</v>
      </c>
      <c r="BX94" s="239">
        <f t="shared" si="62"/>
        <v>129.99999999999997</v>
      </c>
      <c r="BY94" s="243">
        <v>3</v>
      </c>
      <c r="BZ94" s="241">
        <f t="shared" si="63"/>
        <v>43.333333333333321</v>
      </c>
      <c r="CA94" s="242">
        <f t="shared" si="64"/>
        <v>1756.8096425533333</v>
      </c>
      <c r="CB94" s="240">
        <v>3</v>
      </c>
      <c r="CD94" s="232" t="s">
        <v>1346</v>
      </c>
      <c r="CE94" s="238">
        <f t="shared" si="65"/>
        <v>1718.8763092200002</v>
      </c>
      <c r="CF94" s="239">
        <f t="shared" si="66"/>
        <v>136.6666666666666</v>
      </c>
      <c r="CG94" s="243">
        <v>3</v>
      </c>
      <c r="CH94" s="241">
        <f t="shared" si="67"/>
        <v>45.555555555555536</v>
      </c>
      <c r="CI94" s="242">
        <f t="shared" si="68"/>
        <v>1764.4318647755556</v>
      </c>
      <c r="CJ94" s="244">
        <v>3</v>
      </c>
    </row>
    <row r="95" spans="1:88" ht="30.75" customHeight="1" x14ac:dyDescent="0.3">
      <c r="A95" s="224" t="s">
        <v>242</v>
      </c>
      <c r="B95" s="225" t="s">
        <v>1331</v>
      </c>
      <c r="C95" s="226">
        <v>0.99523510000000004</v>
      </c>
      <c r="D95" s="470">
        <f>PARÂMETROS!$E$21*C95</f>
        <v>2132.9381045650002</v>
      </c>
      <c r="E95" s="470"/>
      <c r="F95" s="228">
        <v>0.47099999999999997</v>
      </c>
      <c r="G95" s="227">
        <f>F95*PARÂMETROS!$E$22</f>
        <v>19.956269999999996</v>
      </c>
      <c r="H95" s="228">
        <v>2E-3</v>
      </c>
      <c r="I95" s="227">
        <f>H95*PARÂMETROS!$E$22</f>
        <v>8.4739999999999996E-2</v>
      </c>
      <c r="J95" s="228">
        <f t="shared" si="46"/>
        <v>4.7100000000000003E-2</v>
      </c>
      <c r="K95" s="230">
        <f>J95*PARÂMETROS!$E$8</f>
        <v>1.4549190000000001</v>
      </c>
      <c r="L95" s="229">
        <f t="shared" si="47"/>
        <v>2.0000000000000001E-4</v>
      </c>
      <c r="M95" s="230">
        <f>L95*PARÂMETROS!$E$8</f>
        <v>6.1780000000000003E-3</v>
      </c>
      <c r="N95" s="231">
        <v>1.9</v>
      </c>
      <c r="O95" s="230">
        <f>N95*PARÂMETROS!$E$27</f>
        <v>5.6999999999999993</v>
      </c>
      <c r="P95" s="170"/>
      <c r="Q95" s="191"/>
      <c r="R95" s="232" t="s">
        <v>1347</v>
      </c>
      <c r="S95" s="233">
        <f t="shared" si="48"/>
        <v>2133.0290225650001</v>
      </c>
      <c r="U95" s="232" t="s">
        <v>1347</v>
      </c>
      <c r="V95" s="233">
        <f t="shared" si="49"/>
        <v>2154.440211565</v>
      </c>
      <c r="X95" s="232" t="s">
        <v>1347</v>
      </c>
      <c r="Y95" s="233">
        <f t="shared" si="50"/>
        <v>2160.1402115649998</v>
      </c>
      <c r="AA95" s="232" t="s">
        <v>1347</v>
      </c>
      <c r="AB95" s="234">
        <f>PARÂMETROS!$H$3</f>
        <v>40</v>
      </c>
      <c r="AC95" s="235">
        <v>4.1666666666666699E-2</v>
      </c>
      <c r="AD95" s="235">
        <v>6.9444444444444397E-3</v>
      </c>
      <c r="AE95" s="235">
        <v>2.0833333333333301E-2</v>
      </c>
      <c r="AF95" s="235">
        <v>6.9444444444444397E-3</v>
      </c>
      <c r="AG95" s="236"/>
      <c r="AH95" s="236"/>
      <c r="AI95" s="235">
        <v>6.9444444444444397E-3</v>
      </c>
      <c r="AJ95" s="235">
        <v>3.125E-2</v>
      </c>
      <c r="AK95" s="237">
        <f t="shared" si="51"/>
        <v>0.11458333333333331</v>
      </c>
      <c r="AL95" s="234">
        <f t="shared" si="52"/>
        <v>109.99999999999997</v>
      </c>
      <c r="AM95" s="193"/>
      <c r="AN95" s="232" t="s">
        <v>1347</v>
      </c>
      <c r="AO95" s="234">
        <f>PARÂMETROS!$H$3</f>
        <v>40</v>
      </c>
      <c r="AP95" s="235">
        <v>4.1666666666666699E-2</v>
      </c>
      <c r="AQ95" s="235">
        <v>6.9444444444444397E-3</v>
      </c>
      <c r="AR95" s="235">
        <v>2.0833333333333301E-2</v>
      </c>
      <c r="AS95" s="235">
        <v>6.9444444444444397E-3</v>
      </c>
      <c r="AT95" s="235">
        <v>2.0833333333333301E-2</v>
      </c>
      <c r="AU95" s="236"/>
      <c r="AV95" s="235">
        <v>6.9444444444444397E-3</v>
      </c>
      <c r="AW95" s="235">
        <v>3.125E-2</v>
      </c>
      <c r="AX95" s="237">
        <f t="shared" si="53"/>
        <v>0.13541666666666663</v>
      </c>
      <c r="AY95" s="234">
        <f t="shared" si="54"/>
        <v>129.99999999999997</v>
      </c>
      <c r="AZ95" s="193"/>
      <c r="BA95" s="232" t="s">
        <v>1347</v>
      </c>
      <c r="BB95" s="234">
        <f>PARÂMETROS!$H$3</f>
        <v>40</v>
      </c>
      <c r="BC95" s="235">
        <v>4.1666666666666699E-2</v>
      </c>
      <c r="BD95" s="235">
        <v>6.9444444444444397E-3</v>
      </c>
      <c r="BE95" s="235">
        <v>2.0833333333333301E-2</v>
      </c>
      <c r="BF95" s="235">
        <v>6.9444444444444397E-3</v>
      </c>
      <c r="BG95" s="235">
        <v>2.0833333333333301E-2</v>
      </c>
      <c r="BH95" s="235">
        <v>6.9444444444444397E-3</v>
      </c>
      <c r="BI95" s="235">
        <v>6.9444444444444397E-3</v>
      </c>
      <c r="BJ95" s="235">
        <v>3.125E-2</v>
      </c>
      <c r="BK95" s="237">
        <f t="shared" si="55"/>
        <v>0.14236111111111105</v>
      </c>
      <c r="BL95" s="234">
        <f t="shared" si="56"/>
        <v>136.6666666666666</v>
      </c>
      <c r="BN95" s="232" t="s">
        <v>1347</v>
      </c>
      <c r="BO95" s="238">
        <f t="shared" si="57"/>
        <v>2133.0290225650001</v>
      </c>
      <c r="BP95" s="239">
        <f t="shared" si="58"/>
        <v>109.99999999999997</v>
      </c>
      <c r="BQ95" s="243">
        <v>3</v>
      </c>
      <c r="BR95" s="241">
        <f t="shared" si="59"/>
        <v>36.666666666666657</v>
      </c>
      <c r="BS95" s="242">
        <f t="shared" si="60"/>
        <v>2169.6956892316666</v>
      </c>
      <c r="BT95" s="240">
        <v>3</v>
      </c>
      <c r="BV95" s="232" t="s">
        <v>1347</v>
      </c>
      <c r="BW95" s="238">
        <f t="shared" si="61"/>
        <v>2154.440211565</v>
      </c>
      <c r="BX95" s="239">
        <f t="shared" si="62"/>
        <v>129.99999999999997</v>
      </c>
      <c r="BY95" s="243">
        <v>3</v>
      </c>
      <c r="BZ95" s="241">
        <f t="shared" si="63"/>
        <v>43.333333333333321</v>
      </c>
      <c r="CA95" s="242">
        <f t="shared" si="64"/>
        <v>2197.7735448983335</v>
      </c>
      <c r="CB95" s="240">
        <v>3</v>
      </c>
      <c r="CD95" s="232" t="s">
        <v>1347</v>
      </c>
      <c r="CE95" s="238">
        <f t="shared" si="65"/>
        <v>2160.1402115649998</v>
      </c>
      <c r="CF95" s="239">
        <f t="shared" si="66"/>
        <v>136.6666666666666</v>
      </c>
      <c r="CG95" s="243">
        <v>2</v>
      </c>
      <c r="CH95" s="241">
        <f t="shared" si="67"/>
        <v>68.3333333333333</v>
      </c>
      <c r="CI95" s="242">
        <f t="shared" si="68"/>
        <v>2228.4735448983333</v>
      </c>
      <c r="CJ95" s="244">
        <v>3</v>
      </c>
    </row>
    <row r="96" spans="1:88" ht="30.75" customHeight="1" x14ac:dyDescent="0.3">
      <c r="A96" s="224" t="s">
        <v>246</v>
      </c>
      <c r="B96" s="225" t="s">
        <v>1331</v>
      </c>
      <c r="C96" s="226">
        <v>1.2320800999999999</v>
      </c>
      <c r="D96" s="470">
        <f>PARÂMETROS!$E$21*C96</f>
        <v>2640.532466315</v>
      </c>
      <c r="E96" s="470"/>
      <c r="F96" s="228">
        <v>0.55000000000000004</v>
      </c>
      <c r="G96" s="227">
        <f>F96*PARÂMETROS!$E$22</f>
        <v>23.3035</v>
      </c>
      <c r="H96" s="228">
        <v>2E-3</v>
      </c>
      <c r="I96" s="227">
        <f>H96*PARÂMETROS!$E$22</f>
        <v>8.4739999999999996E-2</v>
      </c>
      <c r="J96" s="228">
        <f t="shared" si="46"/>
        <v>5.5000000000000007E-2</v>
      </c>
      <c r="K96" s="230">
        <f>J96*PARÂMETROS!$E$8</f>
        <v>1.6989500000000002</v>
      </c>
      <c r="L96" s="229">
        <f t="shared" si="47"/>
        <v>2.0000000000000001E-4</v>
      </c>
      <c r="M96" s="230">
        <f>L96*PARÂMETROS!$E$8</f>
        <v>6.1780000000000003E-3</v>
      </c>
      <c r="N96" s="231">
        <v>2</v>
      </c>
      <c r="O96" s="230">
        <f>N96*PARÂMETROS!$E$27</f>
        <v>6</v>
      </c>
      <c r="P96" s="170"/>
      <c r="Q96" s="191"/>
      <c r="R96" s="232" t="s">
        <v>1348</v>
      </c>
      <c r="S96" s="233">
        <f t="shared" si="48"/>
        <v>2640.6233843149998</v>
      </c>
      <c r="U96" s="232" t="s">
        <v>1348</v>
      </c>
      <c r="V96" s="233">
        <f t="shared" si="49"/>
        <v>2665.6258343149998</v>
      </c>
      <c r="X96" s="232" t="s">
        <v>1348</v>
      </c>
      <c r="Y96" s="233">
        <f t="shared" si="50"/>
        <v>2671.6258343149998</v>
      </c>
      <c r="AA96" s="232" t="s">
        <v>1348</v>
      </c>
      <c r="AB96" s="234">
        <f>PARÂMETROS!$H$3</f>
        <v>40</v>
      </c>
      <c r="AC96" s="235">
        <v>4.1666666666666699E-2</v>
      </c>
      <c r="AD96" s="235">
        <v>6.9444444444444397E-3</v>
      </c>
      <c r="AE96" s="235">
        <v>2.0833333333333301E-2</v>
      </c>
      <c r="AF96" s="235">
        <v>6.9444444444444397E-3</v>
      </c>
      <c r="AG96" s="236"/>
      <c r="AH96" s="236"/>
      <c r="AI96" s="235">
        <v>6.9444444444444397E-3</v>
      </c>
      <c r="AJ96" s="235">
        <v>3.125E-2</v>
      </c>
      <c r="AK96" s="237">
        <f t="shared" si="51"/>
        <v>0.11458333333333331</v>
      </c>
      <c r="AL96" s="234">
        <f t="shared" si="52"/>
        <v>109.99999999999997</v>
      </c>
      <c r="AM96" s="193"/>
      <c r="AN96" s="232" t="s">
        <v>1348</v>
      </c>
      <c r="AO96" s="234">
        <f>PARÂMETROS!$H$3</f>
        <v>40</v>
      </c>
      <c r="AP96" s="235">
        <v>4.1666666666666699E-2</v>
      </c>
      <c r="AQ96" s="235">
        <v>6.9444444444444397E-3</v>
      </c>
      <c r="AR96" s="235">
        <v>2.0833333333333301E-2</v>
      </c>
      <c r="AS96" s="235">
        <v>6.9444444444444397E-3</v>
      </c>
      <c r="AT96" s="235">
        <v>2.0833333333333301E-2</v>
      </c>
      <c r="AU96" s="236"/>
      <c r="AV96" s="235">
        <v>6.9444444444444397E-3</v>
      </c>
      <c r="AW96" s="235">
        <v>3.125E-2</v>
      </c>
      <c r="AX96" s="237">
        <f t="shared" si="53"/>
        <v>0.13541666666666663</v>
      </c>
      <c r="AY96" s="234">
        <f t="shared" si="54"/>
        <v>129.99999999999997</v>
      </c>
      <c r="AZ96" s="193"/>
      <c r="BA96" s="232" t="s">
        <v>1348</v>
      </c>
      <c r="BB96" s="234">
        <f>PARÂMETROS!$H$3</f>
        <v>40</v>
      </c>
      <c r="BC96" s="235">
        <v>4.1666666666666699E-2</v>
      </c>
      <c r="BD96" s="235">
        <v>6.9444444444444397E-3</v>
      </c>
      <c r="BE96" s="235">
        <v>2.0833333333333301E-2</v>
      </c>
      <c r="BF96" s="235">
        <v>6.9444444444444397E-3</v>
      </c>
      <c r="BG96" s="235">
        <v>2.0833333333333301E-2</v>
      </c>
      <c r="BH96" s="235">
        <v>6.9444444444444397E-3</v>
      </c>
      <c r="BI96" s="235">
        <v>6.9444444444444397E-3</v>
      </c>
      <c r="BJ96" s="235">
        <v>3.125E-2</v>
      </c>
      <c r="BK96" s="237">
        <f t="shared" si="55"/>
        <v>0.14236111111111105</v>
      </c>
      <c r="BL96" s="234">
        <f t="shared" si="56"/>
        <v>136.6666666666666</v>
      </c>
      <c r="BN96" s="232" t="s">
        <v>1348</v>
      </c>
      <c r="BO96" s="238">
        <f t="shared" si="57"/>
        <v>2640.6233843149998</v>
      </c>
      <c r="BP96" s="239">
        <f t="shared" si="58"/>
        <v>109.99999999999997</v>
      </c>
      <c r="BQ96" s="243">
        <v>2</v>
      </c>
      <c r="BR96" s="241">
        <f t="shared" si="59"/>
        <v>54.999999999999986</v>
      </c>
      <c r="BS96" s="242">
        <f t="shared" si="60"/>
        <v>2695.6233843149998</v>
      </c>
      <c r="BT96" s="240">
        <v>2</v>
      </c>
      <c r="BV96" s="232" t="s">
        <v>1348</v>
      </c>
      <c r="BW96" s="238">
        <f t="shared" si="61"/>
        <v>2665.6258343149998</v>
      </c>
      <c r="BX96" s="239">
        <f t="shared" si="62"/>
        <v>129.99999999999997</v>
      </c>
      <c r="BY96" s="243">
        <v>2</v>
      </c>
      <c r="BZ96" s="241">
        <f t="shared" si="63"/>
        <v>64.999999999999986</v>
      </c>
      <c r="CA96" s="242">
        <f t="shared" si="64"/>
        <v>2730.6258343149998</v>
      </c>
      <c r="CB96" s="240">
        <v>2</v>
      </c>
      <c r="CD96" s="232" t="s">
        <v>1348</v>
      </c>
      <c r="CE96" s="238">
        <f t="shared" si="65"/>
        <v>2671.6258343149998</v>
      </c>
      <c r="CF96" s="239">
        <f t="shared" si="66"/>
        <v>136.6666666666666</v>
      </c>
      <c r="CG96" s="243">
        <v>2</v>
      </c>
      <c r="CH96" s="241">
        <f t="shared" si="67"/>
        <v>68.3333333333333</v>
      </c>
      <c r="CI96" s="242">
        <f t="shared" si="68"/>
        <v>2739.9591676483333</v>
      </c>
      <c r="CJ96" s="244">
        <v>2</v>
      </c>
    </row>
    <row r="97" spans="1:88" ht="30.75" customHeight="1" x14ac:dyDescent="0.3">
      <c r="A97" s="224" t="s">
        <v>250</v>
      </c>
      <c r="B97" s="225" t="s">
        <v>1331</v>
      </c>
      <c r="C97" s="226">
        <v>1.5037863</v>
      </c>
      <c r="D97" s="470">
        <f>PARÂMETROS!$E$21*C97</f>
        <v>3222.8396088450004</v>
      </c>
      <c r="E97" s="470"/>
      <c r="F97" s="228">
        <v>0.63</v>
      </c>
      <c r="G97" s="227">
        <f>F97*PARÂMETROS!$E$22</f>
        <v>26.693099999999998</v>
      </c>
      <c r="H97" s="228">
        <v>2E-3</v>
      </c>
      <c r="I97" s="227">
        <f>H97*PARÂMETROS!$E$22</f>
        <v>8.4739999999999996E-2</v>
      </c>
      <c r="J97" s="228">
        <f t="shared" si="46"/>
        <v>6.3E-2</v>
      </c>
      <c r="K97" s="230">
        <f>J97*PARÂMETROS!$E$8</f>
        <v>1.94607</v>
      </c>
      <c r="L97" s="229">
        <f t="shared" si="47"/>
        <v>2.0000000000000001E-4</v>
      </c>
      <c r="M97" s="230">
        <f>L97*PARÂMETROS!$E$8</f>
        <v>6.1780000000000003E-3</v>
      </c>
      <c r="N97" s="231">
        <v>2.1</v>
      </c>
      <c r="O97" s="230">
        <f>N97*PARÂMETROS!$E$27</f>
        <v>6.3000000000000007</v>
      </c>
      <c r="P97" s="170"/>
      <c r="Q97" s="191"/>
      <c r="R97" s="232" t="s">
        <v>1349</v>
      </c>
      <c r="S97" s="233">
        <f t="shared" si="48"/>
        <v>3222.9305268450003</v>
      </c>
      <c r="U97" s="232" t="s">
        <v>1349</v>
      </c>
      <c r="V97" s="233">
        <f t="shared" si="49"/>
        <v>3251.5696968450002</v>
      </c>
      <c r="X97" s="232" t="s">
        <v>1349</v>
      </c>
      <c r="Y97" s="233">
        <f t="shared" si="50"/>
        <v>3257.8696968450004</v>
      </c>
      <c r="AA97" s="232" t="s">
        <v>1349</v>
      </c>
      <c r="AB97" s="234">
        <f>PARÂMETROS!$H$3</f>
        <v>40</v>
      </c>
      <c r="AC97" s="235">
        <v>4.1666666666666699E-2</v>
      </c>
      <c r="AD97" s="235">
        <v>6.9444444444444397E-3</v>
      </c>
      <c r="AE97" s="235">
        <v>2.0833333333333301E-2</v>
      </c>
      <c r="AF97" s="235">
        <v>6.9444444444444397E-3</v>
      </c>
      <c r="AG97" s="236"/>
      <c r="AH97" s="236"/>
      <c r="AI97" s="235">
        <v>6.9444444444444397E-3</v>
      </c>
      <c r="AJ97" s="235">
        <v>3.125E-2</v>
      </c>
      <c r="AK97" s="237">
        <f t="shared" si="51"/>
        <v>0.11458333333333331</v>
      </c>
      <c r="AL97" s="234">
        <f t="shared" si="52"/>
        <v>109.99999999999997</v>
      </c>
      <c r="AM97" s="193"/>
      <c r="AN97" s="232" t="s">
        <v>1349</v>
      </c>
      <c r="AO97" s="234">
        <f>PARÂMETROS!$H$3</f>
        <v>40</v>
      </c>
      <c r="AP97" s="235">
        <v>4.1666666666666699E-2</v>
      </c>
      <c r="AQ97" s="235">
        <v>6.9444444444444397E-3</v>
      </c>
      <c r="AR97" s="235">
        <v>2.0833333333333301E-2</v>
      </c>
      <c r="AS97" s="235">
        <v>6.9444444444444397E-3</v>
      </c>
      <c r="AT97" s="235">
        <v>2.0833333333333301E-2</v>
      </c>
      <c r="AU97" s="236"/>
      <c r="AV97" s="235">
        <v>6.9444444444444397E-3</v>
      </c>
      <c r="AW97" s="235">
        <v>3.125E-2</v>
      </c>
      <c r="AX97" s="237">
        <f t="shared" si="53"/>
        <v>0.13541666666666663</v>
      </c>
      <c r="AY97" s="234">
        <f t="shared" si="54"/>
        <v>129.99999999999997</v>
      </c>
      <c r="AZ97" s="193"/>
      <c r="BA97" s="232" t="s">
        <v>1349</v>
      </c>
      <c r="BB97" s="234">
        <f>PARÂMETROS!$H$3</f>
        <v>40</v>
      </c>
      <c r="BC97" s="235">
        <v>4.1666666666666699E-2</v>
      </c>
      <c r="BD97" s="235">
        <v>6.9444444444444397E-3</v>
      </c>
      <c r="BE97" s="235">
        <v>2.0833333333333301E-2</v>
      </c>
      <c r="BF97" s="235">
        <v>6.9444444444444397E-3</v>
      </c>
      <c r="BG97" s="235">
        <v>2.0833333333333301E-2</v>
      </c>
      <c r="BH97" s="235">
        <v>6.9444444444444397E-3</v>
      </c>
      <c r="BI97" s="235">
        <v>6.9444444444444397E-3</v>
      </c>
      <c r="BJ97" s="235">
        <v>3.125E-2</v>
      </c>
      <c r="BK97" s="237">
        <f t="shared" si="55"/>
        <v>0.14236111111111105</v>
      </c>
      <c r="BL97" s="234">
        <f t="shared" si="56"/>
        <v>136.6666666666666</v>
      </c>
      <c r="BN97" s="232" t="s">
        <v>1349</v>
      </c>
      <c r="BO97" s="238">
        <f t="shared" si="57"/>
        <v>3222.9305268450003</v>
      </c>
      <c r="BP97" s="239">
        <f t="shared" si="58"/>
        <v>109.99999999999997</v>
      </c>
      <c r="BQ97" s="243">
        <v>2</v>
      </c>
      <c r="BR97" s="241">
        <f t="shared" si="59"/>
        <v>54.999999999999986</v>
      </c>
      <c r="BS97" s="242">
        <f t="shared" si="60"/>
        <v>3277.9305268450003</v>
      </c>
      <c r="BT97" s="240">
        <v>2</v>
      </c>
      <c r="BV97" s="232" t="s">
        <v>1349</v>
      </c>
      <c r="BW97" s="238">
        <f t="shared" si="61"/>
        <v>3251.5696968450002</v>
      </c>
      <c r="BX97" s="239">
        <f t="shared" si="62"/>
        <v>129.99999999999997</v>
      </c>
      <c r="BY97" s="243">
        <v>2</v>
      </c>
      <c r="BZ97" s="241">
        <f t="shared" si="63"/>
        <v>64.999999999999986</v>
      </c>
      <c r="CA97" s="242">
        <f t="shared" si="64"/>
        <v>3316.5696968450002</v>
      </c>
      <c r="CB97" s="240">
        <v>2</v>
      </c>
      <c r="CD97" s="232" t="s">
        <v>1349</v>
      </c>
      <c r="CE97" s="238">
        <f t="shared" si="65"/>
        <v>3257.8696968450004</v>
      </c>
      <c r="CF97" s="239">
        <f t="shared" si="66"/>
        <v>136.6666666666666</v>
      </c>
      <c r="CG97" s="243">
        <v>1</v>
      </c>
      <c r="CH97" s="241">
        <f t="shared" si="67"/>
        <v>136.6666666666666</v>
      </c>
      <c r="CI97" s="242">
        <f t="shared" si="68"/>
        <v>3394.5363635116669</v>
      </c>
      <c r="CJ97" s="244">
        <v>2</v>
      </c>
    </row>
    <row r="98" spans="1:88" ht="30.75" customHeight="1" x14ac:dyDescent="0.3">
      <c r="A98" s="224" t="s">
        <v>254</v>
      </c>
      <c r="B98" s="225" t="s">
        <v>1331</v>
      </c>
      <c r="C98" s="226">
        <v>1.8127464</v>
      </c>
      <c r="D98" s="470">
        <f>PARÂMETROS!$E$21*C98</f>
        <v>3884.9874471600001</v>
      </c>
      <c r="E98" s="470"/>
      <c r="F98" s="228">
        <v>0.7</v>
      </c>
      <c r="G98" s="227">
        <f>F98*PARÂMETROS!$E$22</f>
        <v>29.658999999999995</v>
      </c>
      <c r="H98" s="228">
        <v>2E-3</v>
      </c>
      <c r="I98" s="227">
        <f>H98*PARÂMETROS!$E$22</f>
        <v>8.4739999999999996E-2</v>
      </c>
      <c r="J98" s="228">
        <f t="shared" si="46"/>
        <v>6.9999999999999993E-2</v>
      </c>
      <c r="K98" s="230">
        <f>J98*PARÂMETROS!$E$8</f>
        <v>2.1622999999999997</v>
      </c>
      <c r="L98" s="229">
        <f t="shared" si="47"/>
        <v>2.0000000000000001E-4</v>
      </c>
      <c r="M98" s="230">
        <f>L98*PARÂMETROS!$E$8</f>
        <v>6.1780000000000003E-3</v>
      </c>
      <c r="N98" s="231">
        <v>2.2000000000000002</v>
      </c>
      <c r="O98" s="230">
        <f>N98*PARÂMETROS!$E$27</f>
        <v>6.6000000000000005</v>
      </c>
      <c r="P98" s="170"/>
      <c r="Q98" s="191"/>
      <c r="R98" s="232" t="s">
        <v>1350</v>
      </c>
      <c r="S98" s="233">
        <f t="shared" si="48"/>
        <v>3885.07836516</v>
      </c>
      <c r="U98" s="232" t="s">
        <v>1350</v>
      </c>
      <c r="V98" s="233">
        <f t="shared" si="49"/>
        <v>3916.89966516</v>
      </c>
      <c r="X98" s="232" t="s">
        <v>1350</v>
      </c>
      <c r="Y98" s="233">
        <f t="shared" si="50"/>
        <v>3923.4996651599999</v>
      </c>
      <c r="AA98" s="232" t="s">
        <v>1350</v>
      </c>
      <c r="AB98" s="234">
        <f>PARÂMETROS!$H$3</f>
        <v>40</v>
      </c>
      <c r="AC98" s="235">
        <v>4.1666666666666699E-2</v>
      </c>
      <c r="AD98" s="235">
        <v>6.9444444444444397E-3</v>
      </c>
      <c r="AE98" s="235">
        <v>2.0833333333333301E-2</v>
      </c>
      <c r="AF98" s="235">
        <v>6.9444444444444397E-3</v>
      </c>
      <c r="AG98" s="236"/>
      <c r="AH98" s="236"/>
      <c r="AI98" s="235">
        <v>6.9444444444444397E-3</v>
      </c>
      <c r="AJ98" s="235">
        <v>3.125E-2</v>
      </c>
      <c r="AK98" s="237">
        <f t="shared" si="51"/>
        <v>0.11458333333333331</v>
      </c>
      <c r="AL98" s="234">
        <f t="shared" si="52"/>
        <v>109.99999999999997</v>
      </c>
      <c r="AM98" s="193"/>
      <c r="AN98" s="232" t="s">
        <v>1350</v>
      </c>
      <c r="AO98" s="234">
        <f>PARÂMETROS!$H$3</f>
        <v>40</v>
      </c>
      <c r="AP98" s="235">
        <v>4.1666666666666699E-2</v>
      </c>
      <c r="AQ98" s="235">
        <v>6.9444444444444397E-3</v>
      </c>
      <c r="AR98" s="235">
        <v>2.0833333333333301E-2</v>
      </c>
      <c r="AS98" s="235">
        <v>6.9444444444444397E-3</v>
      </c>
      <c r="AT98" s="235">
        <v>2.0833333333333301E-2</v>
      </c>
      <c r="AU98" s="236"/>
      <c r="AV98" s="235">
        <v>6.9444444444444397E-3</v>
      </c>
      <c r="AW98" s="235">
        <v>3.125E-2</v>
      </c>
      <c r="AX98" s="237">
        <f t="shared" si="53"/>
        <v>0.13541666666666663</v>
      </c>
      <c r="AY98" s="234">
        <f t="shared" si="54"/>
        <v>129.99999999999997</v>
      </c>
      <c r="AZ98" s="193"/>
      <c r="BA98" s="232" t="s">
        <v>1350</v>
      </c>
      <c r="BB98" s="234">
        <f>PARÂMETROS!$H$3</f>
        <v>40</v>
      </c>
      <c r="BC98" s="235">
        <v>4.1666666666666699E-2</v>
      </c>
      <c r="BD98" s="235">
        <v>6.9444444444444397E-3</v>
      </c>
      <c r="BE98" s="235">
        <v>2.0833333333333301E-2</v>
      </c>
      <c r="BF98" s="235">
        <v>6.9444444444444397E-3</v>
      </c>
      <c r="BG98" s="235">
        <v>2.0833333333333301E-2</v>
      </c>
      <c r="BH98" s="235">
        <v>6.9444444444444397E-3</v>
      </c>
      <c r="BI98" s="235">
        <v>6.9444444444444397E-3</v>
      </c>
      <c r="BJ98" s="235">
        <v>3.125E-2</v>
      </c>
      <c r="BK98" s="237">
        <f t="shared" si="55"/>
        <v>0.14236111111111105</v>
      </c>
      <c r="BL98" s="234">
        <f t="shared" si="56"/>
        <v>136.6666666666666</v>
      </c>
      <c r="BN98" s="232" t="s">
        <v>1350</v>
      </c>
      <c r="BO98" s="238">
        <f t="shared" si="57"/>
        <v>3885.07836516</v>
      </c>
      <c r="BP98" s="239">
        <f t="shared" si="58"/>
        <v>109.99999999999997</v>
      </c>
      <c r="BQ98" s="243">
        <v>2</v>
      </c>
      <c r="BR98" s="241">
        <f t="shared" si="59"/>
        <v>54.999999999999986</v>
      </c>
      <c r="BS98" s="242">
        <f t="shared" si="60"/>
        <v>3940.07836516</v>
      </c>
      <c r="BT98" s="240">
        <v>2</v>
      </c>
      <c r="BV98" s="232" t="s">
        <v>1350</v>
      </c>
      <c r="BW98" s="238">
        <f t="shared" si="61"/>
        <v>3916.89966516</v>
      </c>
      <c r="BX98" s="239">
        <f t="shared" si="62"/>
        <v>129.99999999999997</v>
      </c>
      <c r="BY98" s="243">
        <v>2</v>
      </c>
      <c r="BZ98" s="241">
        <f t="shared" si="63"/>
        <v>64.999999999999986</v>
      </c>
      <c r="CA98" s="242">
        <f t="shared" si="64"/>
        <v>3981.89966516</v>
      </c>
      <c r="CB98" s="240">
        <v>2</v>
      </c>
      <c r="CD98" s="232" t="s">
        <v>1350</v>
      </c>
      <c r="CE98" s="238">
        <f t="shared" si="65"/>
        <v>3923.4996651599999</v>
      </c>
      <c r="CF98" s="239">
        <f t="shared" si="66"/>
        <v>136.6666666666666</v>
      </c>
      <c r="CG98" s="243">
        <v>1</v>
      </c>
      <c r="CH98" s="241">
        <f t="shared" si="67"/>
        <v>136.6666666666666</v>
      </c>
      <c r="CI98" s="242">
        <f t="shared" si="68"/>
        <v>4060.1663318266665</v>
      </c>
      <c r="CJ98" s="244">
        <v>2</v>
      </c>
    </row>
    <row r="99" spans="1:88" ht="30.75" customHeight="1" x14ac:dyDescent="0.3">
      <c r="A99" s="224" t="s">
        <v>258</v>
      </c>
      <c r="B99" s="225" t="s">
        <v>1331</v>
      </c>
      <c r="C99" s="226">
        <v>2.1613528</v>
      </c>
      <c r="D99" s="470">
        <f>PARÂMETROS!$E$21*C99</f>
        <v>4632.1032533200005</v>
      </c>
      <c r="E99" s="470"/>
      <c r="F99" s="228">
        <v>0.78</v>
      </c>
      <c r="G99" s="227">
        <f>F99*PARÂMETROS!$E$22</f>
        <v>33.0486</v>
      </c>
      <c r="H99" s="228">
        <v>2E-3</v>
      </c>
      <c r="I99" s="227">
        <f>H99*PARÂMETROS!$E$22</f>
        <v>8.4739999999999996E-2</v>
      </c>
      <c r="J99" s="228">
        <f t="shared" si="46"/>
        <v>7.8000000000000014E-2</v>
      </c>
      <c r="K99" s="230">
        <f>J99*PARÂMETROS!$E$8</f>
        <v>2.4094200000000003</v>
      </c>
      <c r="L99" s="229">
        <f t="shared" si="47"/>
        <v>2.0000000000000001E-4</v>
      </c>
      <c r="M99" s="230">
        <f>L99*PARÂMETROS!$E$8</f>
        <v>6.1780000000000003E-3</v>
      </c>
      <c r="N99" s="231">
        <v>2.2999999999999998</v>
      </c>
      <c r="O99" s="230">
        <f>N99*PARÂMETROS!$E$27</f>
        <v>6.8999999999999995</v>
      </c>
      <c r="P99" s="170"/>
      <c r="Q99" s="191"/>
      <c r="R99" s="232" t="s">
        <v>1351</v>
      </c>
      <c r="S99" s="233">
        <f t="shared" si="48"/>
        <v>4632.1941713200004</v>
      </c>
      <c r="U99" s="232" t="s">
        <v>1351</v>
      </c>
      <c r="V99" s="233">
        <f t="shared" si="49"/>
        <v>4667.6521913200004</v>
      </c>
      <c r="X99" s="232" t="s">
        <v>1351</v>
      </c>
      <c r="Y99" s="233">
        <f t="shared" si="50"/>
        <v>4674.55219132</v>
      </c>
      <c r="AA99" s="232" t="s">
        <v>1351</v>
      </c>
      <c r="AB99" s="234">
        <f>PARÂMETROS!$H$3</f>
        <v>40</v>
      </c>
      <c r="AC99" s="235">
        <v>4.1666666666666699E-2</v>
      </c>
      <c r="AD99" s="235">
        <v>6.9444444444444397E-3</v>
      </c>
      <c r="AE99" s="235">
        <v>2.0833333333333301E-2</v>
      </c>
      <c r="AF99" s="235">
        <v>6.9444444444444397E-3</v>
      </c>
      <c r="AG99" s="236"/>
      <c r="AH99" s="236"/>
      <c r="AI99" s="235">
        <v>6.9444444444444397E-3</v>
      </c>
      <c r="AJ99" s="235">
        <v>3.125E-2</v>
      </c>
      <c r="AK99" s="237">
        <f t="shared" si="51"/>
        <v>0.11458333333333331</v>
      </c>
      <c r="AL99" s="234">
        <f t="shared" si="52"/>
        <v>109.99999999999997</v>
      </c>
      <c r="AM99" s="193"/>
      <c r="AN99" s="232" t="s">
        <v>1351</v>
      </c>
      <c r="AO99" s="234">
        <f>PARÂMETROS!$H$3</f>
        <v>40</v>
      </c>
      <c r="AP99" s="235">
        <v>4.1666666666666699E-2</v>
      </c>
      <c r="AQ99" s="235">
        <v>6.9444444444444397E-3</v>
      </c>
      <c r="AR99" s="235">
        <v>2.0833333333333301E-2</v>
      </c>
      <c r="AS99" s="235">
        <v>6.9444444444444397E-3</v>
      </c>
      <c r="AT99" s="235">
        <v>2.0833333333333301E-2</v>
      </c>
      <c r="AU99" s="236"/>
      <c r="AV99" s="235">
        <v>6.9444444444444397E-3</v>
      </c>
      <c r="AW99" s="235">
        <v>3.125E-2</v>
      </c>
      <c r="AX99" s="237">
        <f t="shared" si="53"/>
        <v>0.13541666666666663</v>
      </c>
      <c r="AY99" s="234">
        <f t="shared" si="54"/>
        <v>129.99999999999997</v>
      </c>
      <c r="AZ99" s="193"/>
      <c r="BA99" s="232" t="s">
        <v>1351</v>
      </c>
      <c r="BB99" s="234">
        <f>PARÂMETROS!$H$3</f>
        <v>40</v>
      </c>
      <c r="BC99" s="235">
        <v>4.1666666666666699E-2</v>
      </c>
      <c r="BD99" s="235">
        <v>6.9444444444444397E-3</v>
      </c>
      <c r="BE99" s="235">
        <v>2.0833333333333301E-2</v>
      </c>
      <c r="BF99" s="235">
        <v>6.9444444444444397E-3</v>
      </c>
      <c r="BG99" s="235">
        <v>2.0833333333333301E-2</v>
      </c>
      <c r="BH99" s="235">
        <v>6.9444444444444397E-3</v>
      </c>
      <c r="BI99" s="235">
        <v>6.9444444444444397E-3</v>
      </c>
      <c r="BJ99" s="235">
        <v>3.125E-2</v>
      </c>
      <c r="BK99" s="237">
        <f t="shared" si="55"/>
        <v>0.14236111111111105</v>
      </c>
      <c r="BL99" s="234">
        <f t="shared" si="56"/>
        <v>136.6666666666666</v>
      </c>
      <c r="BN99" s="232" t="s">
        <v>1351</v>
      </c>
      <c r="BO99" s="238">
        <f t="shared" si="57"/>
        <v>4632.1941713200004</v>
      </c>
      <c r="BP99" s="239">
        <f t="shared" si="58"/>
        <v>109.99999999999997</v>
      </c>
      <c r="BQ99" s="243">
        <v>1</v>
      </c>
      <c r="BR99" s="241">
        <f t="shared" si="59"/>
        <v>109.99999999999997</v>
      </c>
      <c r="BS99" s="242">
        <f t="shared" si="60"/>
        <v>4742.1941713200004</v>
      </c>
      <c r="BT99" s="240">
        <v>1</v>
      </c>
      <c r="BV99" s="232" t="s">
        <v>1351</v>
      </c>
      <c r="BW99" s="238">
        <f t="shared" si="61"/>
        <v>4667.6521913200004</v>
      </c>
      <c r="BX99" s="239">
        <f t="shared" si="62"/>
        <v>129.99999999999997</v>
      </c>
      <c r="BY99" s="243">
        <v>1</v>
      </c>
      <c r="BZ99" s="241">
        <f t="shared" si="63"/>
        <v>129.99999999999997</v>
      </c>
      <c r="CA99" s="242">
        <f t="shared" si="64"/>
        <v>4797.6521913200004</v>
      </c>
      <c r="CB99" s="240">
        <v>1</v>
      </c>
      <c r="CD99" s="232" t="s">
        <v>1351</v>
      </c>
      <c r="CE99" s="238">
        <f t="shared" si="65"/>
        <v>4674.55219132</v>
      </c>
      <c r="CF99" s="239">
        <f t="shared" si="66"/>
        <v>136.6666666666666</v>
      </c>
      <c r="CG99" s="243">
        <v>1</v>
      </c>
      <c r="CH99" s="241">
        <f t="shared" si="67"/>
        <v>136.6666666666666</v>
      </c>
      <c r="CI99" s="242">
        <f t="shared" si="68"/>
        <v>4811.218857986667</v>
      </c>
      <c r="CJ99" s="244">
        <v>1</v>
      </c>
    </row>
    <row r="100" spans="1:88" ht="30.75" customHeight="1" x14ac:dyDescent="0.3">
      <c r="A100" s="224" t="s">
        <v>262</v>
      </c>
      <c r="B100" s="225" t="s">
        <v>1331</v>
      </c>
      <c r="C100" s="226">
        <v>2.5519981999999999</v>
      </c>
      <c r="D100" s="470">
        <f>PARÂMETROS!$E$21*C100</f>
        <v>5469.3149423300001</v>
      </c>
      <c r="E100" s="470"/>
      <c r="F100" s="228">
        <v>0.86699999999999999</v>
      </c>
      <c r="G100" s="227">
        <f>F100*PARÂMETROS!$E$22</f>
        <v>36.734789999999997</v>
      </c>
      <c r="H100" s="228">
        <v>2E-3</v>
      </c>
      <c r="I100" s="227">
        <f>H100*PARÂMETROS!$E$22</f>
        <v>8.4739999999999996E-2</v>
      </c>
      <c r="J100" s="228">
        <f t="shared" si="46"/>
        <v>8.6699999999999999E-2</v>
      </c>
      <c r="K100" s="230">
        <f>J100*PARÂMETROS!$E$8</f>
        <v>2.6781630000000001</v>
      </c>
      <c r="L100" s="229">
        <f t="shared" si="47"/>
        <v>2.0000000000000001E-4</v>
      </c>
      <c r="M100" s="230">
        <f>L100*PARÂMETROS!$E$8</f>
        <v>6.1780000000000003E-3</v>
      </c>
      <c r="N100" s="231">
        <v>2.44</v>
      </c>
      <c r="O100" s="230">
        <f>N100*PARÂMETROS!$E$27</f>
        <v>7.32</v>
      </c>
      <c r="P100" s="170"/>
      <c r="Q100" s="191"/>
      <c r="R100" s="232" t="s">
        <v>1352</v>
      </c>
      <c r="S100" s="233">
        <f t="shared" si="48"/>
        <v>5469.40586033</v>
      </c>
      <c r="U100" s="232" t="s">
        <v>1352</v>
      </c>
      <c r="V100" s="233">
        <f t="shared" si="49"/>
        <v>5508.81881333</v>
      </c>
      <c r="X100" s="232" t="s">
        <v>1352</v>
      </c>
      <c r="Y100" s="233">
        <f t="shared" si="50"/>
        <v>5516.1388133299997</v>
      </c>
      <c r="AA100" s="232" t="s">
        <v>1352</v>
      </c>
      <c r="AB100" s="234">
        <f>PARÂMETROS!$H$3</f>
        <v>40</v>
      </c>
      <c r="AC100" s="235">
        <v>4.1666666666666699E-2</v>
      </c>
      <c r="AD100" s="235">
        <v>6.9444444444444397E-3</v>
      </c>
      <c r="AE100" s="235">
        <v>2.0833333333333301E-2</v>
      </c>
      <c r="AF100" s="235">
        <v>6.9444444444444397E-3</v>
      </c>
      <c r="AG100" s="236"/>
      <c r="AH100" s="236"/>
      <c r="AI100" s="235">
        <v>6.9444444444444397E-3</v>
      </c>
      <c r="AJ100" s="235">
        <v>3.125E-2</v>
      </c>
      <c r="AK100" s="237">
        <f t="shared" si="51"/>
        <v>0.11458333333333331</v>
      </c>
      <c r="AL100" s="234">
        <f t="shared" si="52"/>
        <v>109.99999999999997</v>
      </c>
      <c r="AM100" s="193"/>
      <c r="AN100" s="232" t="s">
        <v>1352</v>
      </c>
      <c r="AO100" s="234">
        <f>PARÂMETROS!$H$3</f>
        <v>40</v>
      </c>
      <c r="AP100" s="235">
        <v>4.1666666666666699E-2</v>
      </c>
      <c r="AQ100" s="235">
        <v>6.9444444444444397E-3</v>
      </c>
      <c r="AR100" s="235">
        <v>2.0833333333333301E-2</v>
      </c>
      <c r="AS100" s="235">
        <v>6.9444444444444397E-3</v>
      </c>
      <c r="AT100" s="235">
        <v>2.0833333333333301E-2</v>
      </c>
      <c r="AU100" s="236"/>
      <c r="AV100" s="235">
        <v>6.9444444444444397E-3</v>
      </c>
      <c r="AW100" s="235">
        <v>3.125E-2</v>
      </c>
      <c r="AX100" s="237">
        <f t="shared" si="53"/>
        <v>0.13541666666666663</v>
      </c>
      <c r="AY100" s="234">
        <f t="shared" si="54"/>
        <v>129.99999999999997</v>
      </c>
      <c r="AZ100" s="193"/>
      <c r="BA100" s="232" t="s">
        <v>1352</v>
      </c>
      <c r="BB100" s="234">
        <f>PARÂMETROS!$H$3</f>
        <v>40</v>
      </c>
      <c r="BC100" s="235">
        <v>4.1666666666666699E-2</v>
      </c>
      <c r="BD100" s="235">
        <v>6.9444444444444397E-3</v>
      </c>
      <c r="BE100" s="235">
        <v>2.0833333333333301E-2</v>
      </c>
      <c r="BF100" s="235">
        <v>6.9444444444444397E-3</v>
      </c>
      <c r="BG100" s="235">
        <v>2.0833333333333301E-2</v>
      </c>
      <c r="BH100" s="235">
        <v>6.9444444444444397E-3</v>
      </c>
      <c r="BI100" s="235">
        <v>6.9444444444444397E-3</v>
      </c>
      <c r="BJ100" s="235">
        <v>3.125E-2</v>
      </c>
      <c r="BK100" s="237">
        <f t="shared" si="55"/>
        <v>0.14236111111111105</v>
      </c>
      <c r="BL100" s="234">
        <f t="shared" si="56"/>
        <v>136.6666666666666</v>
      </c>
      <c r="BN100" s="232" t="s">
        <v>1352</v>
      </c>
      <c r="BO100" s="238">
        <f t="shared" si="57"/>
        <v>5469.40586033</v>
      </c>
      <c r="BP100" s="239">
        <f t="shared" si="58"/>
        <v>109.99999999999997</v>
      </c>
      <c r="BQ100" s="243">
        <v>1</v>
      </c>
      <c r="BR100" s="241">
        <f t="shared" si="59"/>
        <v>109.99999999999997</v>
      </c>
      <c r="BS100" s="242">
        <f t="shared" si="60"/>
        <v>5579.40586033</v>
      </c>
      <c r="BT100" s="240">
        <v>1</v>
      </c>
      <c r="BV100" s="232" t="s">
        <v>1352</v>
      </c>
      <c r="BW100" s="238">
        <f t="shared" si="61"/>
        <v>5508.81881333</v>
      </c>
      <c r="BX100" s="239">
        <f t="shared" si="62"/>
        <v>129.99999999999997</v>
      </c>
      <c r="BY100" s="243">
        <v>1</v>
      </c>
      <c r="BZ100" s="241">
        <f t="shared" si="63"/>
        <v>129.99999999999997</v>
      </c>
      <c r="CA100" s="242">
        <f t="shared" si="64"/>
        <v>5638.81881333</v>
      </c>
      <c r="CB100" s="240">
        <v>1</v>
      </c>
      <c r="CD100" s="232" t="s">
        <v>1352</v>
      </c>
      <c r="CE100" s="238">
        <f t="shared" si="65"/>
        <v>5516.1388133299997</v>
      </c>
      <c r="CF100" s="239">
        <f t="shared" si="66"/>
        <v>136.6666666666666</v>
      </c>
      <c r="CG100" s="243">
        <v>1</v>
      </c>
      <c r="CH100" s="241">
        <f t="shared" si="67"/>
        <v>136.6666666666666</v>
      </c>
      <c r="CI100" s="242">
        <f t="shared" si="68"/>
        <v>5652.8054799966667</v>
      </c>
      <c r="CJ100" s="244">
        <v>1</v>
      </c>
    </row>
    <row r="101" spans="1:88" ht="30.75" customHeight="1" x14ac:dyDescent="0.3">
      <c r="A101" s="224" t="s">
        <v>266</v>
      </c>
      <c r="B101" s="225" t="s">
        <v>1331</v>
      </c>
      <c r="C101" s="226">
        <v>2.9870752</v>
      </c>
      <c r="D101" s="470">
        <f>PARÂMETROS!$E$21*C101</f>
        <v>6401.7502148800004</v>
      </c>
      <c r="E101" s="470"/>
      <c r="F101" s="228">
        <v>1</v>
      </c>
      <c r="G101" s="227">
        <f>F101*PARÂMETROS!$E$22</f>
        <v>42.37</v>
      </c>
      <c r="H101" s="228">
        <v>2E-3</v>
      </c>
      <c r="I101" s="227">
        <f>H101*PARÂMETROS!$E$22</f>
        <v>8.4739999999999996E-2</v>
      </c>
      <c r="J101" s="228">
        <f t="shared" si="46"/>
        <v>0.1</v>
      </c>
      <c r="K101" s="230">
        <f>J101*PARÂMETROS!$E$8</f>
        <v>3.0890000000000004</v>
      </c>
      <c r="L101" s="229">
        <f t="shared" si="47"/>
        <v>2.0000000000000001E-4</v>
      </c>
      <c r="M101" s="230">
        <f>L101*PARÂMETROS!$E$8</f>
        <v>6.1780000000000003E-3</v>
      </c>
      <c r="N101" s="231">
        <v>2.56</v>
      </c>
      <c r="O101" s="230">
        <f>N101*PARÂMETROS!$E$27</f>
        <v>7.68</v>
      </c>
      <c r="P101" s="170"/>
      <c r="Q101" s="191"/>
      <c r="R101" s="232" t="s">
        <v>1353</v>
      </c>
      <c r="S101" s="233">
        <f t="shared" si="48"/>
        <v>6401.8411328800003</v>
      </c>
      <c r="U101" s="232" t="s">
        <v>1353</v>
      </c>
      <c r="V101" s="233">
        <f t="shared" si="49"/>
        <v>6447.3001328800001</v>
      </c>
      <c r="X101" s="232" t="s">
        <v>1353</v>
      </c>
      <c r="Y101" s="233">
        <f t="shared" si="50"/>
        <v>6454.9801328800004</v>
      </c>
      <c r="AA101" s="232" t="s">
        <v>1353</v>
      </c>
      <c r="AB101" s="234">
        <f>PARÂMETROS!$H$3</f>
        <v>40</v>
      </c>
      <c r="AC101" s="235">
        <v>8.3333333333333301E-2</v>
      </c>
      <c r="AD101" s="235">
        <v>6.9444444444444397E-3</v>
      </c>
      <c r="AE101" s="235">
        <v>2.0833333333333301E-2</v>
      </c>
      <c r="AF101" s="235">
        <v>6.9444444444444397E-3</v>
      </c>
      <c r="AG101" s="236"/>
      <c r="AH101" s="236"/>
      <c r="AI101" s="235">
        <v>6.9444444444444397E-3</v>
      </c>
      <c r="AJ101" s="235">
        <v>3.125E-2</v>
      </c>
      <c r="AK101" s="237">
        <f t="shared" si="51"/>
        <v>0.15624999999999989</v>
      </c>
      <c r="AL101" s="234">
        <f t="shared" si="52"/>
        <v>149.99999999999989</v>
      </c>
      <c r="AM101" s="193"/>
      <c r="AN101" s="232" t="s">
        <v>1353</v>
      </c>
      <c r="AO101" s="234">
        <f>PARÂMETROS!$H$3</f>
        <v>40</v>
      </c>
      <c r="AP101" s="235">
        <v>8.3333333333333301E-2</v>
      </c>
      <c r="AQ101" s="235">
        <v>6.9444444444444397E-3</v>
      </c>
      <c r="AR101" s="235">
        <v>2.0833333333333301E-2</v>
      </c>
      <c r="AS101" s="235">
        <v>6.9444444444444397E-3</v>
      </c>
      <c r="AT101" s="235">
        <v>2.0833333333333301E-2</v>
      </c>
      <c r="AU101" s="236"/>
      <c r="AV101" s="235">
        <v>6.9444444444444397E-3</v>
      </c>
      <c r="AW101" s="235">
        <v>3.125E-2</v>
      </c>
      <c r="AX101" s="237">
        <f t="shared" si="53"/>
        <v>0.17708333333333323</v>
      </c>
      <c r="AY101" s="234">
        <f t="shared" si="54"/>
        <v>169.99999999999991</v>
      </c>
      <c r="AZ101" s="193"/>
      <c r="BA101" s="232" t="s">
        <v>1353</v>
      </c>
      <c r="BB101" s="234">
        <f>PARÂMETROS!$H$3</f>
        <v>40</v>
      </c>
      <c r="BC101" s="235">
        <v>8.3333333333333301E-2</v>
      </c>
      <c r="BD101" s="235">
        <v>6.9444444444444397E-3</v>
      </c>
      <c r="BE101" s="235">
        <v>2.0833333333333301E-2</v>
      </c>
      <c r="BF101" s="235">
        <v>6.9444444444444397E-3</v>
      </c>
      <c r="BG101" s="235">
        <v>2.0833333333333301E-2</v>
      </c>
      <c r="BH101" s="235">
        <v>6.9444444444444397E-3</v>
      </c>
      <c r="BI101" s="235">
        <v>6.9444444444444397E-3</v>
      </c>
      <c r="BJ101" s="235">
        <v>3.125E-2</v>
      </c>
      <c r="BK101" s="237">
        <f t="shared" si="55"/>
        <v>0.18402777777777768</v>
      </c>
      <c r="BL101" s="234">
        <f t="shared" si="56"/>
        <v>176.66666666666657</v>
      </c>
      <c r="BN101" s="232" t="s">
        <v>1353</v>
      </c>
      <c r="BO101" s="238">
        <f t="shared" si="57"/>
        <v>6401.8411328800003</v>
      </c>
      <c r="BP101" s="239">
        <f t="shared" si="58"/>
        <v>149.99999999999989</v>
      </c>
      <c r="BQ101" s="243">
        <v>1</v>
      </c>
      <c r="BR101" s="241">
        <f t="shared" si="59"/>
        <v>149.99999999999989</v>
      </c>
      <c r="BS101" s="242">
        <f t="shared" si="60"/>
        <v>6551.8411328800003</v>
      </c>
      <c r="BT101" s="240">
        <v>1</v>
      </c>
      <c r="BV101" s="232" t="s">
        <v>1353</v>
      </c>
      <c r="BW101" s="238">
        <f t="shared" si="61"/>
        <v>6447.3001328800001</v>
      </c>
      <c r="BX101" s="239">
        <f t="shared" si="62"/>
        <v>169.99999999999991</v>
      </c>
      <c r="BY101" s="243">
        <v>1</v>
      </c>
      <c r="BZ101" s="241">
        <f t="shared" si="63"/>
        <v>169.99999999999991</v>
      </c>
      <c r="CA101" s="242">
        <f t="shared" si="64"/>
        <v>6617.3001328800001</v>
      </c>
      <c r="CB101" s="240">
        <v>1</v>
      </c>
      <c r="CD101" s="232" t="s">
        <v>1353</v>
      </c>
      <c r="CE101" s="238">
        <f t="shared" si="65"/>
        <v>6454.9801328800004</v>
      </c>
      <c r="CF101" s="239">
        <f t="shared" si="66"/>
        <v>176.66666666666657</v>
      </c>
      <c r="CG101" s="243">
        <v>1</v>
      </c>
      <c r="CH101" s="241">
        <f t="shared" si="67"/>
        <v>176.66666666666657</v>
      </c>
      <c r="CI101" s="242">
        <f t="shared" si="68"/>
        <v>6631.6467995466674</v>
      </c>
      <c r="CJ101" s="244">
        <v>1</v>
      </c>
    </row>
    <row r="102" spans="1:88" ht="30.75" customHeight="1" x14ac:dyDescent="0.3">
      <c r="A102" s="224" t="s">
        <v>270</v>
      </c>
      <c r="B102" s="225" t="s">
        <v>1331</v>
      </c>
      <c r="C102" s="226">
        <v>3.4689762000000002</v>
      </c>
      <c r="D102" s="470">
        <f>PARÂMETROS!$E$21*C102</f>
        <v>7434.5363430300004</v>
      </c>
      <c r="E102" s="470"/>
      <c r="F102" s="228">
        <v>1.08</v>
      </c>
      <c r="G102" s="227">
        <f>F102*PARÂMETROS!$E$22</f>
        <v>45.759599999999999</v>
      </c>
      <c r="H102" s="228">
        <v>2E-3</v>
      </c>
      <c r="I102" s="227">
        <f>H102*PARÂMETROS!$E$22</f>
        <v>8.4739999999999996E-2</v>
      </c>
      <c r="J102" s="228">
        <f t="shared" si="46"/>
        <v>0.10800000000000001</v>
      </c>
      <c r="K102" s="230">
        <f>J102*PARÂMETROS!$E$8</f>
        <v>3.3361200000000006</v>
      </c>
      <c r="L102" s="229">
        <f t="shared" si="47"/>
        <v>2.0000000000000001E-4</v>
      </c>
      <c r="M102" s="230">
        <f>L102*PARÂMETROS!$E$8</f>
        <v>6.1780000000000003E-3</v>
      </c>
      <c r="N102" s="231">
        <v>2.68</v>
      </c>
      <c r="O102" s="230">
        <f>N102*PARÂMETROS!$E$27</f>
        <v>8.0400000000000009</v>
      </c>
      <c r="P102" s="170"/>
      <c r="Q102" s="191"/>
      <c r="R102" s="232" t="s">
        <v>1354</v>
      </c>
      <c r="S102" s="233">
        <f t="shared" si="48"/>
        <v>7434.6272610300002</v>
      </c>
      <c r="U102" s="232" t="s">
        <v>1354</v>
      </c>
      <c r="V102" s="233">
        <f t="shared" si="49"/>
        <v>7483.7229810300005</v>
      </c>
      <c r="X102" s="232" t="s">
        <v>1354</v>
      </c>
      <c r="Y102" s="233">
        <f t="shared" si="50"/>
        <v>7491.7629810300004</v>
      </c>
      <c r="AA102" s="232" t="s">
        <v>1354</v>
      </c>
      <c r="AB102" s="234">
        <f>PARÂMETROS!$H$3</f>
        <v>40</v>
      </c>
      <c r="AC102" s="235">
        <v>8.3333333333333301E-2</v>
      </c>
      <c r="AD102" s="235">
        <v>6.9444444444444397E-3</v>
      </c>
      <c r="AE102" s="235">
        <v>2.0833333333333301E-2</v>
      </c>
      <c r="AF102" s="235">
        <v>6.9444444444444397E-3</v>
      </c>
      <c r="AG102" s="236"/>
      <c r="AH102" s="236"/>
      <c r="AI102" s="235">
        <v>6.9444444444444397E-3</v>
      </c>
      <c r="AJ102" s="235">
        <v>3.125E-2</v>
      </c>
      <c r="AK102" s="237">
        <f t="shared" ref="AK102:AK104" si="69">AC102+AD102+AE102+AF102+AG102+AH102+AI102+AJ102</f>
        <v>0.15624999999999989</v>
      </c>
      <c r="AL102" s="234">
        <f t="shared" ref="AL102:AL104" si="70">AB102*AK102*24</f>
        <v>149.99999999999989</v>
      </c>
      <c r="AM102" s="193"/>
      <c r="AN102" s="232" t="s">
        <v>1354</v>
      </c>
      <c r="AO102" s="234">
        <f>PARÂMETROS!$H$3</f>
        <v>40</v>
      </c>
      <c r="AP102" s="235">
        <v>8.3333333333333301E-2</v>
      </c>
      <c r="AQ102" s="235">
        <v>6.9444444444444397E-3</v>
      </c>
      <c r="AR102" s="235">
        <v>2.0833333333333301E-2</v>
      </c>
      <c r="AS102" s="235">
        <v>6.9444444444444397E-3</v>
      </c>
      <c r="AT102" s="235">
        <v>2.0833333333333301E-2</v>
      </c>
      <c r="AU102" s="236"/>
      <c r="AV102" s="235">
        <v>6.9444444444444397E-3</v>
      </c>
      <c r="AW102" s="235">
        <v>3.125E-2</v>
      </c>
      <c r="AX102" s="237">
        <f t="shared" ref="AX102:AX104" si="71">AP102+AQ102+AR102+AS102+AT102+AU102+AV102+AW102</f>
        <v>0.17708333333333323</v>
      </c>
      <c r="AY102" s="234">
        <f t="shared" ref="AY102:AY104" si="72">AO102*AX102*24</f>
        <v>169.99999999999991</v>
      </c>
      <c r="AZ102" s="193"/>
      <c r="BA102" s="232" t="s">
        <v>1354</v>
      </c>
      <c r="BB102" s="234">
        <f>PARÂMETROS!$H$3</f>
        <v>40</v>
      </c>
      <c r="BC102" s="235">
        <v>8.3333333333333301E-2</v>
      </c>
      <c r="BD102" s="235">
        <v>6.9444444444444397E-3</v>
      </c>
      <c r="BE102" s="235">
        <v>2.0833333333333301E-2</v>
      </c>
      <c r="BF102" s="235">
        <v>6.9444444444444397E-3</v>
      </c>
      <c r="BG102" s="235">
        <v>2.0833333333333301E-2</v>
      </c>
      <c r="BH102" s="235">
        <v>6.9444444444444397E-3</v>
      </c>
      <c r="BI102" s="235">
        <v>6.9444444444444397E-3</v>
      </c>
      <c r="BJ102" s="235">
        <v>3.125E-2</v>
      </c>
      <c r="BK102" s="237">
        <f t="shared" ref="BK102:BK104" si="73">BC102+BD102+BE102+BF102+BG102+BH102+BI102+BJ102</f>
        <v>0.18402777777777768</v>
      </c>
      <c r="BL102" s="234">
        <f t="shared" ref="BL102:BL104" si="74">BB102*BK102*24</f>
        <v>176.66666666666657</v>
      </c>
      <c r="BN102" s="232" t="s">
        <v>1354</v>
      </c>
      <c r="BO102" s="238">
        <f t="shared" si="57"/>
        <v>7434.6272610300002</v>
      </c>
      <c r="BP102" s="239">
        <f t="shared" si="58"/>
        <v>149.99999999999989</v>
      </c>
      <c r="BQ102" s="243">
        <v>1</v>
      </c>
      <c r="BR102" s="241">
        <f t="shared" ref="BR102:BR104" si="75">IFERROR(BP102/BQ102,0)</f>
        <v>149.99999999999989</v>
      </c>
      <c r="BS102" s="242">
        <f t="shared" ref="BS102:BS104" si="76">BR102+BO102</f>
        <v>7584.6272610300002</v>
      </c>
      <c r="BT102" s="240">
        <v>1</v>
      </c>
      <c r="BV102" s="232" t="s">
        <v>1354</v>
      </c>
      <c r="BW102" s="238">
        <f t="shared" si="61"/>
        <v>7483.7229810300005</v>
      </c>
      <c r="BX102" s="239">
        <f t="shared" si="62"/>
        <v>169.99999999999991</v>
      </c>
      <c r="BY102" s="243">
        <v>1</v>
      </c>
      <c r="BZ102" s="241">
        <f t="shared" ref="BZ102:BZ104" si="77">IFERROR(BX102/BY102,0)</f>
        <v>169.99999999999991</v>
      </c>
      <c r="CA102" s="242">
        <f t="shared" ref="CA102:CA104" si="78">BZ102+BW102</f>
        <v>7653.7229810300005</v>
      </c>
      <c r="CB102" s="240">
        <v>1</v>
      </c>
      <c r="CD102" s="232" t="s">
        <v>1354</v>
      </c>
      <c r="CE102" s="238">
        <f t="shared" si="65"/>
        <v>7491.7629810300004</v>
      </c>
      <c r="CF102" s="239">
        <f t="shared" si="66"/>
        <v>176.66666666666657</v>
      </c>
      <c r="CG102" s="243">
        <v>1</v>
      </c>
      <c r="CH102" s="241">
        <f t="shared" ref="CH102:CH104" si="79">IFERROR(CF102/CG102,0)</f>
        <v>176.66666666666657</v>
      </c>
      <c r="CI102" s="242">
        <f t="shared" ref="CI102:CI104" si="80">CH102+CE102</f>
        <v>7668.4296476966674</v>
      </c>
      <c r="CJ102" s="244">
        <v>1</v>
      </c>
    </row>
    <row r="103" spans="1:88" ht="30.75" customHeight="1" x14ac:dyDescent="0.3">
      <c r="A103" s="224" t="s">
        <v>274</v>
      </c>
      <c r="B103" s="225" t="s">
        <v>1331</v>
      </c>
      <c r="C103" s="226">
        <v>4.0000939999999998</v>
      </c>
      <c r="D103" s="470">
        <f>PARÂMETROS!$E$21*C103</f>
        <v>8572.8014561</v>
      </c>
      <c r="E103" s="470"/>
      <c r="F103" s="228">
        <v>1.1619999999999999</v>
      </c>
      <c r="G103" s="227">
        <f>F103*PARÂMETROS!$E$22</f>
        <v>49.233939999999997</v>
      </c>
      <c r="H103" s="228">
        <v>2E-3</v>
      </c>
      <c r="I103" s="227">
        <f>H103*PARÂMETROS!$E$22</f>
        <v>8.4739999999999996E-2</v>
      </c>
      <c r="J103" s="228">
        <f t="shared" si="46"/>
        <v>0.1162</v>
      </c>
      <c r="K103" s="230">
        <f>J103*PARÂMETROS!$E$8</f>
        <v>3.5894179999999998</v>
      </c>
      <c r="L103" s="229">
        <f t="shared" si="47"/>
        <v>2.0000000000000001E-4</v>
      </c>
      <c r="M103" s="230">
        <f>L103*PARÂMETROS!$E$8</f>
        <v>6.1780000000000003E-3</v>
      </c>
      <c r="N103" s="231">
        <v>2.76</v>
      </c>
      <c r="O103" s="230">
        <f>N103*PARÂMETROS!$E$27</f>
        <v>8.2799999999999994</v>
      </c>
      <c r="P103" s="170"/>
      <c r="Q103" s="191"/>
      <c r="R103" s="232" t="s">
        <v>1355</v>
      </c>
      <c r="S103" s="233">
        <f t="shared" si="48"/>
        <v>8572.8923740999999</v>
      </c>
      <c r="U103" s="232" t="s">
        <v>1355</v>
      </c>
      <c r="V103" s="233">
        <f t="shared" si="49"/>
        <v>8625.7157320999995</v>
      </c>
      <c r="X103" s="232" t="s">
        <v>1355</v>
      </c>
      <c r="Y103" s="233">
        <f t="shared" si="50"/>
        <v>8633.9957321000002</v>
      </c>
      <c r="AA103" s="232" t="s">
        <v>1355</v>
      </c>
      <c r="AB103" s="234">
        <f>PARÂMETROS!$H$3</f>
        <v>40</v>
      </c>
      <c r="AC103" s="235">
        <v>8.3333333333333301E-2</v>
      </c>
      <c r="AD103" s="235">
        <v>6.9444444444444397E-3</v>
      </c>
      <c r="AE103" s="235">
        <v>2.0833333333333301E-2</v>
      </c>
      <c r="AF103" s="235">
        <v>6.9444444444444397E-3</v>
      </c>
      <c r="AG103" s="236"/>
      <c r="AH103" s="236"/>
      <c r="AI103" s="235">
        <v>6.9444444444444397E-3</v>
      </c>
      <c r="AJ103" s="235">
        <v>3.125E-2</v>
      </c>
      <c r="AK103" s="237">
        <f t="shared" si="69"/>
        <v>0.15624999999999989</v>
      </c>
      <c r="AL103" s="234">
        <f t="shared" si="70"/>
        <v>149.99999999999989</v>
      </c>
      <c r="AM103" s="193"/>
      <c r="AN103" s="232" t="s">
        <v>1355</v>
      </c>
      <c r="AO103" s="234">
        <f>PARÂMETROS!$H$3</f>
        <v>40</v>
      </c>
      <c r="AP103" s="235">
        <v>8.3333333333333301E-2</v>
      </c>
      <c r="AQ103" s="235">
        <v>6.9444444444444397E-3</v>
      </c>
      <c r="AR103" s="235">
        <v>2.0833333333333301E-2</v>
      </c>
      <c r="AS103" s="235">
        <v>6.9444444444444397E-3</v>
      </c>
      <c r="AT103" s="235">
        <v>2.0833333333333301E-2</v>
      </c>
      <c r="AU103" s="236"/>
      <c r="AV103" s="235">
        <v>6.9444444444444397E-3</v>
      </c>
      <c r="AW103" s="235">
        <v>3.125E-2</v>
      </c>
      <c r="AX103" s="237">
        <f t="shared" si="71"/>
        <v>0.17708333333333323</v>
      </c>
      <c r="AY103" s="234">
        <f t="shared" si="72"/>
        <v>169.99999999999991</v>
      </c>
      <c r="AZ103" s="193"/>
      <c r="BA103" s="232" t="s">
        <v>1355</v>
      </c>
      <c r="BB103" s="234">
        <f>PARÂMETROS!$H$3</f>
        <v>40</v>
      </c>
      <c r="BC103" s="235">
        <v>8.3333333333333301E-2</v>
      </c>
      <c r="BD103" s="235">
        <v>6.9444444444444397E-3</v>
      </c>
      <c r="BE103" s="235">
        <v>2.0833333333333301E-2</v>
      </c>
      <c r="BF103" s="235">
        <v>6.9444444444444397E-3</v>
      </c>
      <c r="BG103" s="235">
        <v>2.0833333333333301E-2</v>
      </c>
      <c r="BH103" s="235">
        <v>6.9444444444444397E-3</v>
      </c>
      <c r="BI103" s="235">
        <v>6.9444444444444397E-3</v>
      </c>
      <c r="BJ103" s="235">
        <v>3.125E-2</v>
      </c>
      <c r="BK103" s="237">
        <f t="shared" si="73"/>
        <v>0.18402777777777768</v>
      </c>
      <c r="BL103" s="234">
        <f t="shared" si="74"/>
        <v>176.66666666666657</v>
      </c>
      <c r="BN103" s="232" t="s">
        <v>1355</v>
      </c>
      <c r="BO103" s="238">
        <f t="shared" si="57"/>
        <v>8572.8923740999999</v>
      </c>
      <c r="BP103" s="239">
        <f t="shared" si="58"/>
        <v>149.99999999999989</v>
      </c>
      <c r="BQ103" s="243">
        <v>1</v>
      </c>
      <c r="BR103" s="241">
        <f t="shared" si="75"/>
        <v>149.99999999999989</v>
      </c>
      <c r="BS103" s="242">
        <f t="shared" si="76"/>
        <v>8722.8923740999999</v>
      </c>
      <c r="BT103" s="240">
        <v>1</v>
      </c>
      <c r="BV103" s="232" t="s">
        <v>1355</v>
      </c>
      <c r="BW103" s="238">
        <f t="shared" si="61"/>
        <v>8625.7157320999995</v>
      </c>
      <c r="BX103" s="239">
        <f t="shared" si="62"/>
        <v>169.99999999999991</v>
      </c>
      <c r="BY103" s="243">
        <v>1</v>
      </c>
      <c r="BZ103" s="241">
        <f t="shared" si="77"/>
        <v>169.99999999999991</v>
      </c>
      <c r="CA103" s="242">
        <f t="shared" si="78"/>
        <v>8795.7157320999995</v>
      </c>
      <c r="CB103" s="240">
        <v>1</v>
      </c>
      <c r="CD103" s="232" t="s">
        <v>1355</v>
      </c>
      <c r="CE103" s="238">
        <f t="shared" si="65"/>
        <v>8633.9957321000002</v>
      </c>
      <c r="CF103" s="239">
        <f t="shared" si="66"/>
        <v>176.66666666666657</v>
      </c>
      <c r="CG103" s="243">
        <v>1</v>
      </c>
      <c r="CH103" s="241">
        <f t="shared" si="79"/>
        <v>176.66666666666657</v>
      </c>
      <c r="CI103" s="242">
        <f t="shared" si="80"/>
        <v>8810.6623987666662</v>
      </c>
      <c r="CJ103" s="244">
        <v>1</v>
      </c>
    </row>
    <row r="104" spans="1:88" ht="30.75" customHeight="1" x14ac:dyDescent="0.3">
      <c r="A104" s="224" t="s">
        <v>278</v>
      </c>
      <c r="B104" s="225" t="s">
        <v>1331</v>
      </c>
      <c r="C104" s="226">
        <v>4.582821</v>
      </c>
      <c r="D104" s="470">
        <f>PARÂMETROS!$E$21*C104</f>
        <v>9821.6728261500011</v>
      </c>
      <c r="E104" s="470"/>
      <c r="F104" s="228">
        <v>1.27</v>
      </c>
      <c r="G104" s="227">
        <f>F104*PARÂMETROS!$E$22</f>
        <v>53.809899999999999</v>
      </c>
      <c r="H104" s="228">
        <v>2E-3</v>
      </c>
      <c r="I104" s="227">
        <f>H104*PARÂMETROS!$E$22</f>
        <v>8.4739999999999996E-2</v>
      </c>
      <c r="J104" s="228">
        <f t="shared" si="46"/>
        <v>0.127</v>
      </c>
      <c r="K104" s="230">
        <f>J104*PARÂMETROS!$E$8</f>
        <v>3.9230300000000002</v>
      </c>
      <c r="L104" s="229">
        <f t="shared" si="47"/>
        <v>2.0000000000000001E-4</v>
      </c>
      <c r="M104" s="230">
        <f>L104*PARÂMETROS!$E$8</f>
        <v>6.1780000000000003E-3</v>
      </c>
      <c r="N104" s="231">
        <v>2.8</v>
      </c>
      <c r="O104" s="230">
        <f>N104*PARÂMETROS!$E$27</f>
        <v>8.3999999999999986</v>
      </c>
      <c r="P104" s="170"/>
      <c r="Q104" s="191"/>
      <c r="R104" s="232" t="s">
        <v>1356</v>
      </c>
      <c r="S104" s="233">
        <f t="shared" si="48"/>
        <v>9821.763744150001</v>
      </c>
      <c r="U104" s="232" t="s">
        <v>1356</v>
      </c>
      <c r="V104" s="233">
        <f t="shared" si="49"/>
        <v>9879.4966741500011</v>
      </c>
      <c r="X104" s="232" t="s">
        <v>1356</v>
      </c>
      <c r="Y104" s="233">
        <f t="shared" si="50"/>
        <v>9887.8966741500008</v>
      </c>
      <c r="AA104" s="232" t="s">
        <v>1356</v>
      </c>
      <c r="AB104" s="234">
        <f>PARÂMETROS!$H$3</f>
        <v>40</v>
      </c>
      <c r="AC104" s="235">
        <v>8.3333333333333301E-2</v>
      </c>
      <c r="AD104" s="235">
        <v>6.9444444444444397E-3</v>
      </c>
      <c r="AE104" s="235">
        <v>2.0833333333333301E-2</v>
      </c>
      <c r="AF104" s="235">
        <v>6.9444444444444397E-3</v>
      </c>
      <c r="AG104" s="236"/>
      <c r="AH104" s="236"/>
      <c r="AI104" s="235">
        <v>6.9444444444444397E-3</v>
      </c>
      <c r="AJ104" s="235">
        <v>3.125E-2</v>
      </c>
      <c r="AK104" s="237">
        <f t="shared" si="69"/>
        <v>0.15624999999999989</v>
      </c>
      <c r="AL104" s="234">
        <f t="shared" si="70"/>
        <v>149.99999999999989</v>
      </c>
      <c r="AM104" s="193"/>
      <c r="AN104" s="232" t="s">
        <v>1356</v>
      </c>
      <c r="AO104" s="234">
        <f>PARÂMETROS!$H$3</f>
        <v>40</v>
      </c>
      <c r="AP104" s="235">
        <v>8.3333333333333301E-2</v>
      </c>
      <c r="AQ104" s="235">
        <v>6.9444444444444397E-3</v>
      </c>
      <c r="AR104" s="235">
        <v>2.0833333333333301E-2</v>
      </c>
      <c r="AS104" s="235">
        <v>6.9444444444444397E-3</v>
      </c>
      <c r="AT104" s="235">
        <v>2.0833333333333301E-2</v>
      </c>
      <c r="AU104" s="236"/>
      <c r="AV104" s="235">
        <v>6.9444444444444397E-3</v>
      </c>
      <c r="AW104" s="235">
        <v>3.125E-2</v>
      </c>
      <c r="AX104" s="237">
        <f t="shared" si="71"/>
        <v>0.17708333333333323</v>
      </c>
      <c r="AY104" s="234">
        <f t="shared" si="72"/>
        <v>169.99999999999991</v>
      </c>
      <c r="AZ104" s="193"/>
      <c r="BA104" s="232" t="s">
        <v>1356</v>
      </c>
      <c r="BB104" s="234">
        <f>PARÂMETROS!$H$3</f>
        <v>40</v>
      </c>
      <c r="BC104" s="235">
        <v>8.3333333333333301E-2</v>
      </c>
      <c r="BD104" s="235">
        <v>6.9444444444444397E-3</v>
      </c>
      <c r="BE104" s="235">
        <v>2.0833333333333301E-2</v>
      </c>
      <c r="BF104" s="235">
        <v>6.9444444444444397E-3</v>
      </c>
      <c r="BG104" s="235">
        <v>2.0833333333333301E-2</v>
      </c>
      <c r="BH104" s="235">
        <v>6.9444444444444397E-3</v>
      </c>
      <c r="BI104" s="235">
        <v>6.9444444444444397E-3</v>
      </c>
      <c r="BJ104" s="235">
        <v>3.125E-2</v>
      </c>
      <c r="BK104" s="237">
        <f t="shared" si="73"/>
        <v>0.18402777777777768</v>
      </c>
      <c r="BL104" s="234">
        <f t="shared" si="74"/>
        <v>176.66666666666657</v>
      </c>
      <c r="BN104" s="232" t="s">
        <v>1356</v>
      </c>
      <c r="BO104" s="238">
        <f t="shared" si="57"/>
        <v>9821.763744150001</v>
      </c>
      <c r="BP104" s="239">
        <f t="shared" si="58"/>
        <v>149.99999999999989</v>
      </c>
      <c r="BQ104" s="243">
        <v>1</v>
      </c>
      <c r="BR104" s="241">
        <f t="shared" si="75"/>
        <v>149.99999999999989</v>
      </c>
      <c r="BS104" s="242">
        <f t="shared" si="76"/>
        <v>9971.763744150001</v>
      </c>
      <c r="BT104" s="240">
        <v>1</v>
      </c>
      <c r="BV104" s="232" t="s">
        <v>1356</v>
      </c>
      <c r="BW104" s="238">
        <f t="shared" si="61"/>
        <v>9879.4966741500011</v>
      </c>
      <c r="BX104" s="239">
        <f t="shared" si="62"/>
        <v>169.99999999999991</v>
      </c>
      <c r="BY104" s="243">
        <v>1</v>
      </c>
      <c r="BZ104" s="241">
        <f t="shared" si="77"/>
        <v>169.99999999999991</v>
      </c>
      <c r="CA104" s="242">
        <f t="shared" si="78"/>
        <v>10049.496674150001</v>
      </c>
      <c r="CB104" s="240">
        <v>1</v>
      </c>
      <c r="CD104" s="232" t="s">
        <v>1356</v>
      </c>
      <c r="CE104" s="238">
        <f t="shared" si="65"/>
        <v>9887.8966741500008</v>
      </c>
      <c r="CF104" s="239">
        <f t="shared" si="66"/>
        <v>176.66666666666657</v>
      </c>
      <c r="CG104" s="243">
        <v>1</v>
      </c>
      <c r="CH104" s="241">
        <f t="shared" si="79"/>
        <v>176.66666666666657</v>
      </c>
      <c r="CI104" s="242">
        <f t="shared" si="80"/>
        <v>10064.563340816667</v>
      </c>
      <c r="CJ104" s="244">
        <v>1</v>
      </c>
    </row>
    <row r="105" spans="1:88" s="23" customFormat="1" ht="28.5" customHeight="1" x14ac:dyDescent="0.3">
      <c r="A105" s="245"/>
      <c r="B105" s="43"/>
      <c r="C105" s="43"/>
      <c r="D105" s="246"/>
      <c r="E105" s="43"/>
      <c r="F105" s="43"/>
      <c r="G105" s="246"/>
      <c r="H105" s="246"/>
      <c r="I105" s="246"/>
      <c r="J105" s="246"/>
      <c r="K105" s="246"/>
      <c r="L105" s="246"/>
      <c r="M105" s="246"/>
      <c r="N105" s="43"/>
      <c r="O105" s="247"/>
      <c r="P105" s="170"/>
      <c r="Q105" s="191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189"/>
      <c r="BR105" s="43"/>
      <c r="BS105" s="65"/>
      <c r="BT105" s="65"/>
      <c r="BU105" s="43"/>
      <c r="BV105" s="43"/>
      <c r="BW105" s="43"/>
      <c r="BX105" s="43"/>
      <c r="BY105" s="189"/>
      <c r="BZ105" s="43"/>
      <c r="CA105" s="65"/>
      <c r="CB105" s="65"/>
      <c r="CD105" s="43"/>
      <c r="CE105" s="43"/>
      <c r="CF105" s="43"/>
      <c r="CG105" s="189"/>
      <c r="CH105" s="43"/>
      <c r="CI105" s="65"/>
      <c r="CJ105" s="244">
        <v>5</v>
      </c>
    </row>
    <row r="106" spans="1:88" s="23" customFormat="1" ht="28.5" customHeight="1" x14ac:dyDescent="0.3">
      <c r="A106" s="245"/>
      <c r="B106" s="43"/>
      <c r="C106" s="43"/>
      <c r="D106" s="246"/>
      <c r="E106" s="43"/>
      <c r="F106" s="43"/>
      <c r="G106" s="246"/>
      <c r="H106" s="246"/>
      <c r="I106" s="246"/>
      <c r="J106" s="246"/>
      <c r="K106" s="246"/>
      <c r="L106" s="246"/>
      <c r="M106" s="246"/>
      <c r="N106" s="43"/>
      <c r="O106" s="247"/>
      <c r="P106" s="170"/>
      <c r="Q106" s="191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189"/>
      <c r="BR106" s="43"/>
      <c r="BS106" s="65"/>
      <c r="BT106" s="65"/>
      <c r="BU106" s="43"/>
      <c r="BV106" s="43"/>
      <c r="BW106" s="43"/>
      <c r="BX106" s="43"/>
      <c r="BY106" s="189"/>
      <c r="BZ106" s="43"/>
      <c r="CA106" s="65"/>
      <c r="CB106" s="65"/>
      <c r="CD106" s="43"/>
      <c r="CE106" s="43"/>
      <c r="CF106" s="43"/>
      <c r="CG106" s="189"/>
      <c r="CH106" s="43"/>
      <c r="CI106" s="65"/>
      <c r="CJ106" s="65"/>
    </row>
    <row r="107" spans="1:88" s="23" customFormat="1" ht="28.5" customHeight="1" x14ac:dyDescent="0.3">
      <c r="A107" s="245"/>
      <c r="B107" s="43"/>
      <c r="C107" s="43"/>
      <c r="D107" s="246"/>
      <c r="E107" s="43"/>
      <c r="F107" s="43"/>
      <c r="G107" s="246"/>
      <c r="H107" s="246"/>
      <c r="I107" s="246"/>
      <c r="J107" s="246"/>
      <c r="K107" s="246"/>
      <c r="L107" s="246"/>
      <c r="M107" s="246"/>
      <c r="N107" s="43"/>
      <c r="O107" s="247"/>
      <c r="P107" s="170"/>
      <c r="Q107" s="191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189"/>
      <c r="BR107" s="43"/>
      <c r="BS107" s="65"/>
      <c r="BT107" s="65"/>
      <c r="BU107" s="43"/>
      <c r="BV107" s="43"/>
      <c r="BW107" s="43"/>
      <c r="BX107" s="43"/>
      <c r="BY107" s="189"/>
      <c r="BZ107" s="43"/>
      <c r="CA107" s="65"/>
      <c r="CB107" s="65"/>
      <c r="CD107" s="43"/>
      <c r="CE107" s="43"/>
      <c r="CF107" s="43"/>
      <c r="CG107" s="189"/>
      <c r="CH107" s="43"/>
      <c r="CI107" s="65"/>
      <c r="CJ107" s="65"/>
    </row>
    <row r="108" spans="1:88" s="23" customFormat="1" ht="28.5" customHeight="1" x14ac:dyDescent="0.3">
      <c r="A108" s="245"/>
      <c r="B108" s="43"/>
      <c r="C108" s="43"/>
      <c r="D108" s="246"/>
      <c r="E108" s="43"/>
      <c r="F108" s="43"/>
      <c r="G108" s="246"/>
      <c r="H108" s="246"/>
      <c r="I108" s="246"/>
      <c r="J108" s="246"/>
      <c r="K108" s="246"/>
      <c r="L108" s="246"/>
      <c r="M108" s="246"/>
      <c r="N108" s="43"/>
      <c r="O108" s="247"/>
      <c r="P108" s="170"/>
      <c r="Q108" s="191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189"/>
      <c r="BR108" s="43"/>
      <c r="BS108" s="65"/>
      <c r="BT108" s="65"/>
      <c r="BU108" s="43"/>
      <c r="BV108" s="43"/>
      <c r="BW108" s="43"/>
      <c r="BX108" s="43"/>
      <c r="BY108" s="189"/>
      <c r="BZ108" s="43"/>
      <c r="CA108" s="65"/>
      <c r="CB108" s="65"/>
      <c r="CD108" s="43"/>
      <c r="CE108" s="43"/>
      <c r="CF108" s="43"/>
      <c r="CG108" s="189"/>
      <c r="CH108" s="43"/>
      <c r="CI108" s="65"/>
      <c r="CJ108" s="65"/>
    </row>
    <row r="109" spans="1:88" s="23" customFormat="1" ht="28.5" customHeight="1" x14ac:dyDescent="0.3">
      <c r="A109" s="245"/>
      <c r="B109" s="43"/>
      <c r="C109" s="43"/>
      <c r="D109" s="246"/>
      <c r="E109" s="43"/>
      <c r="F109" s="43"/>
      <c r="G109" s="246"/>
      <c r="H109" s="246"/>
      <c r="I109" s="246"/>
      <c r="J109" s="246"/>
      <c r="K109" s="246"/>
      <c r="L109" s="246"/>
      <c r="M109" s="246"/>
      <c r="N109" s="43"/>
      <c r="O109" s="247"/>
      <c r="P109" s="170"/>
      <c r="Q109" s="191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189"/>
      <c r="BR109" s="43"/>
      <c r="BS109" s="65"/>
      <c r="BT109" s="65"/>
      <c r="BU109" s="43"/>
      <c r="BV109" s="43"/>
      <c r="BW109" s="43"/>
      <c r="BX109" s="43"/>
      <c r="BY109" s="189"/>
      <c r="BZ109" s="43"/>
      <c r="CA109" s="65"/>
      <c r="CB109" s="65"/>
      <c r="CD109" s="43"/>
      <c r="CE109" s="43"/>
      <c r="CF109" s="43"/>
      <c r="CG109" s="189"/>
      <c r="CH109" s="43"/>
      <c r="CI109" s="65"/>
      <c r="CJ109" s="65"/>
    </row>
    <row r="110" spans="1:88" s="23" customFormat="1" ht="28.5" customHeight="1" x14ac:dyDescent="0.3">
      <c r="A110" s="245"/>
      <c r="B110" s="43"/>
      <c r="C110" s="43"/>
      <c r="D110" s="246"/>
      <c r="E110" s="43"/>
      <c r="F110" s="43"/>
      <c r="G110" s="246"/>
      <c r="H110" s="246"/>
      <c r="I110" s="246"/>
      <c r="J110" s="246"/>
      <c r="K110" s="246"/>
      <c r="L110" s="246"/>
      <c r="M110" s="246"/>
      <c r="N110" s="43"/>
      <c r="O110" s="247"/>
      <c r="P110" s="170"/>
      <c r="Q110" s="191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189"/>
      <c r="BR110" s="43"/>
      <c r="BS110" s="65"/>
      <c r="BT110" s="65"/>
      <c r="BU110" s="43"/>
      <c r="BV110" s="43"/>
      <c r="BW110" s="43"/>
      <c r="BX110" s="43"/>
      <c r="BY110" s="189"/>
      <c r="BZ110" s="43"/>
      <c r="CA110" s="65"/>
      <c r="CB110" s="65"/>
      <c r="CD110" s="43"/>
      <c r="CE110" s="43"/>
      <c r="CF110" s="43"/>
      <c r="CG110" s="189"/>
      <c r="CH110" s="43"/>
      <c r="CI110" s="65"/>
      <c r="CJ110" s="65"/>
    </row>
    <row r="111" spans="1:88" s="23" customFormat="1" ht="28.5" customHeight="1" x14ac:dyDescent="0.3">
      <c r="A111" s="245"/>
      <c r="B111" s="43"/>
      <c r="C111" s="43"/>
      <c r="D111" s="246"/>
      <c r="E111" s="43"/>
      <c r="F111" s="43"/>
      <c r="G111" s="246"/>
      <c r="H111" s="246"/>
      <c r="I111" s="246"/>
      <c r="J111" s="246"/>
      <c r="K111" s="246"/>
      <c r="L111" s="246"/>
      <c r="M111" s="246"/>
      <c r="N111" s="43"/>
      <c r="O111" s="247"/>
      <c r="P111" s="170"/>
      <c r="Q111" s="191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189"/>
      <c r="BR111" s="43"/>
      <c r="BS111" s="65"/>
      <c r="BT111" s="65"/>
      <c r="BU111" s="43"/>
      <c r="BV111" s="43"/>
      <c r="BW111" s="43"/>
      <c r="BX111" s="43"/>
      <c r="BY111" s="189"/>
      <c r="BZ111" s="43"/>
      <c r="CA111" s="65"/>
      <c r="CB111" s="65"/>
      <c r="CD111" s="43"/>
      <c r="CE111" s="43"/>
      <c r="CF111" s="43"/>
      <c r="CG111" s="189"/>
      <c r="CH111" s="43"/>
      <c r="CI111" s="65"/>
      <c r="CJ111" s="65"/>
    </row>
    <row r="112" spans="1:88" s="23" customFormat="1" ht="28.5" customHeight="1" x14ac:dyDescent="0.3">
      <c r="A112" s="245"/>
      <c r="B112" s="43"/>
      <c r="C112" s="43"/>
      <c r="D112" s="246"/>
      <c r="E112" s="43"/>
      <c r="F112" s="43"/>
      <c r="G112" s="246"/>
      <c r="H112" s="246"/>
      <c r="I112" s="246"/>
      <c r="J112" s="246"/>
      <c r="K112" s="246"/>
      <c r="L112" s="246"/>
      <c r="M112" s="246"/>
      <c r="N112" s="43"/>
      <c r="O112" s="247"/>
      <c r="P112" s="170"/>
      <c r="Q112" s="191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189"/>
      <c r="BR112" s="43"/>
      <c r="BS112" s="65"/>
      <c r="BT112" s="65"/>
      <c r="BU112" s="43"/>
      <c r="BV112" s="43"/>
      <c r="BW112" s="43"/>
      <c r="BX112" s="43"/>
      <c r="BY112" s="189"/>
      <c r="BZ112" s="43"/>
      <c r="CA112" s="65"/>
      <c r="CB112" s="65"/>
      <c r="CD112" s="43"/>
      <c r="CE112" s="43"/>
      <c r="CF112" s="43"/>
      <c r="CG112" s="189"/>
      <c r="CH112" s="43"/>
      <c r="CI112" s="65"/>
      <c r="CJ112" s="65"/>
    </row>
    <row r="113" spans="1:88" s="23" customFormat="1" ht="28.5" customHeight="1" x14ac:dyDescent="0.3">
      <c r="A113" s="245"/>
      <c r="B113" s="43"/>
      <c r="C113" s="43"/>
      <c r="D113" s="246"/>
      <c r="E113" s="43"/>
      <c r="F113" s="43"/>
      <c r="G113" s="246"/>
      <c r="H113" s="246"/>
      <c r="I113" s="246"/>
      <c r="J113" s="246"/>
      <c r="K113" s="246"/>
      <c r="L113" s="246"/>
      <c r="M113" s="246"/>
      <c r="N113" s="43"/>
      <c r="O113" s="247"/>
      <c r="P113" s="170"/>
      <c r="Q113" s="191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189"/>
      <c r="BR113" s="43"/>
      <c r="BS113" s="65"/>
      <c r="BT113" s="65"/>
      <c r="BU113" s="43"/>
      <c r="BV113" s="43"/>
      <c r="BW113" s="43"/>
      <c r="BX113" s="43"/>
      <c r="BY113" s="189"/>
      <c r="BZ113" s="43"/>
      <c r="CA113" s="65"/>
      <c r="CB113" s="65"/>
      <c r="CD113" s="43"/>
      <c r="CE113" s="43"/>
      <c r="CF113" s="43"/>
      <c r="CG113" s="189"/>
      <c r="CH113" s="43"/>
      <c r="CI113" s="65"/>
      <c r="CJ113" s="65"/>
    </row>
    <row r="114" spans="1:88" s="23" customFormat="1" ht="28.5" customHeight="1" x14ac:dyDescent="0.3">
      <c r="A114" s="245"/>
      <c r="B114" s="43"/>
      <c r="C114" s="43"/>
      <c r="D114" s="246"/>
      <c r="E114" s="43"/>
      <c r="F114" s="43"/>
      <c r="G114" s="246"/>
      <c r="H114" s="246"/>
      <c r="I114" s="246"/>
      <c r="J114" s="246"/>
      <c r="K114" s="246"/>
      <c r="L114" s="246"/>
      <c r="M114" s="246"/>
      <c r="N114" s="43"/>
      <c r="O114" s="247"/>
      <c r="P114" s="170"/>
      <c r="Q114" s="191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189"/>
      <c r="BR114" s="43"/>
      <c r="BS114" s="65"/>
      <c r="BT114" s="65"/>
      <c r="BU114" s="43"/>
      <c r="BV114" s="43"/>
      <c r="BW114" s="43"/>
      <c r="BX114" s="43"/>
      <c r="BY114" s="189"/>
      <c r="BZ114" s="43"/>
      <c r="CA114" s="65"/>
      <c r="CB114" s="65"/>
      <c r="CD114" s="43"/>
      <c r="CE114" s="43"/>
      <c r="CF114" s="43"/>
      <c r="CG114" s="189"/>
      <c r="CH114" s="43"/>
      <c r="CI114" s="65"/>
      <c r="CJ114" s="65"/>
    </row>
    <row r="115" spans="1:88" s="23" customFormat="1" ht="28.5" customHeight="1" x14ac:dyDescent="0.3">
      <c r="A115" s="245"/>
      <c r="B115" s="43"/>
      <c r="C115" s="43"/>
      <c r="D115" s="246"/>
      <c r="E115" s="43"/>
      <c r="F115" s="43"/>
      <c r="G115" s="246"/>
      <c r="H115" s="246"/>
      <c r="I115" s="246"/>
      <c r="J115" s="246"/>
      <c r="K115" s="246"/>
      <c r="L115" s="246"/>
      <c r="M115" s="246"/>
      <c r="N115" s="43"/>
      <c r="O115" s="247"/>
      <c r="P115" s="170"/>
      <c r="Q115" s="191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189"/>
      <c r="BR115" s="43"/>
      <c r="BS115" s="65"/>
      <c r="BT115" s="65"/>
      <c r="BU115" s="43"/>
      <c r="BV115" s="43"/>
      <c r="BW115" s="43"/>
      <c r="BX115" s="43"/>
      <c r="BY115" s="189"/>
      <c r="BZ115" s="43"/>
      <c r="CA115" s="65"/>
      <c r="CB115" s="65"/>
      <c r="CD115" s="43"/>
      <c r="CE115" s="43"/>
      <c r="CF115" s="43"/>
      <c r="CG115" s="189"/>
      <c r="CH115" s="43"/>
      <c r="CI115" s="65"/>
      <c r="CJ115" s="65"/>
    </row>
    <row r="116" spans="1:88" s="23" customFormat="1" ht="28.5" customHeight="1" x14ac:dyDescent="0.3">
      <c r="A116" s="245"/>
      <c r="B116" s="43"/>
      <c r="C116" s="43"/>
      <c r="D116" s="246"/>
      <c r="E116" s="43"/>
      <c r="F116" s="43"/>
      <c r="G116" s="246"/>
      <c r="H116" s="246"/>
      <c r="I116" s="246"/>
      <c r="J116" s="246"/>
      <c r="K116" s="246"/>
      <c r="L116" s="246"/>
      <c r="M116" s="246"/>
      <c r="N116" s="43"/>
      <c r="O116" s="247"/>
      <c r="P116" s="170"/>
      <c r="Q116" s="191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189"/>
      <c r="BR116" s="43"/>
      <c r="BS116" s="65"/>
      <c r="BT116" s="65"/>
      <c r="BU116" s="43"/>
      <c r="BV116" s="43"/>
      <c r="BW116" s="43"/>
      <c r="BX116" s="43"/>
      <c r="BY116" s="189"/>
      <c r="BZ116" s="43"/>
      <c r="CA116" s="65"/>
      <c r="CB116" s="65"/>
      <c r="CD116" s="43"/>
      <c r="CE116" s="43"/>
      <c r="CF116" s="43"/>
      <c r="CG116" s="189"/>
      <c r="CH116" s="43"/>
      <c r="CI116" s="65"/>
      <c r="CJ116" s="65"/>
    </row>
    <row r="117" spans="1:88" s="23" customFormat="1" ht="28.5" customHeight="1" x14ac:dyDescent="0.3">
      <c r="A117" s="245"/>
      <c r="B117" s="43"/>
      <c r="C117" s="43"/>
      <c r="D117" s="246"/>
      <c r="E117" s="43"/>
      <c r="F117" s="43"/>
      <c r="G117" s="246"/>
      <c r="H117" s="246"/>
      <c r="I117" s="246"/>
      <c r="J117" s="246"/>
      <c r="K117" s="246"/>
      <c r="L117" s="246"/>
      <c r="M117" s="246"/>
      <c r="N117" s="43"/>
      <c r="O117" s="247"/>
      <c r="P117" s="170"/>
      <c r="Q117" s="191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189"/>
      <c r="BR117" s="43"/>
      <c r="BS117" s="65"/>
      <c r="BT117" s="65"/>
      <c r="BU117" s="43"/>
      <c r="BV117" s="43"/>
      <c r="BW117" s="43"/>
      <c r="BX117" s="43"/>
      <c r="BY117" s="189"/>
      <c r="BZ117" s="43"/>
      <c r="CA117" s="65"/>
      <c r="CB117" s="65"/>
      <c r="CD117" s="43"/>
      <c r="CE117" s="43"/>
      <c r="CF117" s="43"/>
      <c r="CG117" s="189"/>
      <c r="CH117" s="43"/>
      <c r="CI117" s="65"/>
      <c r="CJ117" s="65"/>
    </row>
    <row r="118" spans="1:88" s="23" customFormat="1" ht="28.5" customHeight="1" x14ac:dyDescent="0.3">
      <c r="A118" s="245"/>
      <c r="B118" s="43"/>
      <c r="C118" s="43"/>
      <c r="D118" s="246"/>
      <c r="E118" s="43"/>
      <c r="F118" s="43"/>
      <c r="G118" s="246"/>
      <c r="H118" s="246"/>
      <c r="I118" s="246"/>
      <c r="J118" s="246"/>
      <c r="K118" s="246"/>
      <c r="L118" s="246"/>
      <c r="M118" s="246"/>
      <c r="N118" s="43"/>
      <c r="O118" s="247"/>
      <c r="P118" s="170"/>
      <c r="Q118" s="191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189"/>
      <c r="BR118" s="43"/>
      <c r="BS118" s="65"/>
      <c r="BT118" s="65"/>
      <c r="BU118" s="43"/>
      <c r="BV118" s="43"/>
      <c r="BW118" s="43"/>
      <c r="BX118" s="43"/>
      <c r="BY118" s="189"/>
      <c r="BZ118" s="43"/>
      <c r="CA118" s="65"/>
      <c r="CB118" s="65"/>
      <c r="CD118" s="43"/>
      <c r="CE118" s="43"/>
      <c r="CF118" s="43"/>
      <c r="CG118" s="189"/>
      <c r="CH118" s="43"/>
      <c r="CI118" s="65"/>
      <c r="CJ118" s="65"/>
    </row>
    <row r="119" spans="1:88" s="23" customFormat="1" ht="28.5" customHeight="1" x14ac:dyDescent="0.3">
      <c r="A119" s="245"/>
      <c r="B119" s="43"/>
      <c r="C119" s="43"/>
      <c r="D119" s="246"/>
      <c r="E119" s="43"/>
      <c r="F119" s="43"/>
      <c r="G119" s="246"/>
      <c r="H119" s="246"/>
      <c r="I119" s="246"/>
      <c r="J119" s="246"/>
      <c r="K119" s="246"/>
      <c r="L119" s="246"/>
      <c r="M119" s="246"/>
      <c r="N119" s="43"/>
      <c r="O119" s="247"/>
      <c r="P119" s="170"/>
      <c r="Q119" s="191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189"/>
      <c r="BR119" s="43"/>
      <c r="BS119" s="65"/>
      <c r="BT119" s="65"/>
      <c r="BU119" s="43"/>
      <c r="BV119" s="43"/>
      <c r="BW119" s="43"/>
      <c r="BX119" s="43"/>
      <c r="BY119" s="189"/>
      <c r="BZ119" s="43"/>
      <c r="CA119" s="65"/>
      <c r="CB119" s="65"/>
      <c r="CD119" s="43"/>
      <c r="CE119" s="43"/>
      <c r="CF119" s="43"/>
      <c r="CG119" s="189"/>
      <c r="CH119" s="43"/>
      <c r="CI119" s="65"/>
      <c r="CJ119" s="65"/>
    </row>
    <row r="120" spans="1:88" s="23" customFormat="1" ht="28.5" customHeight="1" x14ac:dyDescent="0.3">
      <c r="A120" s="245"/>
      <c r="B120" s="43"/>
      <c r="C120" s="43"/>
      <c r="D120" s="246"/>
      <c r="E120" s="43"/>
      <c r="F120" s="43"/>
      <c r="G120" s="246"/>
      <c r="H120" s="246"/>
      <c r="I120" s="246"/>
      <c r="J120" s="246"/>
      <c r="K120" s="246"/>
      <c r="L120" s="246"/>
      <c r="M120" s="246"/>
      <c r="N120" s="43"/>
      <c r="O120" s="247"/>
      <c r="P120" s="170"/>
      <c r="Q120" s="191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189"/>
      <c r="BR120" s="43"/>
      <c r="BS120" s="65"/>
      <c r="BT120" s="65"/>
      <c r="BU120" s="43"/>
      <c r="BV120" s="43"/>
      <c r="BW120" s="43"/>
      <c r="BX120" s="43"/>
      <c r="BY120" s="189"/>
      <c r="BZ120" s="43"/>
      <c r="CA120" s="65"/>
      <c r="CB120" s="65"/>
      <c r="CD120" s="43"/>
      <c r="CE120" s="43"/>
      <c r="CF120" s="43"/>
      <c r="CG120" s="189"/>
      <c r="CH120" s="43"/>
      <c r="CI120" s="65"/>
      <c r="CJ120" s="65"/>
    </row>
    <row r="121" spans="1:88" s="23" customFormat="1" ht="28.5" customHeight="1" x14ac:dyDescent="0.3">
      <c r="A121" s="245"/>
      <c r="B121" s="43"/>
      <c r="C121" s="43"/>
      <c r="D121" s="246"/>
      <c r="E121" s="43"/>
      <c r="F121" s="43"/>
      <c r="G121" s="246"/>
      <c r="H121" s="246"/>
      <c r="I121" s="246"/>
      <c r="J121" s="246"/>
      <c r="K121" s="246"/>
      <c r="L121" s="246"/>
      <c r="M121" s="246"/>
      <c r="N121" s="43"/>
      <c r="O121" s="247"/>
      <c r="P121" s="170"/>
      <c r="Q121" s="191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189"/>
      <c r="BR121" s="43"/>
      <c r="BS121" s="65"/>
      <c r="BT121" s="65"/>
      <c r="BU121" s="43"/>
      <c r="BV121" s="43"/>
      <c r="BW121" s="43"/>
      <c r="BX121" s="43"/>
      <c r="BY121" s="189"/>
      <c r="BZ121" s="43"/>
      <c r="CA121" s="65"/>
      <c r="CB121" s="65"/>
      <c r="CD121" s="43"/>
      <c r="CE121" s="43"/>
      <c r="CF121" s="43"/>
      <c r="CG121" s="189"/>
      <c r="CH121" s="43"/>
      <c r="CI121" s="65"/>
      <c r="CJ121" s="65"/>
    </row>
    <row r="122" spans="1:88" s="23" customFormat="1" ht="28.5" customHeight="1" x14ac:dyDescent="0.3">
      <c r="A122" s="245"/>
      <c r="B122" s="43"/>
      <c r="C122" s="43"/>
      <c r="D122" s="246"/>
      <c r="E122" s="43"/>
      <c r="F122" s="43"/>
      <c r="G122" s="246"/>
      <c r="H122" s="246"/>
      <c r="I122" s="246"/>
      <c r="J122" s="246"/>
      <c r="K122" s="246"/>
      <c r="L122" s="246"/>
      <c r="M122" s="246"/>
      <c r="N122" s="43"/>
      <c r="O122" s="247"/>
      <c r="P122" s="170"/>
      <c r="Q122" s="191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189"/>
      <c r="BR122" s="43"/>
      <c r="BS122" s="65"/>
      <c r="BT122" s="65"/>
      <c r="BU122" s="43"/>
      <c r="BV122" s="43"/>
      <c r="BW122" s="43"/>
      <c r="BX122" s="43"/>
      <c r="BY122" s="189"/>
      <c r="BZ122" s="43"/>
      <c r="CA122" s="65"/>
      <c r="CB122" s="65"/>
      <c r="CD122" s="43"/>
      <c r="CE122" s="43"/>
      <c r="CF122" s="43"/>
      <c r="CG122" s="189"/>
      <c r="CH122" s="43"/>
      <c r="CI122" s="65"/>
      <c r="CJ122" s="65"/>
    </row>
    <row r="123" spans="1:88" s="23" customFormat="1" ht="28.5" customHeight="1" x14ac:dyDescent="0.3">
      <c r="A123" s="245"/>
      <c r="B123" s="43"/>
      <c r="C123" s="43"/>
      <c r="D123" s="246"/>
      <c r="E123" s="43"/>
      <c r="F123" s="43"/>
      <c r="G123" s="246"/>
      <c r="H123" s="246"/>
      <c r="I123" s="246"/>
      <c r="J123" s="246"/>
      <c r="K123" s="246"/>
      <c r="L123" s="246"/>
      <c r="M123" s="246"/>
      <c r="N123" s="43"/>
      <c r="O123" s="247"/>
      <c r="P123" s="170"/>
      <c r="Q123" s="191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189"/>
      <c r="BR123" s="43"/>
      <c r="BS123" s="65"/>
      <c r="BT123" s="65"/>
      <c r="BU123" s="43"/>
      <c r="BV123" s="43"/>
      <c r="BW123" s="43"/>
      <c r="BX123" s="43"/>
      <c r="BY123" s="189"/>
      <c r="BZ123" s="43"/>
      <c r="CA123" s="65"/>
      <c r="CB123" s="65"/>
      <c r="CD123" s="43"/>
      <c r="CE123" s="43"/>
      <c r="CF123" s="43"/>
      <c r="CG123" s="189"/>
      <c r="CH123" s="43"/>
      <c r="CI123" s="65"/>
      <c r="CJ123" s="65"/>
    </row>
    <row r="124" spans="1:88" s="23" customFormat="1" ht="28.5" customHeight="1" x14ac:dyDescent="0.3">
      <c r="A124" s="245"/>
      <c r="B124" s="43"/>
      <c r="C124" s="43"/>
      <c r="D124" s="246"/>
      <c r="E124" s="43"/>
      <c r="F124" s="43"/>
      <c r="G124" s="246"/>
      <c r="H124" s="246"/>
      <c r="I124" s="246"/>
      <c r="J124" s="246"/>
      <c r="K124" s="246"/>
      <c r="L124" s="246"/>
      <c r="M124" s="246"/>
      <c r="N124" s="43"/>
      <c r="O124" s="247"/>
      <c r="P124" s="170"/>
      <c r="Q124" s="191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189"/>
      <c r="BR124" s="43"/>
      <c r="BS124" s="65"/>
      <c r="BT124" s="65"/>
      <c r="BU124" s="43"/>
      <c r="BV124" s="43"/>
      <c r="BW124" s="43"/>
      <c r="BX124" s="43"/>
      <c r="BY124" s="189"/>
      <c r="BZ124" s="43"/>
      <c r="CA124" s="65"/>
      <c r="CB124" s="65"/>
      <c r="CD124" s="43"/>
      <c r="CE124" s="43"/>
      <c r="CF124" s="43"/>
      <c r="CG124" s="189"/>
      <c r="CH124" s="43"/>
      <c r="CI124" s="65"/>
      <c r="CJ124" s="65"/>
    </row>
    <row r="125" spans="1:88" s="23" customFormat="1" ht="28.5" customHeight="1" x14ac:dyDescent="0.3">
      <c r="A125" s="245"/>
      <c r="B125" s="43"/>
      <c r="C125" s="43"/>
      <c r="D125" s="246"/>
      <c r="E125" s="43"/>
      <c r="F125" s="43"/>
      <c r="G125" s="246"/>
      <c r="H125" s="246"/>
      <c r="I125" s="246"/>
      <c r="J125" s="246"/>
      <c r="K125" s="246"/>
      <c r="L125" s="246"/>
      <c r="M125" s="246"/>
      <c r="N125" s="43"/>
      <c r="O125" s="247"/>
      <c r="P125" s="170"/>
      <c r="Q125" s="191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189"/>
      <c r="BR125" s="43"/>
      <c r="BS125" s="65"/>
      <c r="BT125" s="65"/>
      <c r="BU125" s="43"/>
      <c r="BV125" s="43"/>
      <c r="BW125" s="43"/>
      <c r="BX125" s="43"/>
      <c r="BY125" s="189"/>
      <c r="BZ125" s="43"/>
      <c r="CA125" s="65"/>
      <c r="CB125" s="65"/>
      <c r="CD125" s="43"/>
      <c r="CE125" s="43"/>
      <c r="CF125" s="43"/>
      <c r="CG125" s="189"/>
      <c r="CH125" s="43"/>
      <c r="CI125" s="65"/>
      <c r="CJ125" s="65"/>
    </row>
    <row r="126" spans="1:88" s="23" customFormat="1" ht="28.5" customHeight="1" x14ac:dyDescent="0.3">
      <c r="A126" s="245"/>
      <c r="B126" s="43"/>
      <c r="C126" s="43"/>
      <c r="D126" s="246"/>
      <c r="E126" s="43"/>
      <c r="F126" s="43"/>
      <c r="G126" s="246"/>
      <c r="H126" s="246"/>
      <c r="I126" s="246"/>
      <c r="J126" s="246"/>
      <c r="K126" s="246"/>
      <c r="L126" s="246"/>
      <c r="M126" s="246"/>
      <c r="N126" s="43"/>
      <c r="O126" s="247"/>
      <c r="P126" s="170"/>
      <c r="Q126" s="191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189"/>
      <c r="BR126" s="43"/>
      <c r="BS126" s="65"/>
      <c r="BT126" s="65"/>
      <c r="BU126" s="43"/>
      <c r="BV126" s="43"/>
      <c r="BW126" s="43"/>
      <c r="BX126" s="43"/>
      <c r="BY126" s="189"/>
      <c r="BZ126" s="43"/>
      <c r="CA126" s="65"/>
      <c r="CB126" s="65"/>
      <c r="CD126" s="43"/>
      <c r="CE126" s="43"/>
      <c r="CF126" s="43"/>
      <c r="CG126" s="189"/>
      <c r="CH126" s="43"/>
      <c r="CI126" s="65"/>
      <c r="CJ126" s="65"/>
    </row>
    <row r="127" spans="1:88" s="23" customFormat="1" ht="28.5" customHeight="1" x14ac:dyDescent="0.3">
      <c r="A127" s="245"/>
      <c r="B127" s="43"/>
      <c r="C127" s="43"/>
      <c r="D127" s="246"/>
      <c r="E127" s="43"/>
      <c r="F127" s="43"/>
      <c r="G127" s="246"/>
      <c r="H127" s="246"/>
      <c r="I127" s="246"/>
      <c r="J127" s="246"/>
      <c r="K127" s="246"/>
      <c r="L127" s="246"/>
      <c r="M127" s="246"/>
      <c r="N127" s="43"/>
      <c r="O127" s="247"/>
      <c r="P127" s="170"/>
      <c r="Q127" s="191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189"/>
      <c r="BR127" s="43"/>
      <c r="BS127" s="65"/>
      <c r="BT127" s="65"/>
      <c r="BU127" s="43"/>
      <c r="BV127" s="43"/>
      <c r="BW127" s="43"/>
      <c r="BX127" s="43"/>
      <c r="BY127" s="189"/>
      <c r="BZ127" s="43"/>
      <c r="CA127" s="65"/>
      <c r="CB127" s="65"/>
      <c r="CD127" s="43"/>
      <c r="CE127" s="43"/>
      <c r="CF127" s="43"/>
      <c r="CG127" s="189"/>
      <c r="CH127" s="43"/>
      <c r="CI127" s="65"/>
      <c r="CJ127" s="65"/>
    </row>
    <row r="128" spans="1:88" s="23" customFormat="1" ht="28.5" customHeight="1" x14ac:dyDescent="0.3">
      <c r="A128" s="245"/>
      <c r="B128" s="43"/>
      <c r="C128" s="43"/>
      <c r="D128" s="246"/>
      <c r="E128" s="43"/>
      <c r="F128" s="43"/>
      <c r="G128" s="246"/>
      <c r="H128" s="246"/>
      <c r="I128" s="246"/>
      <c r="J128" s="246"/>
      <c r="K128" s="246"/>
      <c r="L128" s="246"/>
      <c r="M128" s="246"/>
      <c r="N128" s="43"/>
      <c r="O128" s="247"/>
      <c r="P128" s="170"/>
      <c r="Q128" s="191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189"/>
      <c r="BR128" s="43"/>
      <c r="BS128" s="65"/>
      <c r="BT128" s="65"/>
      <c r="BU128" s="43"/>
      <c r="BV128" s="43"/>
      <c r="BW128" s="43"/>
      <c r="BX128" s="43"/>
      <c r="BY128" s="189"/>
      <c r="BZ128" s="43"/>
      <c r="CA128" s="65"/>
      <c r="CB128" s="65"/>
      <c r="CD128" s="43"/>
      <c r="CE128" s="43"/>
      <c r="CF128" s="43"/>
      <c r="CG128" s="189"/>
      <c r="CH128" s="43"/>
      <c r="CI128" s="65"/>
      <c r="CJ128" s="65"/>
    </row>
    <row r="129" spans="1:88" s="23" customFormat="1" ht="28.5" customHeight="1" x14ac:dyDescent="0.3">
      <c r="A129" s="245"/>
      <c r="B129" s="43"/>
      <c r="C129" s="43"/>
      <c r="D129" s="246"/>
      <c r="E129" s="43"/>
      <c r="F129" s="43"/>
      <c r="G129" s="246"/>
      <c r="H129" s="246"/>
      <c r="I129" s="246"/>
      <c r="J129" s="246"/>
      <c r="K129" s="246"/>
      <c r="L129" s="246"/>
      <c r="M129" s="246"/>
      <c r="N129" s="43"/>
      <c r="O129" s="247"/>
      <c r="P129" s="170"/>
      <c r="Q129" s="191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189"/>
      <c r="BR129" s="43"/>
      <c r="BS129" s="65"/>
      <c r="BT129" s="65"/>
      <c r="BU129" s="43"/>
      <c r="BV129" s="43"/>
      <c r="BW129" s="43"/>
      <c r="BX129" s="43"/>
      <c r="BY129" s="189"/>
      <c r="BZ129" s="43"/>
      <c r="CA129" s="65"/>
      <c r="CB129" s="65"/>
      <c r="CD129" s="43"/>
      <c r="CE129" s="43"/>
      <c r="CF129" s="43"/>
      <c r="CG129" s="189"/>
      <c r="CH129" s="43"/>
      <c r="CI129" s="65"/>
      <c r="CJ129" s="65"/>
    </row>
    <row r="130" spans="1:88" s="23" customFormat="1" ht="28.5" customHeight="1" x14ac:dyDescent="0.3">
      <c r="A130" s="245"/>
      <c r="B130" s="43"/>
      <c r="C130" s="43"/>
      <c r="D130" s="246"/>
      <c r="E130" s="43"/>
      <c r="F130" s="43"/>
      <c r="G130" s="246"/>
      <c r="H130" s="246"/>
      <c r="I130" s="246"/>
      <c r="J130" s="246"/>
      <c r="K130" s="246"/>
      <c r="L130" s="246"/>
      <c r="M130" s="246"/>
      <c r="N130" s="43"/>
      <c r="O130" s="247"/>
      <c r="P130" s="170"/>
      <c r="Q130" s="191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189"/>
      <c r="BR130" s="43"/>
      <c r="BS130" s="65"/>
      <c r="BT130" s="65"/>
      <c r="BU130" s="43"/>
      <c r="BV130" s="43"/>
      <c r="BW130" s="43"/>
      <c r="BX130" s="43"/>
      <c r="BY130" s="189"/>
      <c r="BZ130" s="43"/>
      <c r="CA130" s="65"/>
      <c r="CB130" s="65"/>
      <c r="CD130" s="43"/>
      <c r="CE130" s="43"/>
      <c r="CF130" s="43"/>
      <c r="CG130" s="189"/>
      <c r="CH130" s="43"/>
      <c r="CI130" s="65"/>
      <c r="CJ130" s="65"/>
    </row>
    <row r="131" spans="1:88" s="23" customFormat="1" ht="28.5" customHeight="1" x14ac:dyDescent="0.3">
      <c r="A131" s="245"/>
      <c r="B131" s="43"/>
      <c r="C131" s="43"/>
      <c r="D131" s="246"/>
      <c r="E131" s="43"/>
      <c r="F131" s="43"/>
      <c r="G131" s="246"/>
      <c r="H131" s="246"/>
      <c r="I131" s="246"/>
      <c r="J131" s="246"/>
      <c r="K131" s="246"/>
      <c r="L131" s="246"/>
      <c r="M131" s="246"/>
      <c r="N131" s="43"/>
      <c r="O131" s="247"/>
      <c r="P131" s="170"/>
      <c r="Q131" s="191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189"/>
      <c r="BR131" s="43"/>
      <c r="BS131" s="65"/>
      <c r="BT131" s="65"/>
      <c r="BU131" s="43"/>
      <c r="BV131" s="43"/>
      <c r="BW131" s="43"/>
      <c r="BX131" s="43"/>
      <c r="BY131" s="189"/>
      <c r="BZ131" s="43"/>
      <c r="CA131" s="65"/>
      <c r="CB131" s="65"/>
      <c r="CD131" s="43"/>
      <c r="CE131" s="43"/>
      <c r="CF131" s="43"/>
      <c r="CG131" s="189"/>
      <c r="CH131" s="43"/>
      <c r="CI131" s="65"/>
      <c r="CJ131" s="65"/>
    </row>
    <row r="132" spans="1:88" ht="28.5" customHeight="1" x14ac:dyDescent="0.3">
      <c r="C132" s="43"/>
      <c r="D132" s="246"/>
      <c r="E132" s="43"/>
      <c r="F132" s="43"/>
      <c r="G132" s="246"/>
      <c r="H132" s="246"/>
      <c r="I132" s="246"/>
      <c r="J132" s="246"/>
      <c r="K132" s="246"/>
      <c r="L132" s="246"/>
      <c r="M132" s="246"/>
      <c r="N132" s="43"/>
      <c r="O132" s="247"/>
      <c r="P132" s="170"/>
      <c r="Q132" s="191"/>
    </row>
    <row r="133" spans="1:88" ht="28.5" customHeight="1" x14ac:dyDescent="0.3">
      <c r="C133" s="43"/>
      <c r="D133" s="246"/>
      <c r="E133" s="43"/>
      <c r="F133" s="43"/>
      <c r="G133" s="246"/>
      <c r="H133" s="246"/>
      <c r="I133" s="246"/>
      <c r="J133" s="246"/>
      <c r="K133" s="246"/>
      <c r="L133" s="246"/>
      <c r="M133" s="246"/>
      <c r="N133" s="43"/>
      <c r="O133" s="247"/>
      <c r="P133" s="170"/>
      <c r="Q133" s="191"/>
    </row>
    <row r="134" spans="1:88" ht="28.5" customHeight="1" x14ac:dyDescent="0.3">
      <c r="C134" s="43"/>
      <c r="D134" s="246"/>
      <c r="E134" s="43"/>
      <c r="F134" s="43"/>
      <c r="G134" s="246"/>
      <c r="H134" s="246"/>
      <c r="I134" s="246"/>
      <c r="J134" s="246"/>
      <c r="K134" s="246"/>
      <c r="L134" s="246"/>
      <c r="M134" s="246"/>
      <c r="N134" s="43"/>
      <c r="O134" s="247"/>
      <c r="P134" s="170"/>
      <c r="Q134" s="191"/>
    </row>
    <row r="135" spans="1:88" ht="28.5" customHeight="1" x14ac:dyDescent="0.3">
      <c r="C135" s="43"/>
      <c r="D135" s="246"/>
      <c r="E135" s="43"/>
      <c r="F135" s="43"/>
      <c r="G135" s="246"/>
      <c r="H135" s="246"/>
      <c r="I135" s="246"/>
      <c r="J135" s="246"/>
      <c r="K135" s="246"/>
      <c r="L135" s="246"/>
      <c r="M135" s="246"/>
      <c r="N135" s="43"/>
      <c r="O135" s="247"/>
      <c r="P135" s="170"/>
      <c r="Q135" s="191"/>
    </row>
    <row r="136" spans="1:88" ht="28.5" customHeight="1" x14ac:dyDescent="0.3">
      <c r="C136" s="43"/>
      <c r="D136" s="246"/>
      <c r="E136" s="43"/>
      <c r="F136" s="43"/>
      <c r="G136" s="246"/>
      <c r="H136" s="246"/>
      <c r="I136" s="246"/>
      <c r="J136" s="246"/>
      <c r="K136" s="246"/>
      <c r="L136" s="246"/>
      <c r="M136" s="246"/>
      <c r="N136" s="43"/>
      <c r="O136" s="247"/>
      <c r="P136" s="170"/>
      <c r="Q136" s="191"/>
    </row>
    <row r="137" spans="1:88" ht="28.5" customHeight="1" x14ac:dyDescent="0.3">
      <c r="C137" s="43"/>
      <c r="D137" s="246"/>
      <c r="E137" s="43"/>
      <c r="F137" s="43"/>
      <c r="G137" s="246"/>
      <c r="H137" s="246"/>
      <c r="I137" s="246"/>
      <c r="J137" s="246"/>
      <c r="K137" s="246"/>
      <c r="L137" s="246"/>
      <c r="M137" s="246"/>
      <c r="N137" s="43"/>
      <c r="O137" s="247"/>
      <c r="P137" s="170"/>
      <c r="Q137" s="191"/>
    </row>
    <row r="138" spans="1:88" ht="28.5" customHeight="1" x14ac:dyDescent="0.3">
      <c r="C138" s="43"/>
      <c r="D138" s="246"/>
      <c r="E138" s="43"/>
      <c r="F138" s="43"/>
      <c r="G138" s="246"/>
      <c r="H138" s="246"/>
      <c r="I138" s="246"/>
      <c r="J138" s="246"/>
      <c r="K138" s="246"/>
      <c r="L138" s="246"/>
      <c r="M138" s="246"/>
      <c r="N138" s="43"/>
      <c r="O138" s="247"/>
      <c r="P138" s="170"/>
      <c r="Q138" s="191"/>
    </row>
    <row r="139" spans="1:88" ht="28.5" customHeight="1" x14ac:dyDescent="0.3">
      <c r="C139" s="43"/>
      <c r="D139" s="246"/>
      <c r="E139" s="43"/>
      <c r="F139" s="43"/>
      <c r="G139" s="246"/>
      <c r="H139" s="246"/>
      <c r="I139" s="246"/>
      <c r="J139" s="246"/>
      <c r="K139" s="246"/>
      <c r="L139" s="246"/>
      <c r="M139" s="246"/>
      <c r="N139" s="43"/>
      <c r="O139" s="247"/>
      <c r="P139" s="170"/>
      <c r="Q139" s="191"/>
    </row>
    <row r="140" spans="1:88" ht="28.5" customHeight="1" x14ac:dyDescent="0.3">
      <c r="C140" s="43"/>
      <c r="D140" s="246"/>
      <c r="E140" s="43"/>
      <c r="F140" s="43"/>
      <c r="G140" s="246"/>
      <c r="H140" s="246"/>
      <c r="I140" s="246"/>
      <c r="J140" s="246"/>
      <c r="K140" s="246"/>
      <c r="L140" s="246"/>
      <c r="M140" s="246"/>
      <c r="N140" s="43"/>
      <c r="O140" s="247"/>
      <c r="P140" s="170"/>
      <c r="Q140" s="191"/>
    </row>
    <row r="141" spans="1:88" ht="28.5" customHeight="1" x14ac:dyDescent="0.3">
      <c r="C141" s="43"/>
      <c r="D141" s="246"/>
      <c r="E141" s="43"/>
      <c r="F141" s="43"/>
      <c r="G141" s="246"/>
      <c r="H141" s="246"/>
      <c r="I141" s="246"/>
      <c r="J141" s="246"/>
      <c r="K141" s="246"/>
      <c r="L141" s="246"/>
      <c r="M141" s="246"/>
      <c r="N141" s="43"/>
      <c r="O141" s="247"/>
      <c r="P141" s="170"/>
      <c r="Q141" s="191"/>
    </row>
    <row r="142" spans="1:88" ht="28.5" customHeight="1" x14ac:dyDescent="0.3">
      <c r="C142" s="43"/>
      <c r="D142" s="246"/>
      <c r="E142" s="43"/>
      <c r="F142" s="43"/>
      <c r="G142" s="246"/>
      <c r="H142" s="246"/>
      <c r="I142" s="246"/>
      <c r="J142" s="246"/>
      <c r="K142" s="246"/>
      <c r="L142" s="246"/>
      <c r="M142" s="246"/>
      <c r="N142" s="43"/>
      <c r="O142" s="247"/>
      <c r="P142" s="170"/>
      <c r="Q142" s="191"/>
    </row>
    <row r="143" spans="1:88" ht="28.5" customHeight="1" x14ac:dyDescent="0.3">
      <c r="C143" s="43"/>
      <c r="D143" s="246"/>
      <c r="E143" s="43"/>
      <c r="F143" s="43"/>
      <c r="G143" s="246"/>
      <c r="H143" s="246"/>
      <c r="I143" s="246"/>
      <c r="J143" s="246"/>
      <c r="K143" s="246"/>
      <c r="L143" s="246"/>
      <c r="M143" s="246"/>
      <c r="N143" s="43"/>
      <c r="O143" s="247"/>
      <c r="P143" s="170"/>
      <c r="Q143" s="191"/>
    </row>
    <row r="144" spans="1:88" ht="28.5" customHeight="1" x14ac:dyDescent="0.3">
      <c r="C144" s="43"/>
      <c r="D144" s="246"/>
      <c r="E144" s="43"/>
      <c r="F144" s="43"/>
      <c r="G144" s="246"/>
      <c r="H144" s="246"/>
      <c r="I144" s="246"/>
      <c r="J144" s="246"/>
      <c r="K144" s="246"/>
      <c r="L144" s="246"/>
      <c r="M144" s="246"/>
      <c r="N144" s="43"/>
      <c r="O144" s="247"/>
      <c r="P144" s="170"/>
      <c r="Q144" s="191"/>
    </row>
    <row r="145" spans="3:17" ht="28.5" customHeight="1" x14ac:dyDescent="0.3">
      <c r="C145" s="43"/>
      <c r="D145" s="246"/>
      <c r="E145" s="43"/>
      <c r="F145" s="43"/>
      <c r="G145" s="246"/>
      <c r="H145" s="246"/>
      <c r="I145" s="246"/>
      <c r="J145" s="246"/>
      <c r="K145" s="246"/>
      <c r="L145" s="246"/>
      <c r="M145" s="246"/>
      <c r="N145" s="43"/>
      <c r="O145" s="247"/>
      <c r="P145" s="170"/>
      <c r="Q145" s="191"/>
    </row>
    <row r="146" spans="3:17" ht="28.5" customHeight="1" x14ac:dyDescent="0.3">
      <c r="C146" s="43"/>
      <c r="D146" s="246"/>
      <c r="E146" s="43"/>
      <c r="F146" s="43"/>
      <c r="G146" s="246"/>
      <c r="H146" s="246"/>
      <c r="I146" s="246"/>
      <c r="J146" s="246"/>
      <c r="K146" s="246"/>
      <c r="L146" s="246"/>
      <c r="M146" s="246"/>
      <c r="N146" s="43"/>
      <c r="O146" s="247"/>
      <c r="P146" s="170"/>
      <c r="Q146" s="191"/>
    </row>
    <row r="147" spans="3:17" ht="28.5" customHeight="1" x14ac:dyDescent="0.3">
      <c r="C147" s="43"/>
      <c r="D147" s="246"/>
      <c r="E147" s="43"/>
      <c r="F147" s="43"/>
      <c r="G147" s="246"/>
      <c r="H147" s="246"/>
      <c r="I147" s="246"/>
      <c r="J147" s="246"/>
      <c r="K147" s="246"/>
      <c r="L147" s="246"/>
      <c r="M147" s="246"/>
      <c r="N147" s="43"/>
      <c r="O147" s="247"/>
      <c r="P147" s="170"/>
      <c r="Q147" s="191"/>
    </row>
    <row r="148" spans="3:17" ht="28.5" customHeight="1" x14ac:dyDescent="0.3">
      <c r="C148" s="43"/>
      <c r="D148" s="246"/>
      <c r="E148" s="43"/>
      <c r="F148" s="43"/>
      <c r="G148" s="246"/>
      <c r="H148" s="246"/>
      <c r="I148" s="246"/>
      <c r="J148" s="246"/>
      <c r="K148" s="246"/>
      <c r="L148" s="246"/>
      <c r="M148" s="246"/>
      <c r="N148" s="43"/>
      <c r="O148" s="247"/>
      <c r="P148" s="170"/>
      <c r="Q148" s="191"/>
    </row>
    <row r="149" spans="3:17" ht="28.5" customHeight="1" x14ac:dyDescent="0.3">
      <c r="C149" s="43"/>
      <c r="D149" s="246"/>
      <c r="E149" s="43"/>
      <c r="F149" s="43"/>
      <c r="G149" s="246"/>
      <c r="H149" s="246"/>
      <c r="I149" s="246"/>
      <c r="J149" s="246"/>
      <c r="K149" s="246"/>
      <c r="L149" s="246"/>
      <c r="M149" s="246"/>
      <c r="N149" s="43"/>
      <c r="O149" s="247"/>
      <c r="P149" s="170"/>
      <c r="Q149" s="191"/>
    </row>
    <row r="150" spans="3:17" ht="28.5" customHeight="1" x14ac:dyDescent="0.3">
      <c r="C150" s="43"/>
      <c r="D150" s="246"/>
      <c r="E150" s="43"/>
      <c r="F150" s="43"/>
      <c r="G150" s="246"/>
      <c r="H150" s="246"/>
      <c r="I150" s="246"/>
      <c r="J150" s="246"/>
      <c r="K150" s="246"/>
      <c r="L150" s="246"/>
      <c r="M150" s="246"/>
      <c r="N150" s="43"/>
      <c r="O150" s="247"/>
      <c r="P150" s="170"/>
      <c r="Q150" s="191"/>
    </row>
    <row r="151" spans="3:17" ht="28.5" customHeight="1" x14ac:dyDescent="0.3">
      <c r="C151" s="43"/>
      <c r="D151" s="246"/>
      <c r="E151" s="43"/>
      <c r="F151" s="43"/>
      <c r="G151" s="246"/>
      <c r="H151" s="246"/>
      <c r="I151" s="246"/>
      <c r="J151" s="246"/>
      <c r="K151" s="246"/>
      <c r="L151" s="246"/>
      <c r="M151" s="246"/>
      <c r="N151" s="43"/>
      <c r="O151" s="247"/>
      <c r="P151" s="170"/>
      <c r="Q151" s="191"/>
    </row>
    <row r="152" spans="3:17" ht="28.5" customHeight="1" x14ac:dyDescent="0.3">
      <c r="C152" s="43"/>
      <c r="D152" s="246"/>
      <c r="E152" s="43"/>
      <c r="F152" s="43"/>
      <c r="G152" s="246"/>
      <c r="H152" s="246"/>
      <c r="I152" s="246"/>
      <c r="J152" s="246"/>
      <c r="K152" s="246"/>
      <c r="L152" s="246"/>
      <c r="M152" s="246"/>
      <c r="N152" s="43"/>
      <c r="O152" s="247"/>
      <c r="P152" s="170"/>
      <c r="Q152" s="191"/>
    </row>
    <row r="153" spans="3:17" ht="28.5" customHeight="1" x14ac:dyDescent="0.3">
      <c r="C153" s="43"/>
      <c r="D153" s="246"/>
      <c r="E153" s="43"/>
      <c r="F153" s="43"/>
      <c r="G153" s="246"/>
      <c r="H153" s="246"/>
      <c r="I153" s="246"/>
      <c r="J153" s="246"/>
      <c r="K153" s="246"/>
      <c r="L153" s="246"/>
      <c r="M153" s="246"/>
      <c r="N153" s="43"/>
      <c r="O153" s="247"/>
      <c r="P153" s="170"/>
      <c r="Q153" s="191"/>
    </row>
    <row r="154" spans="3:17" ht="28.5" customHeight="1" x14ac:dyDescent="0.3">
      <c r="C154" s="43"/>
      <c r="D154" s="246"/>
      <c r="E154" s="43"/>
      <c r="F154" s="43"/>
      <c r="G154" s="246"/>
      <c r="H154" s="246"/>
      <c r="I154" s="246"/>
      <c r="J154" s="246"/>
      <c r="K154" s="246"/>
      <c r="L154" s="246"/>
      <c r="M154" s="246"/>
      <c r="N154" s="43"/>
      <c r="O154" s="247"/>
      <c r="P154" s="170"/>
      <c r="Q154" s="191"/>
    </row>
    <row r="155" spans="3:17" ht="28.5" customHeight="1" x14ac:dyDescent="0.3">
      <c r="C155" s="43"/>
      <c r="D155" s="246"/>
      <c r="E155" s="43"/>
      <c r="F155" s="43"/>
      <c r="G155" s="246"/>
      <c r="H155" s="246"/>
      <c r="I155" s="246"/>
      <c r="J155" s="246"/>
      <c r="K155" s="246"/>
      <c r="L155" s="246"/>
      <c r="M155" s="246"/>
      <c r="N155" s="43"/>
      <c r="O155" s="247"/>
      <c r="P155" s="170"/>
      <c r="Q155" s="191"/>
    </row>
    <row r="156" spans="3:17" ht="28.5" customHeight="1" x14ac:dyDescent="0.3">
      <c r="C156" s="43"/>
      <c r="D156" s="246"/>
      <c r="E156" s="43"/>
      <c r="F156" s="43"/>
      <c r="G156" s="246"/>
      <c r="H156" s="246"/>
      <c r="I156" s="246"/>
      <c r="J156" s="246"/>
      <c r="K156" s="246"/>
      <c r="L156" s="246"/>
      <c r="M156" s="246"/>
      <c r="N156" s="43"/>
      <c r="O156" s="247"/>
      <c r="P156" s="170"/>
      <c r="Q156" s="191"/>
    </row>
    <row r="157" spans="3:17" ht="28.5" customHeight="1" x14ac:dyDescent="0.3">
      <c r="C157" s="43"/>
      <c r="D157" s="246"/>
      <c r="E157" s="43"/>
      <c r="F157" s="43"/>
      <c r="G157" s="246"/>
      <c r="H157" s="246"/>
      <c r="I157" s="246"/>
      <c r="J157" s="246"/>
      <c r="K157" s="246"/>
      <c r="L157" s="246"/>
      <c r="M157" s="246"/>
      <c r="N157" s="43"/>
      <c r="O157" s="247"/>
      <c r="P157" s="170"/>
      <c r="Q157" s="191"/>
    </row>
    <row r="158" spans="3:17" ht="28.5" customHeight="1" x14ac:dyDescent="0.3">
      <c r="C158" s="43"/>
      <c r="D158" s="246"/>
      <c r="E158" s="43"/>
      <c r="F158" s="43"/>
      <c r="G158" s="246"/>
      <c r="H158" s="246"/>
      <c r="I158" s="246"/>
      <c r="J158" s="246"/>
      <c r="K158" s="246"/>
      <c r="L158" s="246"/>
      <c r="M158" s="246"/>
      <c r="N158" s="43"/>
      <c r="O158" s="247"/>
      <c r="P158" s="170"/>
      <c r="Q158" s="191"/>
    </row>
    <row r="159" spans="3:17" ht="28.5" customHeight="1" x14ac:dyDescent="0.3">
      <c r="C159" s="43"/>
      <c r="D159" s="246"/>
      <c r="E159" s="43"/>
      <c r="F159" s="43"/>
      <c r="G159" s="246"/>
      <c r="H159" s="246"/>
      <c r="I159" s="246"/>
      <c r="J159" s="246"/>
      <c r="K159" s="246"/>
      <c r="L159" s="246"/>
      <c r="M159" s="246"/>
      <c r="N159" s="43"/>
      <c r="O159" s="247"/>
      <c r="P159" s="170"/>
      <c r="Q159" s="191"/>
    </row>
    <row r="160" spans="3:17" ht="28.5" customHeight="1" x14ac:dyDescent="0.3">
      <c r="C160" s="43"/>
      <c r="D160" s="246"/>
      <c r="E160" s="43"/>
      <c r="F160" s="43"/>
      <c r="G160" s="246"/>
      <c r="H160" s="246"/>
      <c r="I160" s="246"/>
      <c r="J160" s="246"/>
      <c r="K160" s="246"/>
      <c r="L160" s="246"/>
      <c r="M160" s="246"/>
      <c r="N160" s="43"/>
      <c r="O160" s="247"/>
      <c r="P160" s="170"/>
      <c r="Q160" s="191"/>
    </row>
    <row r="161" spans="3:17" ht="28.5" customHeight="1" x14ac:dyDescent="0.3">
      <c r="C161" s="43"/>
      <c r="D161" s="246"/>
      <c r="E161" s="43"/>
      <c r="F161" s="43"/>
      <c r="G161" s="246"/>
      <c r="H161" s="246"/>
      <c r="I161" s="246"/>
      <c r="J161" s="246"/>
      <c r="K161" s="246"/>
      <c r="L161" s="246"/>
      <c r="M161" s="246"/>
      <c r="N161" s="43"/>
      <c r="O161" s="247"/>
      <c r="P161" s="170"/>
      <c r="Q161" s="191"/>
    </row>
    <row r="162" spans="3:17" ht="28.5" customHeight="1" x14ac:dyDescent="0.3">
      <c r="C162" s="43"/>
      <c r="D162" s="246"/>
      <c r="E162" s="43"/>
      <c r="F162" s="43"/>
      <c r="G162" s="246"/>
      <c r="H162" s="246"/>
      <c r="I162" s="246"/>
      <c r="J162" s="246"/>
      <c r="K162" s="246"/>
      <c r="L162" s="246"/>
      <c r="M162" s="246"/>
      <c r="N162" s="43"/>
      <c r="O162" s="247"/>
      <c r="P162" s="170"/>
      <c r="Q162" s="191"/>
    </row>
    <row r="163" spans="3:17" ht="28.5" customHeight="1" x14ac:dyDescent="0.3">
      <c r="C163" s="43"/>
      <c r="D163" s="246"/>
      <c r="E163" s="43"/>
      <c r="F163" s="43"/>
      <c r="G163" s="246"/>
      <c r="H163" s="246"/>
      <c r="I163" s="246"/>
      <c r="J163" s="246"/>
      <c r="K163" s="246"/>
      <c r="L163" s="246"/>
      <c r="M163" s="246"/>
      <c r="N163" s="43"/>
      <c r="O163" s="247"/>
      <c r="P163" s="170"/>
      <c r="Q163" s="191"/>
    </row>
    <row r="164" spans="3:17" ht="28.5" customHeight="1" x14ac:dyDescent="0.3">
      <c r="C164" s="43"/>
      <c r="D164" s="246"/>
      <c r="E164" s="43"/>
      <c r="F164" s="43"/>
      <c r="G164" s="246"/>
      <c r="H164" s="246"/>
      <c r="I164" s="246"/>
      <c r="J164" s="246"/>
      <c r="K164" s="246"/>
      <c r="L164" s="246"/>
      <c r="M164" s="246"/>
      <c r="N164" s="43"/>
      <c r="O164" s="247"/>
      <c r="P164" s="170"/>
      <c r="Q164" s="191"/>
    </row>
    <row r="165" spans="3:17" ht="28.5" customHeight="1" x14ac:dyDescent="0.3">
      <c r="C165" s="43"/>
      <c r="D165" s="246"/>
      <c r="E165" s="43"/>
      <c r="F165" s="43"/>
      <c r="G165" s="246"/>
      <c r="H165" s="246"/>
      <c r="I165" s="246"/>
      <c r="J165" s="246"/>
      <c r="K165" s="246"/>
      <c r="L165" s="246"/>
      <c r="M165" s="246"/>
      <c r="N165" s="43"/>
      <c r="O165" s="247"/>
      <c r="P165" s="170"/>
      <c r="Q165" s="191"/>
    </row>
    <row r="166" spans="3:17" ht="28.5" customHeight="1" x14ac:dyDescent="0.3">
      <c r="C166" s="43"/>
      <c r="D166" s="246"/>
      <c r="E166" s="43"/>
      <c r="F166" s="43"/>
      <c r="G166" s="246"/>
      <c r="H166" s="246"/>
      <c r="I166" s="246"/>
      <c r="J166" s="246"/>
      <c r="K166" s="246"/>
      <c r="L166" s="246"/>
      <c r="M166" s="246"/>
      <c r="N166" s="43"/>
      <c r="O166" s="247"/>
      <c r="P166" s="170"/>
      <c r="Q166" s="191"/>
    </row>
    <row r="167" spans="3:17" ht="28.5" customHeight="1" x14ac:dyDescent="0.3">
      <c r="C167" s="43"/>
      <c r="D167" s="246"/>
      <c r="E167" s="43"/>
      <c r="F167" s="43"/>
      <c r="G167" s="246"/>
      <c r="H167" s="246"/>
      <c r="I167" s="246"/>
      <c r="J167" s="246"/>
      <c r="K167" s="246"/>
      <c r="L167" s="246"/>
      <c r="M167" s="246"/>
      <c r="N167" s="43"/>
      <c r="O167" s="247"/>
      <c r="P167" s="170"/>
      <c r="Q167" s="191"/>
    </row>
    <row r="168" spans="3:17" ht="28.5" customHeight="1" x14ac:dyDescent="0.3">
      <c r="C168" s="43"/>
      <c r="D168" s="246"/>
      <c r="E168" s="43"/>
      <c r="F168" s="43"/>
      <c r="G168" s="246"/>
      <c r="H168" s="246"/>
      <c r="I168" s="246"/>
      <c r="J168" s="246"/>
      <c r="K168" s="246"/>
      <c r="L168" s="246"/>
      <c r="M168" s="246"/>
      <c r="N168" s="43"/>
      <c r="O168" s="247"/>
      <c r="P168" s="170"/>
      <c r="Q168" s="191"/>
    </row>
    <row r="169" spans="3:17" ht="28.5" customHeight="1" x14ac:dyDescent="0.3">
      <c r="C169" s="43"/>
      <c r="D169" s="246"/>
      <c r="E169" s="43"/>
      <c r="F169" s="43"/>
      <c r="G169" s="246"/>
      <c r="H169" s="246"/>
      <c r="I169" s="246"/>
      <c r="J169" s="246"/>
      <c r="K169" s="246"/>
      <c r="L169" s="246"/>
      <c r="M169" s="246"/>
      <c r="N169" s="43"/>
      <c r="O169" s="247"/>
      <c r="P169" s="170"/>
      <c r="Q169" s="191"/>
    </row>
    <row r="170" spans="3:17" ht="28.5" customHeight="1" x14ac:dyDescent="0.3">
      <c r="C170" s="43"/>
      <c r="D170" s="246"/>
      <c r="E170" s="43"/>
      <c r="F170" s="43"/>
      <c r="G170" s="246"/>
      <c r="H170" s="246"/>
      <c r="I170" s="246"/>
      <c r="J170" s="246"/>
      <c r="K170" s="246"/>
      <c r="L170" s="246"/>
      <c r="M170" s="246"/>
      <c r="N170" s="43"/>
      <c r="O170" s="247"/>
      <c r="P170" s="170"/>
      <c r="Q170" s="191"/>
    </row>
    <row r="171" spans="3:17" ht="28.5" customHeight="1" x14ac:dyDescent="0.3">
      <c r="C171" s="43"/>
      <c r="D171" s="246"/>
      <c r="E171" s="43"/>
      <c r="F171" s="43"/>
      <c r="G171" s="246"/>
      <c r="H171" s="246"/>
      <c r="I171" s="246"/>
      <c r="J171" s="246"/>
      <c r="K171" s="246"/>
      <c r="L171" s="246"/>
      <c r="M171" s="246"/>
      <c r="N171" s="43"/>
      <c r="O171" s="247"/>
      <c r="P171" s="170"/>
      <c r="Q171" s="191"/>
    </row>
    <row r="172" spans="3:17" ht="28.5" customHeight="1" x14ac:dyDescent="0.3">
      <c r="C172" s="43"/>
      <c r="D172" s="246"/>
      <c r="E172" s="43"/>
      <c r="F172" s="43"/>
      <c r="G172" s="246"/>
      <c r="H172" s="246"/>
      <c r="I172" s="246"/>
      <c r="J172" s="246"/>
      <c r="K172" s="246"/>
      <c r="L172" s="246"/>
      <c r="M172" s="246"/>
      <c r="N172" s="43"/>
      <c r="O172" s="247"/>
      <c r="P172" s="170"/>
      <c r="Q172" s="191"/>
    </row>
    <row r="173" spans="3:17" ht="28.5" customHeight="1" x14ac:dyDescent="0.3">
      <c r="C173" s="43"/>
      <c r="D173" s="246"/>
      <c r="E173" s="43"/>
      <c r="F173" s="43"/>
      <c r="G173" s="246"/>
      <c r="H173" s="246"/>
      <c r="I173" s="246"/>
      <c r="J173" s="246"/>
      <c r="K173" s="246"/>
      <c r="L173" s="246"/>
      <c r="M173" s="246"/>
      <c r="N173" s="43"/>
      <c r="O173" s="247"/>
      <c r="P173" s="170"/>
      <c r="Q173" s="191"/>
    </row>
    <row r="174" spans="3:17" ht="28.5" customHeight="1" x14ac:dyDescent="0.3">
      <c r="C174" s="43"/>
      <c r="D174" s="246"/>
      <c r="E174" s="43"/>
      <c r="F174" s="43"/>
      <c r="G174" s="246"/>
      <c r="H174" s="246"/>
      <c r="I174" s="246"/>
      <c r="J174" s="246"/>
      <c r="K174" s="246"/>
      <c r="L174" s="246"/>
      <c r="M174" s="246"/>
      <c r="N174" s="43"/>
      <c r="O174" s="247"/>
      <c r="P174" s="170"/>
      <c r="Q174" s="191"/>
    </row>
    <row r="175" spans="3:17" ht="28.5" customHeight="1" x14ac:dyDescent="0.3">
      <c r="C175" s="43"/>
      <c r="D175" s="246"/>
      <c r="E175" s="43"/>
      <c r="F175" s="43"/>
      <c r="G175" s="246"/>
      <c r="H175" s="246"/>
      <c r="I175" s="246"/>
      <c r="J175" s="246"/>
      <c r="K175" s="246"/>
      <c r="L175" s="246"/>
      <c r="M175" s="246"/>
      <c r="N175" s="43"/>
      <c r="O175" s="247"/>
      <c r="P175" s="170"/>
      <c r="Q175" s="191"/>
    </row>
    <row r="176" spans="3:17" ht="28.5" customHeight="1" x14ac:dyDescent="0.3">
      <c r="C176" s="43"/>
      <c r="D176" s="246"/>
      <c r="E176" s="43"/>
      <c r="F176" s="43"/>
      <c r="G176" s="246"/>
      <c r="H176" s="246"/>
      <c r="I176" s="246"/>
      <c r="J176" s="246"/>
      <c r="K176" s="246"/>
      <c r="L176" s="246"/>
      <c r="M176" s="246"/>
      <c r="N176" s="43"/>
      <c r="O176" s="247"/>
      <c r="P176" s="170"/>
      <c r="Q176" s="191"/>
    </row>
    <row r="177" spans="3:17" ht="28.5" customHeight="1" x14ac:dyDescent="0.3">
      <c r="C177" s="43"/>
      <c r="D177" s="246"/>
      <c r="E177" s="43"/>
      <c r="F177" s="43"/>
      <c r="G177" s="246"/>
      <c r="H177" s="246"/>
      <c r="I177" s="246"/>
      <c r="J177" s="246"/>
      <c r="K177" s="246"/>
      <c r="L177" s="246"/>
      <c r="M177" s="246"/>
      <c r="N177" s="43"/>
      <c r="O177" s="247"/>
      <c r="P177" s="170"/>
      <c r="Q177" s="191"/>
    </row>
    <row r="178" spans="3:17" ht="28.5" customHeight="1" x14ac:dyDescent="0.3">
      <c r="C178" s="43"/>
      <c r="D178" s="246"/>
      <c r="E178" s="43"/>
      <c r="F178" s="43"/>
      <c r="G178" s="246"/>
      <c r="H178" s="246"/>
      <c r="I178" s="246"/>
      <c r="J178" s="246"/>
      <c r="K178" s="246"/>
      <c r="L178" s="246"/>
      <c r="M178" s="246"/>
      <c r="N178" s="43"/>
      <c r="O178" s="247"/>
      <c r="P178" s="170"/>
      <c r="Q178" s="191"/>
    </row>
    <row r="179" spans="3:17" ht="28.5" customHeight="1" x14ac:dyDescent="0.3">
      <c r="C179" s="43"/>
      <c r="D179" s="246"/>
      <c r="E179" s="43"/>
      <c r="F179" s="43"/>
      <c r="G179" s="246"/>
      <c r="H179" s="246"/>
      <c r="I179" s="246"/>
      <c r="J179" s="246"/>
      <c r="K179" s="246"/>
      <c r="L179" s="246"/>
      <c r="M179" s="246"/>
      <c r="N179" s="43"/>
      <c r="O179" s="247"/>
      <c r="P179" s="170"/>
      <c r="Q179" s="191"/>
    </row>
    <row r="180" spans="3:17" ht="28.5" customHeight="1" x14ac:dyDescent="0.3">
      <c r="C180" s="43"/>
      <c r="D180" s="246"/>
      <c r="E180" s="43"/>
      <c r="F180" s="43"/>
      <c r="G180" s="246"/>
      <c r="H180" s="246"/>
      <c r="I180" s="246"/>
      <c r="J180" s="246"/>
      <c r="K180" s="246"/>
      <c r="L180" s="246"/>
      <c r="M180" s="246"/>
      <c r="N180" s="43"/>
      <c r="O180" s="247"/>
      <c r="P180" s="170"/>
      <c r="Q180" s="191"/>
    </row>
    <row r="181" spans="3:17" ht="28.5" customHeight="1" x14ac:dyDescent="0.3">
      <c r="C181" s="43"/>
      <c r="D181" s="246"/>
      <c r="E181" s="43"/>
      <c r="F181" s="43"/>
      <c r="G181" s="246"/>
      <c r="H181" s="246"/>
      <c r="I181" s="246"/>
      <c r="J181" s="246"/>
      <c r="K181" s="246"/>
      <c r="L181" s="246"/>
      <c r="M181" s="246"/>
      <c r="N181" s="43"/>
      <c r="O181" s="247"/>
      <c r="P181" s="170"/>
      <c r="Q181" s="191"/>
    </row>
    <row r="182" spans="3:17" ht="28.5" customHeight="1" x14ac:dyDescent="0.3">
      <c r="C182" s="43"/>
      <c r="D182" s="246"/>
      <c r="E182" s="43"/>
      <c r="F182" s="43"/>
      <c r="G182" s="246"/>
      <c r="H182" s="246"/>
      <c r="I182" s="246"/>
      <c r="J182" s="246"/>
      <c r="K182" s="246"/>
      <c r="L182" s="246"/>
      <c r="M182" s="246"/>
      <c r="N182" s="43"/>
      <c r="O182" s="247"/>
      <c r="P182" s="170"/>
      <c r="Q182" s="191"/>
    </row>
    <row r="183" spans="3:17" ht="28.5" customHeight="1" x14ac:dyDescent="0.3">
      <c r="C183" s="43"/>
      <c r="D183" s="246"/>
      <c r="E183" s="43"/>
      <c r="F183" s="43"/>
      <c r="G183" s="246"/>
      <c r="H183" s="246"/>
      <c r="I183" s="246"/>
      <c r="J183" s="246"/>
      <c r="K183" s="246"/>
      <c r="L183" s="246"/>
      <c r="M183" s="246"/>
      <c r="N183" s="43"/>
      <c r="O183" s="247"/>
      <c r="P183" s="170"/>
      <c r="Q183" s="191"/>
    </row>
    <row r="184" spans="3:17" ht="28.5" customHeight="1" x14ac:dyDescent="0.3">
      <c r="C184" s="43"/>
      <c r="D184" s="246"/>
      <c r="E184" s="43"/>
      <c r="F184" s="43"/>
      <c r="G184" s="246"/>
      <c r="H184" s="246"/>
      <c r="I184" s="246"/>
      <c r="J184" s="246"/>
      <c r="K184" s="246"/>
      <c r="L184" s="246"/>
      <c r="M184" s="246"/>
      <c r="N184" s="43"/>
      <c r="O184" s="247"/>
      <c r="P184" s="170"/>
      <c r="Q184" s="191"/>
    </row>
    <row r="185" spans="3:17" ht="28.5" customHeight="1" x14ac:dyDescent="0.3">
      <c r="C185" s="43"/>
      <c r="D185" s="246"/>
      <c r="E185" s="43"/>
      <c r="F185" s="43"/>
      <c r="G185" s="246"/>
      <c r="H185" s="246"/>
      <c r="I185" s="246"/>
      <c r="J185" s="246"/>
      <c r="K185" s="246"/>
      <c r="L185" s="246"/>
      <c r="M185" s="246"/>
      <c r="N185" s="43"/>
      <c r="O185" s="247"/>
      <c r="P185" s="170"/>
      <c r="Q185" s="191"/>
    </row>
    <row r="186" spans="3:17" ht="28.5" customHeight="1" x14ac:dyDescent="0.3">
      <c r="C186" s="43"/>
      <c r="D186" s="246"/>
      <c r="E186" s="43"/>
      <c r="F186" s="43"/>
      <c r="G186" s="246"/>
      <c r="H186" s="246"/>
      <c r="I186" s="246"/>
      <c r="J186" s="246"/>
      <c r="K186" s="246"/>
      <c r="L186" s="246"/>
      <c r="M186" s="246"/>
      <c r="N186" s="43"/>
      <c r="O186" s="247"/>
      <c r="P186" s="170"/>
      <c r="Q186" s="191"/>
    </row>
    <row r="187" spans="3:17" ht="28.5" customHeight="1" x14ac:dyDescent="0.3">
      <c r="C187" s="43"/>
      <c r="D187" s="246"/>
      <c r="E187" s="43"/>
      <c r="F187" s="43"/>
      <c r="G187" s="246"/>
      <c r="H187" s="246"/>
      <c r="I187" s="246"/>
      <c r="J187" s="246"/>
      <c r="K187" s="246"/>
      <c r="L187" s="246"/>
      <c r="M187" s="246"/>
      <c r="N187" s="43"/>
      <c r="O187" s="247"/>
      <c r="P187" s="170"/>
      <c r="Q187" s="191"/>
    </row>
    <row r="188" spans="3:17" ht="28.5" customHeight="1" x14ac:dyDescent="0.3">
      <c r="C188" s="43"/>
      <c r="D188" s="246"/>
      <c r="E188" s="43"/>
      <c r="F188" s="43"/>
      <c r="G188" s="246"/>
      <c r="H188" s="246"/>
      <c r="I188" s="246"/>
      <c r="J188" s="246"/>
      <c r="K188" s="246"/>
      <c r="L188" s="246"/>
      <c r="M188" s="246"/>
      <c r="N188" s="43"/>
      <c r="O188" s="247"/>
      <c r="P188" s="170"/>
      <c r="Q188" s="191"/>
    </row>
    <row r="189" spans="3:17" ht="28.5" customHeight="1" x14ac:dyDescent="0.3">
      <c r="C189" s="43"/>
      <c r="D189" s="246"/>
      <c r="E189" s="43"/>
      <c r="F189" s="43"/>
      <c r="G189" s="246"/>
      <c r="H189" s="246"/>
      <c r="I189" s="246"/>
      <c r="J189" s="246"/>
      <c r="K189" s="246"/>
      <c r="L189" s="246"/>
      <c r="M189" s="246"/>
      <c r="N189" s="43"/>
      <c r="O189" s="247"/>
      <c r="P189" s="170"/>
      <c r="Q189" s="191"/>
    </row>
    <row r="190" spans="3:17" ht="28.5" customHeight="1" x14ac:dyDescent="0.3">
      <c r="C190" s="43"/>
      <c r="D190" s="246"/>
      <c r="E190" s="43"/>
      <c r="F190" s="43"/>
      <c r="G190" s="246"/>
      <c r="H190" s="246"/>
      <c r="I190" s="246"/>
      <c r="J190" s="246"/>
      <c r="K190" s="246"/>
      <c r="L190" s="246"/>
      <c r="M190" s="246"/>
      <c r="N190" s="43"/>
      <c r="O190" s="247"/>
      <c r="P190" s="170"/>
      <c r="Q190" s="191"/>
    </row>
    <row r="191" spans="3:17" ht="28.5" customHeight="1" x14ac:dyDescent="0.3">
      <c r="C191" s="43"/>
      <c r="D191" s="246"/>
      <c r="E191" s="43"/>
      <c r="F191" s="43"/>
      <c r="G191" s="246"/>
      <c r="H191" s="246"/>
      <c r="I191" s="246"/>
      <c r="J191" s="246"/>
      <c r="K191" s="246"/>
      <c r="L191" s="246"/>
      <c r="M191" s="246"/>
      <c r="N191" s="43"/>
      <c r="O191" s="247"/>
      <c r="P191" s="170"/>
      <c r="Q191" s="191"/>
    </row>
    <row r="192" spans="3:17" ht="28.5" customHeight="1" x14ac:dyDescent="0.3">
      <c r="C192" s="43"/>
      <c r="D192" s="246"/>
      <c r="E192" s="43"/>
      <c r="F192" s="43"/>
      <c r="G192" s="246"/>
      <c r="H192" s="246"/>
      <c r="I192" s="246"/>
      <c r="J192" s="246"/>
      <c r="K192" s="246"/>
      <c r="L192" s="246"/>
      <c r="M192" s="246"/>
      <c r="N192" s="43"/>
      <c r="O192" s="247"/>
      <c r="P192" s="170"/>
      <c r="Q192" s="191"/>
    </row>
    <row r="193" spans="3:17" ht="28.5" customHeight="1" x14ac:dyDescent="0.3">
      <c r="C193" s="43"/>
      <c r="D193" s="246"/>
      <c r="E193" s="43"/>
      <c r="F193" s="43"/>
      <c r="G193" s="246"/>
      <c r="H193" s="246"/>
      <c r="I193" s="246"/>
      <c r="J193" s="246"/>
      <c r="K193" s="246"/>
      <c r="L193" s="246"/>
      <c r="M193" s="246"/>
      <c r="N193" s="43"/>
      <c r="O193" s="247"/>
      <c r="P193" s="170"/>
      <c r="Q193" s="191"/>
    </row>
    <row r="194" spans="3:17" ht="28.5" customHeight="1" x14ac:dyDescent="0.3">
      <c r="C194" s="43"/>
      <c r="D194" s="246"/>
      <c r="E194" s="43"/>
      <c r="F194" s="43"/>
      <c r="G194" s="246"/>
      <c r="H194" s="246"/>
      <c r="I194" s="246"/>
      <c r="J194" s="246"/>
      <c r="K194" s="246"/>
      <c r="L194" s="246"/>
      <c r="M194" s="246"/>
      <c r="N194" s="43"/>
      <c r="O194" s="247"/>
      <c r="P194" s="170"/>
      <c r="Q194" s="191"/>
    </row>
    <row r="195" spans="3:17" ht="28.5" customHeight="1" x14ac:dyDescent="0.3">
      <c r="C195" s="43"/>
      <c r="D195" s="246"/>
      <c r="E195" s="43"/>
      <c r="F195" s="43"/>
      <c r="G195" s="246"/>
      <c r="H195" s="246"/>
      <c r="I195" s="246"/>
      <c r="J195" s="246"/>
      <c r="K195" s="246"/>
      <c r="L195" s="246"/>
      <c r="M195" s="246"/>
      <c r="N195" s="43"/>
      <c r="O195" s="247"/>
      <c r="P195" s="170"/>
      <c r="Q195" s="191"/>
    </row>
    <row r="196" spans="3:17" ht="28.5" customHeight="1" x14ac:dyDescent="0.3">
      <c r="C196" s="43"/>
      <c r="D196" s="246"/>
      <c r="E196" s="43"/>
      <c r="F196" s="43"/>
      <c r="G196" s="246"/>
      <c r="H196" s="246"/>
      <c r="I196" s="246"/>
      <c r="J196" s="246"/>
      <c r="K196" s="246"/>
      <c r="L196" s="246"/>
      <c r="M196" s="246"/>
      <c r="N196" s="43"/>
      <c r="O196" s="247"/>
      <c r="P196" s="170"/>
      <c r="Q196" s="191"/>
    </row>
    <row r="197" spans="3:17" ht="28.5" customHeight="1" x14ac:dyDescent="0.3">
      <c r="C197" s="43"/>
      <c r="D197" s="246"/>
      <c r="E197" s="43"/>
      <c r="F197" s="43"/>
      <c r="G197" s="246"/>
      <c r="H197" s="246"/>
      <c r="I197" s="246"/>
      <c r="J197" s="246"/>
      <c r="K197" s="246"/>
      <c r="L197" s="246"/>
      <c r="M197" s="246"/>
      <c r="N197" s="43"/>
      <c r="O197" s="247"/>
      <c r="P197" s="170"/>
      <c r="Q197" s="191"/>
    </row>
    <row r="198" spans="3:17" ht="28.5" customHeight="1" x14ac:dyDescent="0.3">
      <c r="C198" s="43"/>
      <c r="D198" s="246"/>
      <c r="E198" s="43"/>
      <c r="F198" s="43"/>
      <c r="G198" s="246"/>
      <c r="H198" s="246"/>
      <c r="I198" s="246"/>
      <c r="J198" s="246"/>
      <c r="K198" s="246"/>
      <c r="L198" s="246"/>
      <c r="M198" s="246"/>
      <c r="N198" s="43"/>
      <c r="O198" s="247"/>
      <c r="P198" s="170"/>
      <c r="Q198" s="191"/>
    </row>
    <row r="199" spans="3:17" ht="28.5" customHeight="1" x14ac:dyDescent="0.3">
      <c r="C199" s="43"/>
      <c r="D199" s="246"/>
      <c r="E199" s="43"/>
      <c r="F199" s="43"/>
      <c r="G199" s="246"/>
      <c r="H199" s="246"/>
      <c r="I199" s="246"/>
      <c r="J199" s="246"/>
      <c r="K199" s="246"/>
      <c r="L199" s="246"/>
      <c r="M199" s="246"/>
      <c r="N199" s="43"/>
      <c r="O199" s="247"/>
      <c r="P199" s="170"/>
      <c r="Q199" s="191"/>
    </row>
    <row r="200" spans="3:17" ht="28.5" customHeight="1" x14ac:dyDescent="0.3">
      <c r="C200" s="43"/>
      <c r="D200" s="246"/>
      <c r="E200" s="43"/>
      <c r="F200" s="43"/>
      <c r="G200" s="246"/>
      <c r="H200" s="246"/>
      <c r="I200" s="246"/>
      <c r="J200" s="246"/>
      <c r="K200" s="246"/>
      <c r="L200" s="246"/>
      <c r="M200" s="246"/>
      <c r="N200" s="43"/>
      <c r="O200" s="247"/>
      <c r="P200" s="170"/>
      <c r="Q200" s="191"/>
    </row>
    <row r="201" spans="3:17" ht="28.5" customHeight="1" x14ac:dyDescent="0.3">
      <c r="C201" s="43"/>
      <c r="D201" s="246"/>
      <c r="E201" s="43"/>
      <c r="F201" s="43"/>
      <c r="G201" s="246"/>
      <c r="H201" s="246"/>
      <c r="I201" s="246"/>
      <c r="J201" s="246"/>
      <c r="K201" s="246"/>
      <c r="L201" s="246"/>
      <c r="M201" s="246"/>
      <c r="N201" s="43"/>
      <c r="O201" s="247"/>
      <c r="P201" s="170"/>
      <c r="Q201" s="191"/>
    </row>
    <row r="202" spans="3:17" ht="28.5" customHeight="1" x14ac:dyDescent="0.3">
      <c r="C202" s="43"/>
      <c r="D202" s="246"/>
      <c r="E202" s="43"/>
      <c r="F202" s="43"/>
      <c r="G202" s="246"/>
      <c r="H202" s="246"/>
      <c r="I202" s="246"/>
      <c r="J202" s="246"/>
      <c r="K202" s="246"/>
      <c r="L202" s="246"/>
      <c r="M202" s="246"/>
      <c r="N202" s="43"/>
      <c r="O202" s="247"/>
      <c r="P202" s="170"/>
      <c r="Q202" s="191"/>
    </row>
    <row r="203" spans="3:17" ht="28.5" customHeight="1" x14ac:dyDescent="0.3">
      <c r="C203" s="43"/>
      <c r="D203" s="246"/>
      <c r="E203" s="43"/>
      <c r="F203" s="43"/>
      <c r="G203" s="246"/>
      <c r="H203" s="246"/>
      <c r="I203" s="246"/>
      <c r="J203" s="246"/>
      <c r="K203" s="246"/>
      <c r="L203" s="246"/>
      <c r="M203" s="246"/>
      <c r="N203" s="43"/>
      <c r="O203" s="247"/>
      <c r="P203" s="170"/>
      <c r="Q203" s="191"/>
    </row>
    <row r="204" spans="3:17" ht="28.5" customHeight="1" x14ac:dyDescent="0.3">
      <c r="C204" s="43"/>
      <c r="D204" s="246"/>
      <c r="E204" s="43"/>
      <c r="F204" s="43"/>
      <c r="G204" s="246"/>
      <c r="H204" s="246"/>
      <c r="I204" s="246"/>
      <c r="J204" s="246"/>
      <c r="K204" s="246"/>
      <c r="L204" s="246"/>
      <c r="M204" s="246"/>
      <c r="N204" s="43"/>
      <c r="O204" s="247"/>
      <c r="P204" s="170"/>
      <c r="Q204" s="191"/>
    </row>
    <row r="205" spans="3:17" ht="28.5" customHeight="1" x14ac:dyDescent="0.3">
      <c r="C205" s="43"/>
      <c r="D205" s="246"/>
      <c r="E205" s="43"/>
      <c r="F205" s="43"/>
      <c r="G205" s="246"/>
      <c r="H205" s="246"/>
      <c r="I205" s="246"/>
      <c r="J205" s="246"/>
      <c r="K205" s="246"/>
      <c r="L205" s="246"/>
      <c r="M205" s="246"/>
      <c r="N205" s="43"/>
      <c r="O205" s="247"/>
      <c r="P205" s="170"/>
      <c r="Q205" s="191"/>
    </row>
    <row r="206" spans="3:17" ht="28.5" customHeight="1" x14ac:dyDescent="0.3">
      <c r="C206" s="43"/>
      <c r="D206" s="246"/>
      <c r="E206" s="43"/>
      <c r="F206" s="43"/>
      <c r="G206" s="246"/>
      <c r="H206" s="246"/>
      <c r="I206" s="246"/>
      <c r="J206" s="246"/>
      <c r="K206" s="246"/>
      <c r="L206" s="246"/>
      <c r="M206" s="246"/>
      <c r="N206" s="43"/>
      <c r="O206" s="247"/>
      <c r="P206" s="170"/>
      <c r="Q206" s="191"/>
    </row>
    <row r="207" spans="3:17" ht="28.5" customHeight="1" x14ac:dyDescent="0.3">
      <c r="C207" s="43"/>
      <c r="D207" s="246"/>
      <c r="E207" s="43"/>
      <c r="F207" s="43"/>
      <c r="G207" s="246"/>
      <c r="H207" s="246"/>
      <c r="I207" s="246"/>
      <c r="J207" s="246"/>
      <c r="K207" s="246"/>
      <c r="L207" s="246"/>
      <c r="M207" s="246"/>
      <c r="N207" s="43"/>
      <c r="O207" s="247"/>
      <c r="P207" s="170"/>
      <c r="Q207" s="191"/>
    </row>
    <row r="208" spans="3:17" ht="28.5" customHeight="1" x14ac:dyDescent="0.3">
      <c r="C208" s="43"/>
      <c r="D208" s="246"/>
      <c r="E208" s="43"/>
      <c r="F208" s="43"/>
      <c r="G208" s="246"/>
      <c r="H208" s="246"/>
      <c r="I208" s="246"/>
      <c r="J208" s="246"/>
      <c r="K208" s="246"/>
      <c r="L208" s="246"/>
      <c r="M208" s="246"/>
      <c r="N208" s="43"/>
      <c r="O208" s="247"/>
      <c r="P208" s="170"/>
      <c r="Q208" s="191"/>
    </row>
    <row r="209" spans="3:17" ht="28.5" customHeight="1" x14ac:dyDescent="0.3">
      <c r="C209" s="43"/>
      <c r="D209" s="246"/>
      <c r="E209" s="43"/>
      <c r="F209" s="43"/>
      <c r="G209" s="246"/>
      <c r="H209" s="246"/>
      <c r="I209" s="246"/>
      <c r="J209" s="246"/>
      <c r="K209" s="246"/>
      <c r="L209" s="246"/>
      <c r="M209" s="246"/>
      <c r="N209" s="43"/>
      <c r="O209" s="247"/>
      <c r="P209" s="170"/>
      <c r="Q209" s="191"/>
    </row>
    <row r="210" spans="3:17" ht="28.5" customHeight="1" x14ac:dyDescent="0.3">
      <c r="C210" s="43"/>
      <c r="D210" s="246"/>
      <c r="E210" s="43"/>
      <c r="F210" s="43"/>
      <c r="G210" s="246"/>
      <c r="H210" s="246"/>
      <c r="I210" s="246"/>
      <c r="J210" s="246"/>
      <c r="K210" s="246"/>
      <c r="L210" s="246"/>
      <c r="M210" s="246"/>
      <c r="N210" s="43"/>
      <c r="O210" s="247"/>
      <c r="P210" s="170"/>
      <c r="Q210" s="191"/>
    </row>
    <row r="211" spans="3:17" ht="28.5" customHeight="1" x14ac:dyDescent="0.3">
      <c r="C211" s="43"/>
      <c r="D211" s="246"/>
      <c r="E211" s="43"/>
      <c r="F211" s="43"/>
      <c r="G211" s="246"/>
      <c r="H211" s="246"/>
      <c r="I211" s="246"/>
      <c r="J211" s="246"/>
      <c r="K211" s="246"/>
      <c r="L211" s="246"/>
      <c r="M211" s="246"/>
      <c r="N211" s="43"/>
      <c r="O211" s="247"/>
      <c r="P211" s="170"/>
      <c r="Q211" s="191"/>
    </row>
    <row r="212" spans="3:17" ht="28.5" customHeight="1" x14ac:dyDescent="0.3">
      <c r="C212" s="43"/>
      <c r="D212" s="246"/>
      <c r="E212" s="43"/>
      <c r="F212" s="43"/>
      <c r="G212" s="246"/>
      <c r="H212" s="246"/>
      <c r="I212" s="246"/>
      <c r="J212" s="246"/>
      <c r="K212" s="246"/>
      <c r="L212" s="246"/>
      <c r="M212" s="246"/>
      <c r="N212" s="43"/>
      <c r="O212" s="247"/>
      <c r="P212" s="170"/>
      <c r="Q212" s="191"/>
    </row>
    <row r="213" spans="3:17" ht="28.5" customHeight="1" x14ac:dyDescent="0.3">
      <c r="C213" s="43"/>
      <c r="D213" s="246"/>
      <c r="E213" s="43"/>
      <c r="F213" s="43"/>
      <c r="G213" s="246"/>
      <c r="H213" s="246"/>
      <c r="I213" s="246"/>
      <c r="J213" s="246"/>
      <c r="K213" s="246"/>
      <c r="L213" s="246"/>
      <c r="M213" s="246"/>
      <c r="N213" s="43"/>
      <c r="O213" s="247"/>
      <c r="P213" s="170"/>
      <c r="Q213" s="191"/>
    </row>
    <row r="214" spans="3:17" ht="28.5" customHeight="1" x14ac:dyDescent="0.3">
      <c r="C214" s="43"/>
      <c r="D214" s="246"/>
      <c r="E214" s="43"/>
      <c r="F214" s="43"/>
      <c r="G214" s="246"/>
      <c r="H214" s="246"/>
      <c r="I214" s="246"/>
      <c r="J214" s="246"/>
      <c r="K214" s="246"/>
      <c r="L214" s="246"/>
      <c r="M214" s="246"/>
      <c r="N214" s="43"/>
      <c r="O214" s="247"/>
      <c r="P214" s="170"/>
      <c r="Q214" s="191"/>
    </row>
    <row r="215" spans="3:17" ht="28.5" customHeight="1" x14ac:dyDescent="0.3">
      <c r="C215" s="43"/>
      <c r="D215" s="246"/>
      <c r="E215" s="43"/>
      <c r="F215" s="43"/>
      <c r="G215" s="246"/>
      <c r="H215" s="246"/>
      <c r="I215" s="246"/>
      <c r="J215" s="246"/>
      <c r="K215" s="246"/>
      <c r="L215" s="246"/>
      <c r="M215" s="246"/>
      <c r="N215" s="43"/>
      <c r="O215" s="247"/>
      <c r="P215" s="170"/>
      <c r="Q215" s="191"/>
    </row>
    <row r="216" spans="3:17" ht="28.5" customHeight="1" x14ac:dyDescent="0.3">
      <c r="C216" s="43"/>
      <c r="D216" s="246"/>
      <c r="E216" s="43"/>
      <c r="F216" s="43"/>
      <c r="G216" s="246"/>
      <c r="H216" s="246"/>
      <c r="I216" s="246"/>
      <c r="J216" s="246"/>
      <c r="K216" s="246"/>
      <c r="L216" s="246"/>
      <c r="M216" s="246"/>
      <c r="N216" s="43"/>
      <c r="O216" s="247"/>
      <c r="P216" s="170"/>
      <c r="Q216" s="191"/>
    </row>
    <row r="217" spans="3:17" ht="28.5" customHeight="1" x14ac:dyDescent="0.3">
      <c r="C217" s="43"/>
      <c r="D217" s="246"/>
      <c r="E217" s="43"/>
      <c r="F217" s="43"/>
      <c r="G217" s="246"/>
      <c r="H217" s="246"/>
      <c r="I217" s="246"/>
      <c r="J217" s="246"/>
      <c r="K217" s="246"/>
      <c r="L217" s="246"/>
      <c r="M217" s="246"/>
      <c r="N217" s="43"/>
      <c r="O217" s="247"/>
      <c r="P217" s="170"/>
      <c r="Q217" s="191"/>
    </row>
    <row r="218" spans="3:17" ht="28.5" customHeight="1" x14ac:dyDescent="0.3">
      <c r="C218" s="43"/>
      <c r="D218" s="246"/>
      <c r="E218" s="43"/>
      <c r="F218" s="43"/>
      <c r="G218" s="246"/>
      <c r="H218" s="246"/>
      <c r="I218" s="246"/>
      <c r="J218" s="246"/>
      <c r="K218" s="246"/>
      <c r="L218" s="246"/>
      <c r="M218" s="246"/>
      <c r="N218" s="43"/>
      <c r="O218" s="247"/>
      <c r="P218" s="170"/>
      <c r="Q218" s="191"/>
    </row>
    <row r="219" spans="3:17" ht="28.5" customHeight="1" x14ac:dyDescent="0.3">
      <c r="C219" s="43"/>
      <c r="D219" s="246"/>
      <c r="E219" s="43"/>
      <c r="F219" s="43"/>
      <c r="G219" s="246"/>
      <c r="H219" s="246"/>
      <c r="I219" s="246"/>
      <c r="J219" s="246"/>
      <c r="K219" s="246"/>
      <c r="L219" s="246"/>
      <c r="M219" s="246"/>
      <c r="N219" s="43"/>
      <c r="O219" s="247"/>
      <c r="P219" s="170"/>
      <c r="Q219" s="191"/>
    </row>
    <row r="220" spans="3:17" ht="28.5" customHeight="1" x14ac:dyDescent="0.3">
      <c r="C220" s="43"/>
      <c r="D220" s="246"/>
      <c r="E220" s="43"/>
      <c r="F220" s="43"/>
      <c r="G220" s="246"/>
      <c r="H220" s="246"/>
      <c r="I220" s="246"/>
      <c r="J220" s="246"/>
      <c r="K220" s="246"/>
      <c r="L220" s="246"/>
      <c r="M220" s="246"/>
      <c r="N220" s="43"/>
      <c r="O220" s="247"/>
      <c r="P220" s="170"/>
      <c r="Q220" s="191"/>
    </row>
    <row r="221" spans="3:17" ht="28.5" customHeight="1" x14ac:dyDescent="0.3">
      <c r="C221" s="43"/>
      <c r="D221" s="246"/>
      <c r="E221" s="43"/>
      <c r="F221" s="43"/>
      <c r="G221" s="246"/>
      <c r="H221" s="246"/>
      <c r="I221" s="246"/>
      <c r="J221" s="246"/>
      <c r="K221" s="246"/>
      <c r="L221" s="246"/>
      <c r="M221" s="246"/>
      <c r="N221" s="43"/>
      <c r="O221" s="247"/>
      <c r="P221" s="170"/>
      <c r="Q221" s="191"/>
    </row>
    <row r="222" spans="3:17" ht="28.5" customHeight="1" x14ac:dyDescent="0.3">
      <c r="C222" s="43"/>
      <c r="D222" s="246"/>
      <c r="E222" s="43"/>
      <c r="F222" s="43"/>
      <c r="G222" s="246"/>
      <c r="H222" s="246"/>
      <c r="I222" s="246"/>
      <c r="J222" s="246"/>
      <c r="K222" s="246"/>
      <c r="L222" s="246"/>
      <c r="M222" s="246"/>
      <c r="N222" s="43"/>
      <c r="O222" s="247"/>
      <c r="P222" s="170"/>
      <c r="Q222" s="191"/>
    </row>
    <row r="223" spans="3:17" ht="28.5" customHeight="1" x14ac:dyDescent="0.3">
      <c r="C223" s="43"/>
      <c r="D223" s="246"/>
      <c r="E223" s="43"/>
      <c r="F223" s="43"/>
      <c r="G223" s="246"/>
      <c r="H223" s="246"/>
      <c r="I223" s="246"/>
      <c r="J223" s="246"/>
      <c r="K223" s="246"/>
      <c r="L223" s="246"/>
      <c r="M223" s="246"/>
      <c r="N223" s="43"/>
      <c r="O223" s="247"/>
      <c r="P223" s="170"/>
      <c r="Q223" s="191"/>
    </row>
    <row r="224" spans="3:17" ht="28.5" customHeight="1" x14ac:dyDescent="0.3">
      <c r="C224" s="43"/>
      <c r="D224" s="246"/>
      <c r="E224" s="43"/>
      <c r="F224" s="43"/>
      <c r="G224" s="246"/>
      <c r="H224" s="246"/>
      <c r="I224" s="246"/>
      <c r="J224" s="246"/>
      <c r="K224" s="246"/>
      <c r="L224" s="246"/>
      <c r="M224" s="246"/>
      <c r="N224" s="43"/>
      <c r="O224" s="247"/>
      <c r="P224" s="170"/>
      <c r="Q224" s="191"/>
    </row>
    <row r="225" spans="3:17" ht="28.5" customHeight="1" x14ac:dyDescent="0.3">
      <c r="C225" s="43"/>
      <c r="D225" s="246"/>
      <c r="E225" s="43"/>
      <c r="F225" s="43"/>
      <c r="G225" s="246"/>
      <c r="H225" s="246"/>
      <c r="I225" s="246"/>
      <c r="J225" s="246"/>
      <c r="K225" s="246"/>
      <c r="L225" s="246"/>
      <c r="M225" s="246"/>
      <c r="N225" s="43"/>
      <c r="O225" s="247"/>
      <c r="P225" s="170"/>
      <c r="Q225" s="191"/>
    </row>
    <row r="226" spans="3:17" ht="28.5" customHeight="1" x14ac:dyDescent="0.3">
      <c r="C226" s="43"/>
      <c r="D226" s="246"/>
      <c r="E226" s="43"/>
      <c r="F226" s="43"/>
      <c r="G226" s="246"/>
      <c r="H226" s="246"/>
      <c r="I226" s="246"/>
      <c r="J226" s="246"/>
      <c r="K226" s="246"/>
      <c r="L226" s="246"/>
      <c r="M226" s="246"/>
      <c r="N226" s="43"/>
      <c r="O226" s="247"/>
      <c r="P226" s="170"/>
      <c r="Q226" s="191"/>
    </row>
    <row r="227" spans="3:17" ht="28.5" customHeight="1" x14ac:dyDescent="0.3">
      <c r="C227" s="43"/>
      <c r="D227" s="246"/>
      <c r="E227" s="43"/>
      <c r="F227" s="43"/>
      <c r="G227" s="246"/>
      <c r="H227" s="246"/>
      <c r="I227" s="246"/>
      <c r="J227" s="246"/>
      <c r="K227" s="246"/>
      <c r="L227" s="246"/>
      <c r="M227" s="246"/>
      <c r="N227" s="43"/>
      <c r="O227" s="247"/>
      <c r="P227" s="170"/>
      <c r="Q227" s="191"/>
    </row>
    <row r="228" spans="3:17" ht="28.5" customHeight="1" x14ac:dyDescent="0.3">
      <c r="C228" s="43"/>
      <c r="D228" s="246"/>
      <c r="E228" s="43"/>
      <c r="F228" s="43"/>
      <c r="G228" s="246"/>
      <c r="H228" s="246"/>
      <c r="I228" s="246"/>
      <c r="J228" s="246"/>
      <c r="K228" s="246"/>
      <c r="L228" s="246"/>
      <c r="M228" s="246"/>
      <c r="N228" s="43"/>
      <c r="O228" s="247"/>
      <c r="P228" s="170"/>
      <c r="Q228" s="191"/>
    </row>
    <row r="229" spans="3:17" ht="28.5" customHeight="1" x14ac:dyDescent="0.3">
      <c r="C229" s="43"/>
      <c r="D229" s="246"/>
      <c r="E229" s="43"/>
      <c r="F229" s="43"/>
      <c r="G229" s="246"/>
      <c r="H229" s="246"/>
      <c r="I229" s="246"/>
      <c r="J229" s="246"/>
      <c r="K229" s="246"/>
      <c r="L229" s="246"/>
      <c r="M229" s="246"/>
      <c r="N229" s="43"/>
      <c r="O229" s="247"/>
      <c r="P229" s="170"/>
      <c r="Q229" s="191"/>
    </row>
    <row r="230" spans="3:17" ht="28.5" customHeight="1" x14ac:dyDescent="0.3">
      <c r="C230" s="43"/>
      <c r="D230" s="246"/>
      <c r="E230" s="43"/>
      <c r="F230" s="43"/>
      <c r="G230" s="246"/>
      <c r="H230" s="246"/>
      <c r="I230" s="246"/>
      <c r="J230" s="246"/>
      <c r="K230" s="246"/>
      <c r="L230" s="246"/>
      <c r="M230" s="246"/>
      <c r="N230" s="43"/>
      <c r="O230" s="247"/>
      <c r="P230" s="170"/>
      <c r="Q230" s="191"/>
    </row>
    <row r="231" spans="3:17" ht="28.5" customHeight="1" x14ac:dyDescent="0.3">
      <c r="C231" s="43"/>
      <c r="D231" s="246"/>
      <c r="E231" s="43"/>
      <c r="F231" s="43"/>
      <c r="G231" s="246"/>
      <c r="H231" s="246"/>
      <c r="I231" s="246"/>
      <c r="J231" s="246"/>
      <c r="K231" s="246"/>
      <c r="L231" s="246"/>
      <c r="M231" s="246"/>
      <c r="N231" s="43"/>
      <c r="O231" s="247"/>
      <c r="P231" s="170"/>
      <c r="Q231" s="191"/>
    </row>
    <row r="232" spans="3:17" ht="28.5" customHeight="1" x14ac:dyDescent="0.3">
      <c r="C232" s="43"/>
      <c r="D232" s="246"/>
      <c r="E232" s="43"/>
      <c r="F232" s="43"/>
      <c r="G232" s="246"/>
      <c r="H232" s="246"/>
      <c r="I232" s="246"/>
      <c r="J232" s="246"/>
      <c r="K232" s="246"/>
      <c r="L232" s="246"/>
      <c r="M232" s="246"/>
      <c r="N232" s="43"/>
      <c r="O232" s="247"/>
      <c r="P232" s="170"/>
      <c r="Q232" s="191"/>
    </row>
    <row r="233" spans="3:17" ht="28.5" customHeight="1" x14ac:dyDescent="0.3">
      <c r="C233" s="43"/>
      <c r="D233" s="246"/>
      <c r="E233" s="43"/>
      <c r="F233" s="43"/>
      <c r="G233" s="246"/>
      <c r="H233" s="246"/>
      <c r="I233" s="246"/>
      <c r="J233" s="246"/>
      <c r="K233" s="246"/>
      <c r="L233" s="246"/>
      <c r="M233" s="246"/>
      <c r="N233" s="43"/>
      <c r="O233" s="247"/>
      <c r="P233" s="170"/>
      <c r="Q233" s="191"/>
    </row>
    <row r="234" spans="3:17" ht="28.5" customHeight="1" x14ac:dyDescent="0.3">
      <c r="C234" s="43"/>
      <c r="D234" s="246"/>
      <c r="E234" s="43"/>
      <c r="F234" s="43"/>
      <c r="G234" s="246"/>
      <c r="H234" s="246"/>
      <c r="I234" s="246"/>
      <c r="J234" s="246"/>
      <c r="K234" s="246"/>
      <c r="L234" s="246"/>
      <c r="M234" s="246"/>
      <c r="N234" s="43"/>
      <c r="O234" s="247"/>
      <c r="P234" s="170"/>
      <c r="Q234" s="191"/>
    </row>
    <row r="235" spans="3:17" ht="28.5" customHeight="1" x14ac:dyDescent="0.3">
      <c r="C235" s="43"/>
      <c r="D235" s="246"/>
      <c r="E235" s="43"/>
      <c r="F235" s="43"/>
      <c r="G235" s="246"/>
      <c r="H235" s="246"/>
      <c r="I235" s="246"/>
      <c r="J235" s="246"/>
      <c r="K235" s="246"/>
      <c r="L235" s="246"/>
      <c r="M235" s="246"/>
      <c r="N235" s="43"/>
      <c r="O235" s="247"/>
      <c r="P235" s="170"/>
      <c r="Q235" s="191"/>
    </row>
    <row r="236" spans="3:17" ht="28.5" customHeight="1" x14ac:dyDescent="0.3">
      <c r="C236" s="43"/>
      <c r="D236" s="246"/>
      <c r="E236" s="43"/>
      <c r="F236" s="43"/>
      <c r="G236" s="246"/>
      <c r="H236" s="246"/>
      <c r="I236" s="246"/>
      <c r="J236" s="246"/>
      <c r="K236" s="246"/>
      <c r="L236" s="246"/>
      <c r="M236" s="246"/>
      <c r="N236" s="43"/>
      <c r="O236" s="247"/>
      <c r="P236" s="170"/>
      <c r="Q236" s="191"/>
    </row>
    <row r="237" spans="3:17" ht="28.5" customHeight="1" x14ac:dyDescent="0.3">
      <c r="C237" s="43"/>
      <c r="D237" s="246"/>
      <c r="E237" s="43"/>
      <c r="F237" s="43"/>
      <c r="G237" s="246"/>
      <c r="H237" s="246"/>
      <c r="I237" s="246"/>
      <c r="J237" s="246"/>
      <c r="K237" s="246"/>
      <c r="L237" s="246"/>
      <c r="M237" s="246"/>
      <c r="N237" s="43"/>
      <c r="O237" s="247"/>
      <c r="P237" s="170"/>
      <c r="Q237" s="191"/>
    </row>
    <row r="238" spans="3:17" ht="28.5" customHeight="1" x14ac:dyDescent="0.3">
      <c r="C238" s="43"/>
      <c r="D238" s="246"/>
      <c r="E238" s="43"/>
      <c r="F238" s="43"/>
      <c r="G238" s="246"/>
      <c r="H238" s="246"/>
      <c r="I238" s="246"/>
      <c r="J238" s="246"/>
      <c r="K238" s="246"/>
      <c r="L238" s="246"/>
      <c r="M238" s="246"/>
      <c r="N238" s="43"/>
      <c r="O238" s="247"/>
      <c r="P238" s="170"/>
      <c r="Q238" s="191"/>
    </row>
    <row r="239" spans="3:17" ht="28.5" customHeight="1" x14ac:dyDescent="0.3">
      <c r="C239" s="43"/>
      <c r="D239" s="246"/>
      <c r="E239" s="43"/>
      <c r="F239" s="43"/>
      <c r="G239" s="246"/>
      <c r="H239" s="246"/>
      <c r="I239" s="246"/>
      <c r="J239" s="246"/>
      <c r="K239" s="246"/>
      <c r="L239" s="246"/>
      <c r="M239" s="246"/>
      <c r="N239" s="43"/>
      <c r="O239" s="247"/>
      <c r="P239" s="170"/>
      <c r="Q239" s="191"/>
    </row>
    <row r="240" spans="3:17" ht="28.5" customHeight="1" x14ac:dyDescent="0.3">
      <c r="C240" s="43"/>
      <c r="D240" s="246"/>
      <c r="E240" s="43"/>
      <c r="F240" s="43"/>
      <c r="G240" s="246"/>
      <c r="H240" s="246"/>
      <c r="I240" s="246"/>
      <c r="J240" s="246"/>
      <c r="K240" s="246"/>
      <c r="L240" s="246"/>
      <c r="M240" s="246"/>
      <c r="N240" s="43"/>
      <c r="O240" s="247"/>
      <c r="P240" s="170"/>
      <c r="Q240" s="191"/>
    </row>
    <row r="241" spans="3:17" ht="28.5" customHeight="1" x14ac:dyDescent="0.3">
      <c r="C241" s="43"/>
      <c r="D241" s="246"/>
      <c r="E241" s="43"/>
      <c r="F241" s="43"/>
      <c r="G241" s="246"/>
      <c r="H241" s="246"/>
      <c r="I241" s="246"/>
      <c r="J241" s="246"/>
      <c r="K241" s="246"/>
      <c r="L241" s="246"/>
      <c r="M241" s="246"/>
      <c r="N241" s="43"/>
      <c r="O241" s="247"/>
      <c r="P241" s="170"/>
      <c r="Q241" s="191"/>
    </row>
    <row r="242" spans="3:17" ht="28.5" customHeight="1" x14ac:dyDescent="0.3">
      <c r="C242" s="43"/>
      <c r="D242" s="246"/>
      <c r="E242" s="43"/>
      <c r="F242" s="43"/>
      <c r="G242" s="246"/>
      <c r="H242" s="246"/>
      <c r="I242" s="246"/>
      <c r="J242" s="246"/>
      <c r="K242" s="246"/>
      <c r="L242" s="246"/>
      <c r="M242" s="246"/>
      <c r="N242" s="43"/>
      <c r="O242" s="247"/>
      <c r="P242" s="170"/>
      <c r="Q242" s="191"/>
    </row>
    <row r="243" spans="3:17" ht="28.5" customHeight="1" x14ac:dyDescent="0.3">
      <c r="C243" s="43"/>
      <c r="D243" s="246"/>
      <c r="E243" s="43"/>
      <c r="F243" s="43"/>
      <c r="G243" s="246"/>
      <c r="H243" s="246"/>
      <c r="I243" s="246"/>
      <c r="J243" s="246"/>
      <c r="K243" s="246"/>
      <c r="L243" s="246"/>
      <c r="M243" s="246"/>
      <c r="N243" s="43"/>
      <c r="O243" s="247"/>
      <c r="P243" s="170"/>
      <c r="Q243" s="191"/>
    </row>
    <row r="244" spans="3:17" ht="28.5" customHeight="1" x14ac:dyDescent="0.3">
      <c r="C244" s="43"/>
      <c r="D244" s="246"/>
      <c r="E244" s="43"/>
      <c r="F244" s="43"/>
      <c r="G244" s="246"/>
      <c r="H244" s="246"/>
      <c r="I244" s="246"/>
      <c r="J244" s="246"/>
      <c r="K244" s="246"/>
      <c r="L244" s="246"/>
      <c r="M244" s="246"/>
      <c r="N244" s="43"/>
      <c r="O244" s="247"/>
      <c r="P244" s="170"/>
      <c r="Q244" s="191"/>
    </row>
    <row r="245" spans="3:17" ht="28.5" customHeight="1" x14ac:dyDescent="0.3">
      <c r="C245" s="43"/>
      <c r="D245" s="246"/>
      <c r="E245" s="43"/>
      <c r="F245" s="43"/>
      <c r="G245" s="246"/>
      <c r="H245" s="246"/>
      <c r="I245" s="246"/>
      <c r="J245" s="246"/>
      <c r="K245" s="246"/>
      <c r="L245" s="246"/>
      <c r="M245" s="246"/>
      <c r="N245" s="43"/>
      <c r="O245" s="247"/>
      <c r="P245" s="170"/>
      <c r="Q245" s="191"/>
    </row>
    <row r="246" spans="3:17" ht="28.5" customHeight="1" x14ac:dyDescent="0.3">
      <c r="C246" s="43"/>
      <c r="D246" s="246"/>
      <c r="E246" s="43"/>
      <c r="F246" s="43"/>
      <c r="G246" s="246"/>
      <c r="H246" s="246"/>
      <c r="I246" s="246"/>
      <c r="J246" s="246"/>
      <c r="K246" s="246"/>
      <c r="L246" s="246"/>
      <c r="M246" s="246"/>
      <c r="N246" s="43"/>
      <c r="O246" s="247"/>
      <c r="P246" s="170"/>
      <c r="Q246" s="191"/>
    </row>
    <row r="247" spans="3:17" ht="28.5" customHeight="1" x14ac:dyDescent="0.3">
      <c r="C247" s="43"/>
      <c r="D247" s="246"/>
      <c r="E247" s="43"/>
      <c r="F247" s="43"/>
      <c r="G247" s="246"/>
      <c r="H247" s="246"/>
      <c r="I247" s="246"/>
      <c r="J247" s="246"/>
      <c r="K247" s="246"/>
      <c r="L247" s="246"/>
      <c r="M247" s="246"/>
      <c r="N247" s="43"/>
      <c r="O247" s="247"/>
      <c r="P247" s="170"/>
      <c r="Q247" s="191"/>
    </row>
    <row r="248" spans="3:17" ht="28.5" customHeight="1" x14ac:dyDescent="0.3">
      <c r="C248" s="43"/>
      <c r="D248" s="246"/>
      <c r="E248" s="43"/>
      <c r="F248" s="43"/>
      <c r="G248" s="246"/>
      <c r="H248" s="246"/>
      <c r="I248" s="246"/>
      <c r="J248" s="246"/>
      <c r="K248" s="246"/>
      <c r="L248" s="246"/>
      <c r="M248" s="246"/>
      <c r="N248" s="43"/>
      <c r="O248" s="247"/>
      <c r="P248" s="170"/>
      <c r="Q248" s="191"/>
    </row>
    <row r="249" spans="3:17" ht="28.5" customHeight="1" x14ac:dyDescent="0.3">
      <c r="C249" s="43"/>
      <c r="D249" s="246"/>
      <c r="E249" s="43"/>
      <c r="F249" s="43"/>
      <c r="G249" s="246"/>
      <c r="H249" s="246"/>
      <c r="I249" s="246"/>
      <c r="J249" s="246"/>
      <c r="K249" s="246"/>
      <c r="L249" s="246"/>
      <c r="M249" s="246"/>
      <c r="N249" s="43"/>
      <c r="O249" s="247"/>
      <c r="P249" s="170"/>
      <c r="Q249" s="191"/>
    </row>
    <row r="250" spans="3:17" ht="28.5" customHeight="1" x14ac:dyDescent="0.3">
      <c r="C250" s="43"/>
      <c r="D250" s="246"/>
      <c r="E250" s="43"/>
      <c r="F250" s="43"/>
      <c r="G250" s="246"/>
      <c r="H250" s="246"/>
      <c r="I250" s="246"/>
      <c r="J250" s="246"/>
      <c r="K250" s="246"/>
      <c r="L250" s="246"/>
      <c r="M250" s="246"/>
      <c r="N250" s="43"/>
      <c r="O250" s="247"/>
      <c r="P250" s="170"/>
      <c r="Q250" s="191"/>
    </row>
    <row r="251" spans="3:17" ht="28.5" customHeight="1" x14ac:dyDescent="0.3">
      <c r="C251" s="43"/>
      <c r="D251" s="246"/>
      <c r="E251" s="43"/>
      <c r="F251" s="43"/>
      <c r="G251" s="246"/>
      <c r="H251" s="246"/>
      <c r="I251" s="246"/>
      <c r="J251" s="246"/>
      <c r="K251" s="246"/>
      <c r="L251" s="246"/>
      <c r="M251" s="246"/>
      <c r="N251" s="43"/>
      <c r="O251" s="247"/>
      <c r="P251" s="170"/>
      <c r="Q251" s="191"/>
    </row>
    <row r="252" spans="3:17" ht="28.5" customHeight="1" x14ac:dyDescent="0.3">
      <c r="C252" s="43"/>
      <c r="D252" s="246"/>
      <c r="E252" s="43"/>
      <c r="F252" s="43"/>
      <c r="G252" s="246"/>
      <c r="H252" s="246"/>
      <c r="I252" s="246"/>
      <c r="J252" s="246"/>
      <c r="K252" s="246"/>
      <c r="L252" s="246"/>
      <c r="M252" s="246"/>
      <c r="N252" s="43"/>
      <c r="O252" s="247"/>
      <c r="P252" s="170"/>
      <c r="Q252" s="191"/>
    </row>
    <row r="253" spans="3:17" ht="28.5" customHeight="1" x14ac:dyDescent="0.3">
      <c r="C253" s="43"/>
      <c r="D253" s="246"/>
      <c r="E253" s="43"/>
      <c r="F253" s="43"/>
      <c r="G253" s="246"/>
      <c r="H253" s="246"/>
      <c r="I253" s="246"/>
      <c r="J253" s="246"/>
      <c r="K253" s="246"/>
      <c r="L253" s="246"/>
      <c r="M253" s="246"/>
      <c r="N253" s="43"/>
      <c r="O253" s="247"/>
      <c r="P253" s="170"/>
      <c r="Q253" s="191"/>
    </row>
    <row r="254" spans="3:17" ht="28.5" customHeight="1" x14ac:dyDescent="0.3">
      <c r="C254" s="43"/>
      <c r="D254" s="246"/>
      <c r="E254" s="43"/>
      <c r="F254" s="43"/>
      <c r="G254" s="246"/>
      <c r="H254" s="246"/>
      <c r="I254" s="246"/>
      <c r="J254" s="246"/>
      <c r="K254" s="246"/>
      <c r="L254" s="246"/>
      <c r="M254" s="246"/>
      <c r="N254" s="43"/>
      <c r="O254" s="247"/>
      <c r="P254" s="170"/>
      <c r="Q254" s="191"/>
    </row>
    <row r="255" spans="3:17" ht="28.5" customHeight="1" x14ac:dyDescent="0.3">
      <c r="C255" s="43"/>
      <c r="D255" s="246"/>
      <c r="E255" s="43"/>
      <c r="F255" s="43"/>
      <c r="G255" s="246"/>
      <c r="H255" s="246"/>
      <c r="I255" s="246"/>
      <c r="J255" s="246"/>
      <c r="K255" s="246"/>
      <c r="L255" s="246"/>
      <c r="M255" s="246"/>
      <c r="N255" s="43"/>
      <c r="O255" s="247"/>
      <c r="P255" s="170"/>
      <c r="Q255" s="191"/>
    </row>
    <row r="256" spans="3:17" ht="28.5" customHeight="1" x14ac:dyDescent="0.3">
      <c r="C256" s="43"/>
      <c r="D256" s="246"/>
      <c r="E256" s="43"/>
      <c r="F256" s="43"/>
      <c r="G256" s="246"/>
      <c r="H256" s="246"/>
      <c r="I256" s="246"/>
      <c r="J256" s="246"/>
      <c r="K256" s="246"/>
      <c r="L256" s="246"/>
      <c r="M256" s="246"/>
      <c r="N256" s="43"/>
      <c r="O256" s="247"/>
      <c r="P256" s="170"/>
      <c r="Q256" s="191"/>
    </row>
    <row r="257" spans="3:17" ht="28.5" customHeight="1" x14ac:dyDescent="0.3">
      <c r="C257" s="43"/>
      <c r="D257" s="246"/>
      <c r="E257" s="43"/>
      <c r="F257" s="43"/>
      <c r="G257" s="246"/>
      <c r="H257" s="246"/>
      <c r="I257" s="246"/>
      <c r="J257" s="246"/>
      <c r="K257" s="246"/>
      <c r="L257" s="246"/>
      <c r="M257" s="246"/>
      <c r="N257" s="43"/>
      <c r="O257" s="247"/>
      <c r="P257" s="170"/>
      <c r="Q257" s="191"/>
    </row>
    <row r="258" spans="3:17" ht="28.5" customHeight="1" x14ac:dyDescent="0.3">
      <c r="C258" s="43"/>
      <c r="D258" s="246"/>
      <c r="E258" s="43"/>
      <c r="F258" s="43"/>
      <c r="G258" s="246"/>
      <c r="H258" s="246"/>
      <c r="I258" s="246"/>
      <c r="J258" s="246"/>
      <c r="K258" s="246"/>
      <c r="L258" s="246"/>
      <c r="M258" s="246"/>
      <c r="N258" s="43"/>
      <c r="O258" s="247"/>
      <c r="P258" s="170"/>
      <c r="Q258" s="191"/>
    </row>
    <row r="259" spans="3:17" ht="28.5" customHeight="1" x14ac:dyDescent="0.3">
      <c r="C259" s="43"/>
      <c r="D259" s="246"/>
      <c r="E259" s="43"/>
      <c r="F259" s="43"/>
      <c r="G259" s="246"/>
      <c r="H259" s="246"/>
      <c r="I259" s="246"/>
      <c r="J259" s="246"/>
      <c r="K259" s="246"/>
      <c r="L259" s="246"/>
      <c r="M259" s="246"/>
      <c r="N259" s="43"/>
      <c r="O259" s="247"/>
      <c r="P259" s="170"/>
      <c r="Q259" s="191"/>
    </row>
    <row r="260" spans="3:17" ht="28.5" customHeight="1" x14ac:dyDescent="0.3">
      <c r="C260" s="43"/>
      <c r="D260" s="246"/>
      <c r="E260" s="43"/>
      <c r="F260" s="43"/>
      <c r="G260" s="246"/>
      <c r="H260" s="246"/>
      <c r="I260" s="246"/>
      <c r="J260" s="246"/>
      <c r="K260" s="246"/>
      <c r="L260" s="246"/>
      <c r="M260" s="246"/>
      <c r="N260" s="43"/>
      <c r="O260" s="247"/>
      <c r="P260" s="170"/>
      <c r="Q260" s="191"/>
    </row>
    <row r="261" spans="3:17" ht="28.5" customHeight="1" x14ac:dyDescent="0.3">
      <c r="C261" s="43"/>
      <c r="D261" s="246"/>
      <c r="E261" s="43"/>
      <c r="F261" s="43"/>
      <c r="G261" s="246"/>
      <c r="H261" s="246"/>
      <c r="I261" s="246"/>
      <c r="J261" s="246"/>
      <c r="K261" s="246"/>
      <c r="L261" s="246"/>
      <c r="M261" s="246"/>
      <c r="N261" s="43"/>
      <c r="O261" s="247"/>
      <c r="P261" s="170"/>
      <c r="Q261" s="191"/>
    </row>
    <row r="262" spans="3:17" ht="28.5" customHeight="1" x14ac:dyDescent="0.3">
      <c r="C262" s="43"/>
      <c r="D262" s="246"/>
      <c r="E262" s="43"/>
      <c r="F262" s="43"/>
      <c r="G262" s="246"/>
      <c r="H262" s="246"/>
      <c r="I262" s="246"/>
      <c r="J262" s="246"/>
      <c r="K262" s="246"/>
      <c r="L262" s="246"/>
      <c r="M262" s="246"/>
      <c r="N262" s="43"/>
      <c r="O262" s="247"/>
      <c r="P262" s="170"/>
      <c r="Q262" s="191"/>
    </row>
    <row r="263" spans="3:17" ht="28.5" customHeight="1" x14ac:dyDescent="0.3">
      <c r="C263" s="43"/>
      <c r="D263" s="246"/>
      <c r="E263" s="43"/>
      <c r="F263" s="43"/>
      <c r="G263" s="246"/>
      <c r="H263" s="246"/>
      <c r="I263" s="246"/>
      <c r="J263" s="246"/>
      <c r="K263" s="246"/>
      <c r="L263" s="246"/>
      <c r="M263" s="246"/>
      <c r="N263" s="43"/>
      <c r="O263" s="247"/>
      <c r="P263" s="170"/>
      <c r="Q263" s="191"/>
    </row>
    <row r="264" spans="3:17" ht="28.5" customHeight="1" x14ac:dyDescent="0.3">
      <c r="C264" s="43"/>
      <c r="D264" s="246"/>
      <c r="E264" s="43"/>
      <c r="F264" s="43"/>
      <c r="G264" s="246"/>
      <c r="H264" s="246"/>
      <c r="I264" s="246"/>
      <c r="J264" s="246"/>
      <c r="K264" s="246"/>
      <c r="L264" s="246"/>
      <c r="M264" s="246"/>
      <c r="N264" s="43"/>
      <c r="O264" s="247"/>
      <c r="P264" s="170"/>
      <c r="Q264" s="191"/>
    </row>
    <row r="265" spans="3:17" ht="28.5" customHeight="1" x14ac:dyDescent="0.3">
      <c r="C265" s="43"/>
      <c r="D265" s="246"/>
      <c r="E265" s="43"/>
      <c r="F265" s="43"/>
      <c r="G265" s="246"/>
      <c r="H265" s="246"/>
      <c r="I265" s="246"/>
      <c r="J265" s="246"/>
      <c r="K265" s="246"/>
      <c r="L265" s="246"/>
      <c r="M265" s="246"/>
      <c r="N265" s="43"/>
      <c r="O265" s="247"/>
      <c r="P265" s="170"/>
      <c r="Q265" s="191"/>
    </row>
    <row r="266" spans="3:17" ht="28.5" customHeight="1" x14ac:dyDescent="0.3">
      <c r="C266" s="43"/>
      <c r="D266" s="246"/>
      <c r="E266" s="43"/>
      <c r="F266" s="43"/>
      <c r="G266" s="246"/>
      <c r="H266" s="246"/>
      <c r="I266" s="246"/>
      <c r="J266" s="246"/>
      <c r="K266" s="246"/>
      <c r="L266" s="246"/>
      <c r="M266" s="246"/>
      <c r="N266" s="43"/>
      <c r="O266" s="247"/>
      <c r="P266" s="170"/>
      <c r="Q266" s="191"/>
    </row>
    <row r="267" spans="3:17" ht="28.5" customHeight="1" x14ac:dyDescent="0.3">
      <c r="C267" s="43"/>
      <c r="D267" s="246"/>
      <c r="E267" s="43"/>
      <c r="F267" s="43"/>
      <c r="G267" s="246"/>
      <c r="H267" s="246"/>
      <c r="I267" s="246"/>
      <c r="J267" s="246"/>
      <c r="K267" s="246"/>
      <c r="L267" s="246"/>
      <c r="M267" s="246"/>
      <c r="N267" s="43"/>
      <c r="O267" s="247"/>
      <c r="P267" s="170"/>
      <c r="Q267" s="191"/>
    </row>
    <row r="268" spans="3:17" ht="28.5" customHeight="1" x14ac:dyDescent="0.3">
      <c r="C268" s="43"/>
      <c r="D268" s="246"/>
      <c r="E268" s="43"/>
      <c r="F268" s="43"/>
      <c r="G268" s="246"/>
      <c r="H268" s="246"/>
      <c r="I268" s="246"/>
      <c r="J268" s="246"/>
      <c r="K268" s="246"/>
      <c r="L268" s="246"/>
      <c r="M268" s="246"/>
      <c r="N268" s="43"/>
      <c r="O268" s="247"/>
      <c r="P268" s="170"/>
      <c r="Q268" s="191"/>
    </row>
    <row r="269" spans="3:17" ht="28.5" customHeight="1" x14ac:dyDescent="0.3">
      <c r="C269" s="43"/>
      <c r="D269" s="246"/>
      <c r="E269" s="43"/>
      <c r="F269" s="43"/>
      <c r="G269" s="246"/>
      <c r="H269" s="246"/>
      <c r="I269" s="246"/>
      <c r="J269" s="246"/>
      <c r="K269" s="246"/>
      <c r="L269" s="246"/>
      <c r="M269" s="246"/>
      <c r="N269" s="43"/>
      <c r="O269" s="247"/>
      <c r="P269" s="170"/>
      <c r="Q269" s="191"/>
    </row>
    <row r="270" spans="3:17" ht="28.5" customHeight="1" x14ac:dyDescent="0.3">
      <c r="C270" s="43"/>
      <c r="D270" s="246"/>
      <c r="E270" s="43"/>
      <c r="F270" s="43"/>
      <c r="G270" s="246"/>
      <c r="H270" s="246"/>
      <c r="I270" s="246"/>
      <c r="J270" s="246"/>
      <c r="K270" s="246"/>
      <c r="L270" s="246"/>
      <c r="M270" s="246"/>
      <c r="N270" s="43"/>
      <c r="O270" s="247"/>
      <c r="P270" s="170"/>
      <c r="Q270" s="191"/>
    </row>
    <row r="271" spans="3:17" ht="28.5" customHeight="1" x14ac:dyDescent="0.3">
      <c r="C271" s="43"/>
      <c r="D271" s="246"/>
      <c r="E271" s="43"/>
      <c r="F271" s="43"/>
      <c r="G271" s="246"/>
      <c r="H271" s="246"/>
      <c r="I271" s="246"/>
      <c r="J271" s="246"/>
      <c r="K271" s="246"/>
      <c r="L271" s="246"/>
      <c r="M271" s="246"/>
      <c r="N271" s="43"/>
      <c r="O271" s="247"/>
      <c r="P271" s="170"/>
      <c r="Q271" s="191"/>
    </row>
    <row r="272" spans="3:17" ht="28.5" customHeight="1" x14ac:dyDescent="0.3">
      <c r="C272" s="43"/>
      <c r="D272" s="246"/>
      <c r="E272" s="43"/>
      <c r="F272" s="43"/>
      <c r="G272" s="246"/>
      <c r="H272" s="246"/>
      <c r="I272" s="246"/>
      <c r="J272" s="246"/>
      <c r="K272" s="246"/>
      <c r="L272" s="246"/>
      <c r="M272" s="246"/>
      <c r="N272" s="43"/>
      <c r="O272" s="247"/>
      <c r="P272" s="170"/>
      <c r="Q272" s="191"/>
    </row>
    <row r="273" spans="3:17" ht="28.5" customHeight="1" x14ac:dyDescent="0.3">
      <c r="C273" s="43"/>
      <c r="D273" s="246"/>
      <c r="E273" s="43"/>
      <c r="F273" s="43"/>
      <c r="G273" s="246"/>
      <c r="H273" s="246"/>
      <c r="I273" s="246"/>
      <c r="J273" s="246"/>
      <c r="K273" s="246"/>
      <c r="L273" s="246"/>
      <c r="M273" s="246"/>
      <c r="N273" s="43"/>
      <c r="O273" s="247"/>
      <c r="P273" s="170"/>
      <c r="Q273" s="191"/>
    </row>
    <row r="274" spans="3:17" ht="28.5" customHeight="1" x14ac:dyDescent="0.3">
      <c r="C274" s="43"/>
      <c r="D274" s="246"/>
      <c r="E274" s="43"/>
      <c r="F274" s="43"/>
      <c r="G274" s="246"/>
      <c r="H274" s="246"/>
      <c r="I274" s="246"/>
      <c r="J274" s="246"/>
      <c r="K274" s="246"/>
      <c r="L274" s="246"/>
      <c r="M274" s="246"/>
      <c r="N274" s="43"/>
      <c r="O274" s="247"/>
      <c r="P274" s="170"/>
      <c r="Q274" s="191"/>
    </row>
    <row r="275" spans="3:17" ht="28.5" customHeight="1" x14ac:dyDescent="0.3">
      <c r="C275" s="43"/>
      <c r="D275" s="246"/>
      <c r="E275" s="43"/>
      <c r="F275" s="43"/>
      <c r="G275" s="246"/>
      <c r="H275" s="246"/>
      <c r="I275" s="246"/>
      <c r="J275" s="246"/>
      <c r="K275" s="246"/>
      <c r="L275" s="246"/>
      <c r="M275" s="246"/>
      <c r="N275" s="43"/>
      <c r="O275" s="247"/>
      <c r="P275" s="170"/>
      <c r="Q275" s="191"/>
    </row>
    <row r="276" spans="3:17" ht="28.5" customHeight="1" x14ac:dyDescent="0.3">
      <c r="C276" s="43"/>
      <c r="D276" s="246"/>
      <c r="E276" s="43"/>
      <c r="F276" s="43"/>
      <c r="G276" s="246"/>
      <c r="H276" s="246"/>
      <c r="I276" s="246"/>
      <c r="J276" s="246"/>
      <c r="K276" s="246"/>
      <c r="L276" s="246"/>
      <c r="M276" s="246"/>
      <c r="N276" s="43"/>
      <c r="O276" s="247"/>
      <c r="P276" s="170"/>
      <c r="Q276" s="191"/>
    </row>
    <row r="277" spans="3:17" ht="28.5" customHeight="1" x14ac:dyDescent="0.3">
      <c r="C277" s="43"/>
      <c r="D277" s="246"/>
      <c r="E277" s="43"/>
      <c r="F277" s="43"/>
      <c r="G277" s="246"/>
      <c r="H277" s="246"/>
      <c r="I277" s="246"/>
      <c r="J277" s="246"/>
      <c r="K277" s="246"/>
      <c r="L277" s="246"/>
      <c r="M277" s="246"/>
      <c r="N277" s="43"/>
      <c r="O277" s="247"/>
      <c r="P277" s="170"/>
      <c r="Q277" s="191"/>
    </row>
    <row r="278" spans="3:17" ht="28.5" customHeight="1" x14ac:dyDescent="0.3">
      <c r="C278" s="43"/>
      <c r="D278" s="246"/>
      <c r="E278" s="43"/>
      <c r="F278" s="43"/>
      <c r="G278" s="246"/>
      <c r="H278" s="246"/>
      <c r="I278" s="246"/>
      <c r="J278" s="246"/>
      <c r="K278" s="246"/>
      <c r="L278" s="246"/>
      <c r="M278" s="246"/>
      <c r="N278" s="43"/>
      <c r="O278" s="247"/>
      <c r="P278" s="170"/>
      <c r="Q278" s="191"/>
    </row>
    <row r="279" spans="3:17" ht="28.5" customHeight="1" x14ac:dyDescent="0.3">
      <c r="C279" s="43"/>
      <c r="D279" s="246"/>
      <c r="E279" s="43"/>
      <c r="F279" s="43"/>
      <c r="G279" s="246"/>
      <c r="H279" s="246"/>
      <c r="I279" s="246"/>
      <c r="J279" s="246"/>
      <c r="K279" s="246"/>
      <c r="L279" s="246"/>
      <c r="M279" s="246"/>
      <c r="N279" s="43"/>
      <c r="O279" s="247"/>
      <c r="P279" s="170"/>
      <c r="Q279" s="191"/>
    </row>
    <row r="280" spans="3:17" ht="28.5" customHeight="1" x14ac:dyDescent="0.3">
      <c r="C280" s="43"/>
      <c r="D280" s="246"/>
      <c r="E280" s="43"/>
      <c r="F280" s="43"/>
      <c r="G280" s="246"/>
      <c r="H280" s="246"/>
      <c r="I280" s="246"/>
      <c r="J280" s="246"/>
      <c r="K280" s="246"/>
      <c r="L280" s="246"/>
      <c r="M280" s="246"/>
      <c r="N280" s="43"/>
      <c r="O280" s="247"/>
      <c r="P280" s="170"/>
      <c r="Q280" s="191"/>
    </row>
    <row r="281" spans="3:17" ht="28.5" customHeight="1" x14ac:dyDescent="0.3">
      <c r="C281" s="43"/>
      <c r="D281" s="246"/>
      <c r="E281" s="43"/>
      <c r="F281" s="43"/>
      <c r="G281" s="246"/>
      <c r="H281" s="246"/>
      <c r="I281" s="246"/>
      <c r="J281" s="246"/>
      <c r="K281" s="246"/>
      <c r="L281" s="246"/>
      <c r="M281" s="246"/>
      <c r="N281" s="43"/>
      <c r="O281" s="247"/>
      <c r="P281" s="170"/>
      <c r="Q281" s="191"/>
    </row>
    <row r="282" spans="3:17" ht="28.5" customHeight="1" x14ac:dyDescent="0.3">
      <c r="C282" s="43"/>
      <c r="D282" s="246"/>
      <c r="E282" s="43"/>
      <c r="F282" s="43"/>
      <c r="G282" s="246"/>
      <c r="H282" s="246"/>
      <c r="I282" s="246"/>
      <c r="J282" s="246"/>
      <c r="K282" s="246"/>
      <c r="L282" s="246"/>
      <c r="M282" s="246"/>
      <c r="N282" s="43"/>
      <c r="O282" s="247"/>
      <c r="P282" s="170"/>
      <c r="Q282" s="191"/>
    </row>
    <row r="283" spans="3:17" ht="28.5" customHeight="1" x14ac:dyDescent="0.3">
      <c r="C283" s="43"/>
      <c r="D283" s="246"/>
      <c r="E283" s="43"/>
      <c r="F283" s="43"/>
      <c r="G283" s="246"/>
      <c r="H283" s="246"/>
      <c r="I283" s="246"/>
      <c r="J283" s="246"/>
      <c r="K283" s="246"/>
      <c r="L283" s="246"/>
      <c r="M283" s="246"/>
      <c r="N283" s="43"/>
      <c r="O283" s="247"/>
      <c r="P283" s="170"/>
      <c r="Q283" s="191"/>
    </row>
    <row r="284" spans="3:17" ht="28.5" customHeight="1" x14ac:dyDescent="0.3">
      <c r="C284" s="43"/>
      <c r="D284" s="246"/>
      <c r="E284" s="43"/>
      <c r="F284" s="43"/>
      <c r="G284" s="246"/>
      <c r="H284" s="246"/>
      <c r="I284" s="246"/>
      <c r="J284" s="246"/>
      <c r="K284" s="246"/>
      <c r="L284" s="246"/>
      <c r="M284" s="246"/>
      <c r="N284" s="43"/>
      <c r="O284" s="247"/>
      <c r="P284" s="170"/>
      <c r="Q284" s="191"/>
    </row>
    <row r="285" spans="3:17" ht="28.5" customHeight="1" x14ac:dyDescent="0.3">
      <c r="C285" s="43"/>
      <c r="D285" s="246"/>
      <c r="E285" s="43"/>
      <c r="F285" s="43"/>
      <c r="G285" s="246"/>
      <c r="H285" s="246"/>
      <c r="I285" s="246"/>
      <c r="J285" s="246"/>
      <c r="K285" s="246"/>
      <c r="L285" s="246"/>
      <c r="M285" s="246"/>
      <c r="N285" s="43"/>
      <c r="O285" s="247"/>
      <c r="P285" s="170"/>
      <c r="Q285" s="191"/>
    </row>
    <row r="286" spans="3:17" ht="28.5" customHeight="1" x14ac:dyDescent="0.3">
      <c r="C286" s="43"/>
      <c r="D286" s="246"/>
      <c r="E286" s="43"/>
      <c r="F286" s="43"/>
      <c r="G286" s="246"/>
      <c r="H286" s="246"/>
      <c r="I286" s="246"/>
      <c r="J286" s="246"/>
      <c r="K286" s="246"/>
      <c r="L286" s="246"/>
      <c r="M286" s="246"/>
      <c r="N286" s="43"/>
      <c r="O286" s="247"/>
      <c r="P286" s="170"/>
      <c r="Q286" s="191"/>
    </row>
    <row r="287" spans="3:17" ht="28.5" customHeight="1" x14ac:dyDescent="0.3">
      <c r="C287" s="43"/>
      <c r="D287" s="246"/>
      <c r="E287" s="43"/>
      <c r="F287" s="43"/>
      <c r="G287" s="246"/>
      <c r="H287" s="246"/>
      <c r="I287" s="246"/>
      <c r="J287" s="246"/>
      <c r="K287" s="246"/>
      <c r="L287" s="246"/>
      <c r="M287" s="246"/>
      <c r="N287" s="43"/>
      <c r="O287" s="247"/>
      <c r="P287" s="170"/>
      <c r="Q287" s="191"/>
    </row>
    <row r="288" spans="3:17" ht="28.5" customHeight="1" x14ac:dyDescent="0.3">
      <c r="C288" s="43"/>
      <c r="D288" s="246"/>
      <c r="E288" s="43"/>
      <c r="F288" s="43"/>
      <c r="G288" s="246"/>
      <c r="H288" s="246"/>
      <c r="I288" s="246"/>
      <c r="J288" s="246"/>
      <c r="K288" s="246"/>
      <c r="L288" s="246"/>
      <c r="M288" s="246"/>
      <c r="N288" s="43"/>
      <c r="O288" s="247"/>
      <c r="P288" s="170"/>
      <c r="Q288" s="191"/>
    </row>
    <row r="289" spans="3:17" ht="28.5" customHeight="1" x14ac:dyDescent="0.3">
      <c r="C289" s="43"/>
      <c r="D289" s="246"/>
      <c r="E289" s="43"/>
      <c r="F289" s="43"/>
      <c r="G289" s="246"/>
      <c r="H289" s="246"/>
      <c r="I289" s="246"/>
      <c r="J289" s="246"/>
      <c r="K289" s="246"/>
      <c r="L289" s="246"/>
      <c r="M289" s="246"/>
      <c r="N289" s="43"/>
      <c r="O289" s="247"/>
      <c r="P289" s="170"/>
      <c r="Q289" s="191"/>
    </row>
    <row r="290" spans="3:17" ht="28.5" customHeight="1" x14ac:dyDescent="0.3">
      <c r="C290" s="43"/>
      <c r="D290" s="246"/>
      <c r="E290" s="43"/>
      <c r="F290" s="43"/>
      <c r="G290" s="246"/>
      <c r="H290" s="246"/>
      <c r="I290" s="246"/>
      <c r="J290" s="246"/>
      <c r="K290" s="246"/>
      <c r="L290" s="246"/>
      <c r="M290" s="246"/>
      <c r="N290" s="43"/>
      <c r="O290" s="247"/>
      <c r="P290" s="170"/>
      <c r="Q290" s="191"/>
    </row>
    <row r="291" spans="3:17" ht="28.5" customHeight="1" x14ac:dyDescent="0.3">
      <c r="C291" s="43"/>
      <c r="D291" s="246"/>
      <c r="E291" s="43"/>
      <c r="F291" s="43"/>
      <c r="G291" s="246"/>
      <c r="H291" s="246"/>
      <c r="I291" s="246"/>
      <c r="J291" s="246"/>
      <c r="K291" s="246"/>
      <c r="L291" s="246"/>
      <c r="M291" s="246"/>
      <c r="N291" s="43"/>
      <c r="O291" s="247"/>
      <c r="P291" s="170"/>
      <c r="Q291" s="191"/>
    </row>
    <row r="292" spans="3:17" ht="28.5" customHeight="1" x14ac:dyDescent="0.3">
      <c r="C292" s="43"/>
      <c r="D292" s="246"/>
      <c r="E292" s="43"/>
      <c r="F292" s="43"/>
      <c r="G292" s="246"/>
      <c r="H292" s="246"/>
      <c r="I292" s="246"/>
      <c r="J292" s="246"/>
      <c r="K292" s="246"/>
      <c r="L292" s="246"/>
      <c r="M292" s="246"/>
      <c r="N292" s="43"/>
      <c r="O292" s="247"/>
      <c r="P292" s="170"/>
      <c r="Q292" s="191"/>
    </row>
    <row r="293" spans="3:17" ht="28.5" customHeight="1" x14ac:dyDescent="0.3">
      <c r="C293" s="43"/>
      <c r="D293" s="246"/>
      <c r="E293" s="43"/>
      <c r="F293" s="43"/>
      <c r="G293" s="246"/>
      <c r="H293" s="246"/>
      <c r="I293" s="246"/>
      <c r="J293" s="246"/>
      <c r="K293" s="246"/>
      <c r="L293" s="246"/>
      <c r="M293" s="246"/>
      <c r="N293" s="43"/>
      <c r="O293" s="247"/>
      <c r="P293" s="170"/>
      <c r="Q293" s="191"/>
    </row>
    <row r="294" spans="3:17" ht="28.5" customHeight="1" x14ac:dyDescent="0.3">
      <c r="C294" s="43"/>
      <c r="D294" s="246"/>
      <c r="E294" s="43"/>
      <c r="F294" s="43"/>
      <c r="G294" s="246"/>
      <c r="H294" s="246"/>
      <c r="I294" s="246"/>
      <c r="J294" s="246"/>
      <c r="K294" s="246"/>
      <c r="L294" s="246"/>
      <c r="M294" s="246"/>
      <c r="N294" s="43"/>
      <c r="O294" s="247"/>
      <c r="P294" s="170"/>
      <c r="Q294" s="191"/>
    </row>
    <row r="295" spans="3:17" ht="28.5" customHeight="1" x14ac:dyDescent="0.3">
      <c r="C295" s="43"/>
      <c r="D295" s="246"/>
      <c r="E295" s="43"/>
      <c r="F295" s="43"/>
      <c r="G295" s="246"/>
      <c r="H295" s="246"/>
      <c r="I295" s="246"/>
      <c r="J295" s="246"/>
      <c r="K295" s="246"/>
      <c r="L295" s="246"/>
      <c r="M295" s="246"/>
      <c r="N295" s="43"/>
      <c r="O295" s="247"/>
      <c r="P295" s="170"/>
      <c r="Q295" s="191"/>
    </row>
    <row r="296" spans="3:17" ht="28.5" customHeight="1" x14ac:dyDescent="0.3">
      <c r="C296" s="43"/>
      <c r="D296" s="246"/>
      <c r="E296" s="43"/>
      <c r="F296" s="43"/>
      <c r="G296" s="246"/>
      <c r="H296" s="246"/>
      <c r="I296" s="246"/>
      <c r="J296" s="246"/>
      <c r="K296" s="246"/>
      <c r="L296" s="246"/>
      <c r="M296" s="246"/>
      <c r="N296" s="43"/>
      <c r="O296" s="247"/>
      <c r="P296" s="170"/>
      <c r="Q296" s="191"/>
    </row>
    <row r="297" spans="3:17" ht="28.5" customHeight="1" x14ac:dyDescent="0.3">
      <c r="C297" s="43"/>
      <c r="D297" s="246"/>
      <c r="E297" s="43"/>
      <c r="F297" s="43"/>
      <c r="G297" s="246"/>
      <c r="H297" s="246"/>
      <c r="I297" s="246"/>
      <c r="J297" s="246"/>
      <c r="K297" s="246"/>
      <c r="L297" s="246"/>
      <c r="M297" s="246"/>
      <c r="N297" s="43"/>
      <c r="O297" s="247"/>
      <c r="P297" s="170"/>
      <c r="Q297" s="191"/>
    </row>
    <row r="298" spans="3:17" ht="28.5" customHeight="1" x14ac:dyDescent="0.3">
      <c r="C298" s="43"/>
      <c r="D298" s="246"/>
      <c r="E298" s="43"/>
      <c r="F298" s="43"/>
      <c r="G298" s="246"/>
      <c r="H298" s="246"/>
      <c r="I298" s="246"/>
      <c r="J298" s="246"/>
      <c r="K298" s="246"/>
      <c r="L298" s="246"/>
      <c r="M298" s="246"/>
      <c r="N298" s="43"/>
      <c r="O298" s="247"/>
      <c r="P298" s="170"/>
      <c r="Q298" s="191"/>
    </row>
    <row r="299" spans="3:17" ht="28.5" customHeight="1" x14ac:dyDescent="0.3">
      <c r="C299" s="43"/>
      <c r="D299" s="246"/>
      <c r="E299" s="43"/>
      <c r="F299" s="43"/>
      <c r="G299" s="246"/>
      <c r="H299" s="246"/>
      <c r="I299" s="246"/>
      <c r="J299" s="246"/>
      <c r="K299" s="246"/>
      <c r="L299" s="246"/>
      <c r="M299" s="246"/>
      <c r="N299" s="43"/>
      <c r="O299" s="247"/>
      <c r="P299" s="170"/>
      <c r="Q299" s="191"/>
    </row>
    <row r="300" spans="3:17" ht="28.5" customHeight="1" x14ac:dyDescent="0.3">
      <c r="C300" s="43"/>
      <c r="D300" s="246"/>
      <c r="E300" s="43"/>
      <c r="F300" s="43"/>
      <c r="G300" s="246"/>
      <c r="H300" s="246"/>
      <c r="I300" s="246"/>
      <c r="J300" s="246"/>
      <c r="K300" s="246"/>
      <c r="L300" s="246"/>
      <c r="M300" s="246"/>
      <c r="N300" s="43"/>
      <c r="O300" s="247"/>
      <c r="P300" s="170"/>
      <c r="Q300" s="191"/>
    </row>
    <row r="301" spans="3:17" ht="28.5" customHeight="1" x14ac:dyDescent="0.3">
      <c r="C301" s="43"/>
      <c r="D301" s="246"/>
      <c r="E301" s="43"/>
      <c r="F301" s="43"/>
      <c r="G301" s="246"/>
      <c r="H301" s="246"/>
      <c r="I301" s="246"/>
      <c r="J301" s="246"/>
      <c r="K301" s="246"/>
      <c r="L301" s="246"/>
      <c r="M301" s="246"/>
      <c r="N301" s="43"/>
      <c r="O301" s="247"/>
      <c r="P301" s="170"/>
      <c r="Q301" s="191"/>
    </row>
    <row r="302" spans="3:17" ht="28.5" customHeight="1" x14ac:dyDescent="0.3">
      <c r="C302" s="43"/>
      <c r="D302" s="246"/>
      <c r="E302" s="43"/>
      <c r="F302" s="43"/>
      <c r="G302" s="246"/>
      <c r="H302" s="246"/>
      <c r="I302" s="246"/>
      <c r="J302" s="246"/>
      <c r="K302" s="246"/>
      <c r="L302" s="246"/>
      <c r="M302" s="246"/>
      <c r="N302" s="43"/>
      <c r="O302" s="247"/>
      <c r="P302" s="170"/>
      <c r="Q302" s="191"/>
    </row>
    <row r="303" spans="3:17" ht="28.5" customHeight="1" x14ac:dyDescent="0.3">
      <c r="C303" s="43"/>
      <c r="D303" s="246"/>
      <c r="E303" s="43"/>
      <c r="F303" s="43"/>
      <c r="G303" s="246"/>
      <c r="H303" s="246"/>
      <c r="I303" s="246"/>
      <c r="J303" s="246"/>
      <c r="K303" s="246"/>
      <c r="L303" s="246"/>
      <c r="M303" s="246"/>
      <c r="N303" s="43"/>
      <c r="O303" s="247"/>
      <c r="P303" s="170"/>
      <c r="Q303" s="191"/>
    </row>
    <row r="304" spans="3:17" ht="28.5" customHeight="1" x14ac:dyDescent="0.3">
      <c r="C304" s="43"/>
      <c r="D304" s="246"/>
      <c r="E304" s="43"/>
      <c r="F304" s="43"/>
      <c r="G304" s="246"/>
      <c r="H304" s="246"/>
      <c r="I304" s="246"/>
      <c r="J304" s="246"/>
      <c r="K304" s="246"/>
      <c r="L304" s="246"/>
      <c r="M304" s="246"/>
      <c r="N304" s="43"/>
      <c r="O304" s="247"/>
      <c r="P304" s="170"/>
      <c r="Q304" s="191"/>
    </row>
    <row r="305" spans="3:17" ht="28.5" customHeight="1" x14ac:dyDescent="0.3">
      <c r="C305" s="43"/>
      <c r="D305" s="246"/>
      <c r="E305" s="43"/>
      <c r="F305" s="43"/>
      <c r="G305" s="246"/>
      <c r="H305" s="246"/>
      <c r="I305" s="246"/>
      <c r="J305" s="246"/>
      <c r="K305" s="246"/>
      <c r="L305" s="246"/>
      <c r="M305" s="246"/>
      <c r="N305" s="43"/>
      <c r="O305" s="247"/>
      <c r="P305" s="170"/>
      <c r="Q305" s="191"/>
    </row>
    <row r="306" spans="3:17" ht="28.5" customHeight="1" x14ac:dyDescent="0.3">
      <c r="C306" s="43"/>
      <c r="D306" s="246"/>
      <c r="E306" s="43"/>
      <c r="F306" s="43"/>
      <c r="G306" s="246"/>
      <c r="H306" s="246"/>
      <c r="I306" s="246"/>
      <c r="J306" s="246"/>
      <c r="K306" s="246"/>
      <c r="L306" s="246"/>
      <c r="M306" s="246"/>
      <c r="N306" s="43"/>
      <c r="O306" s="247"/>
      <c r="P306" s="170"/>
      <c r="Q306" s="191"/>
    </row>
    <row r="307" spans="3:17" ht="28.5" customHeight="1" x14ac:dyDescent="0.3">
      <c r="C307" s="43"/>
      <c r="D307" s="246"/>
      <c r="E307" s="43"/>
      <c r="F307" s="43"/>
      <c r="G307" s="246"/>
      <c r="H307" s="246"/>
      <c r="I307" s="246"/>
      <c r="J307" s="246"/>
      <c r="K307" s="246"/>
      <c r="L307" s="246"/>
      <c r="M307" s="246"/>
      <c r="N307" s="43"/>
      <c r="O307" s="247"/>
      <c r="P307" s="170"/>
      <c r="Q307" s="191"/>
    </row>
    <row r="308" spans="3:17" ht="28.5" customHeight="1" x14ac:dyDescent="0.3">
      <c r="C308" s="43"/>
      <c r="D308" s="246"/>
      <c r="E308" s="43"/>
      <c r="F308" s="43"/>
      <c r="G308" s="246"/>
      <c r="H308" s="246"/>
      <c r="I308" s="246"/>
      <c r="J308" s="246"/>
      <c r="K308" s="246"/>
      <c r="L308" s="246"/>
      <c r="M308" s="246"/>
      <c r="N308" s="43"/>
      <c r="O308" s="247"/>
      <c r="P308" s="170"/>
      <c r="Q308" s="191"/>
    </row>
    <row r="309" spans="3:17" ht="28.5" customHeight="1" x14ac:dyDescent="0.3">
      <c r="C309" s="43"/>
      <c r="D309" s="246"/>
      <c r="E309" s="43"/>
      <c r="F309" s="43"/>
      <c r="G309" s="246"/>
      <c r="H309" s="246"/>
      <c r="I309" s="246"/>
      <c r="J309" s="246"/>
      <c r="K309" s="246"/>
      <c r="L309" s="246"/>
      <c r="M309" s="246"/>
      <c r="N309" s="43"/>
      <c r="O309" s="247"/>
      <c r="P309" s="170"/>
      <c r="Q309" s="191"/>
    </row>
    <row r="310" spans="3:17" ht="28.5" customHeight="1" x14ac:dyDescent="0.3">
      <c r="C310" s="43"/>
      <c r="D310" s="246"/>
      <c r="E310" s="43"/>
      <c r="F310" s="43"/>
      <c r="G310" s="246"/>
      <c r="H310" s="246"/>
      <c r="I310" s="246"/>
      <c r="J310" s="246"/>
      <c r="K310" s="246"/>
      <c r="L310" s="246"/>
      <c r="M310" s="246"/>
      <c r="N310" s="43"/>
      <c r="O310" s="247"/>
      <c r="P310" s="170"/>
      <c r="Q310" s="191"/>
    </row>
    <row r="311" spans="3:17" ht="28.5" customHeight="1" x14ac:dyDescent="0.3">
      <c r="C311" s="43"/>
      <c r="D311" s="246"/>
      <c r="E311" s="43"/>
      <c r="F311" s="43"/>
      <c r="G311" s="246"/>
      <c r="H311" s="246"/>
      <c r="I311" s="246"/>
      <c r="J311" s="246"/>
      <c r="K311" s="246"/>
      <c r="L311" s="246"/>
      <c r="M311" s="246"/>
      <c r="N311" s="43"/>
      <c r="O311" s="247"/>
      <c r="P311" s="170"/>
      <c r="Q311" s="191"/>
    </row>
    <row r="312" spans="3:17" ht="28.5" customHeight="1" x14ac:dyDescent="0.3">
      <c r="C312" s="43"/>
      <c r="D312" s="246"/>
      <c r="E312" s="43"/>
      <c r="F312" s="43"/>
      <c r="G312" s="246"/>
      <c r="H312" s="246"/>
      <c r="I312" s="246"/>
      <c r="J312" s="246"/>
      <c r="K312" s="246"/>
      <c r="L312" s="246"/>
      <c r="M312" s="246"/>
      <c r="N312" s="43"/>
      <c r="O312" s="247"/>
      <c r="P312" s="170"/>
      <c r="Q312" s="191"/>
    </row>
    <row r="313" spans="3:17" ht="28.5" customHeight="1" x14ac:dyDescent="0.3">
      <c r="C313" s="43"/>
      <c r="D313" s="246"/>
      <c r="E313" s="43"/>
      <c r="F313" s="43"/>
      <c r="G313" s="246"/>
      <c r="H313" s="246"/>
      <c r="I313" s="246"/>
      <c r="J313" s="246"/>
      <c r="K313" s="246"/>
      <c r="L313" s="246"/>
      <c r="M313" s="246"/>
      <c r="N313" s="43"/>
      <c r="O313" s="247"/>
      <c r="P313" s="170"/>
      <c r="Q313" s="191"/>
    </row>
    <row r="314" spans="3:17" ht="28.5" customHeight="1" x14ac:dyDescent="0.3">
      <c r="C314" s="43"/>
      <c r="D314" s="246"/>
      <c r="E314" s="43"/>
      <c r="F314" s="43"/>
      <c r="G314" s="246"/>
      <c r="H314" s="246"/>
      <c r="I314" s="246"/>
      <c r="J314" s="246"/>
      <c r="K314" s="246"/>
      <c r="L314" s="246"/>
      <c r="M314" s="246"/>
      <c r="N314" s="43"/>
      <c r="O314" s="247"/>
      <c r="P314" s="170"/>
      <c r="Q314" s="191"/>
    </row>
    <row r="315" spans="3:17" ht="28.5" customHeight="1" x14ac:dyDescent="0.3">
      <c r="C315" s="43"/>
      <c r="D315" s="246"/>
      <c r="E315" s="43"/>
      <c r="F315" s="43"/>
      <c r="G315" s="246"/>
      <c r="H315" s="246"/>
      <c r="I315" s="246"/>
      <c r="J315" s="246"/>
      <c r="K315" s="246"/>
      <c r="L315" s="246"/>
      <c r="M315" s="246"/>
      <c r="N315" s="43"/>
      <c r="O315" s="247"/>
      <c r="P315" s="170"/>
      <c r="Q315" s="191"/>
    </row>
    <row r="316" spans="3:17" ht="28.5" customHeight="1" x14ac:dyDescent="0.3">
      <c r="C316" s="43"/>
      <c r="D316" s="246"/>
      <c r="E316" s="43"/>
      <c r="F316" s="43"/>
      <c r="G316" s="246"/>
      <c r="H316" s="246"/>
      <c r="I316" s="246"/>
      <c r="J316" s="246"/>
      <c r="K316" s="246"/>
      <c r="L316" s="246"/>
      <c r="M316" s="246"/>
      <c r="N316" s="43"/>
      <c r="O316" s="247"/>
      <c r="P316" s="170"/>
      <c r="Q316" s="191"/>
    </row>
    <row r="317" spans="3:17" ht="28.5" customHeight="1" x14ac:dyDescent="0.3">
      <c r="C317" s="43"/>
      <c r="D317" s="246"/>
      <c r="E317" s="43"/>
      <c r="F317" s="43"/>
      <c r="G317" s="246"/>
      <c r="H317" s="246"/>
      <c r="I317" s="246"/>
      <c r="J317" s="246"/>
      <c r="K317" s="246"/>
      <c r="L317" s="246"/>
      <c r="M317" s="246"/>
      <c r="N317" s="43"/>
      <c r="O317" s="247"/>
      <c r="P317" s="170"/>
      <c r="Q317" s="191"/>
    </row>
    <row r="318" spans="3:17" ht="28.5" customHeight="1" x14ac:dyDescent="0.3">
      <c r="C318" s="43"/>
      <c r="D318" s="246"/>
      <c r="E318" s="43"/>
      <c r="F318" s="43"/>
      <c r="G318" s="246"/>
      <c r="H318" s="246"/>
      <c r="I318" s="246"/>
      <c r="J318" s="246"/>
      <c r="K318" s="246"/>
      <c r="L318" s="246"/>
      <c r="M318" s="246"/>
      <c r="N318" s="43"/>
      <c r="O318" s="247"/>
      <c r="P318" s="170"/>
      <c r="Q318" s="191"/>
    </row>
    <row r="319" spans="3:17" ht="28.5" customHeight="1" x14ac:dyDescent="0.3">
      <c r="C319" s="43"/>
      <c r="D319" s="246"/>
      <c r="E319" s="43"/>
      <c r="F319" s="43"/>
      <c r="G319" s="246"/>
      <c r="H319" s="246"/>
      <c r="I319" s="246"/>
      <c r="J319" s="246"/>
      <c r="K319" s="246"/>
      <c r="L319" s="246"/>
      <c r="M319" s="246"/>
      <c r="N319" s="43"/>
      <c r="O319" s="247"/>
      <c r="P319" s="170"/>
      <c r="Q319" s="191"/>
    </row>
    <row r="320" spans="3:17" ht="28.5" customHeight="1" x14ac:dyDescent="0.3">
      <c r="C320" s="43"/>
      <c r="D320" s="246"/>
      <c r="E320" s="43"/>
      <c r="F320" s="43"/>
      <c r="G320" s="246"/>
      <c r="H320" s="246"/>
      <c r="I320" s="246"/>
      <c r="J320" s="246"/>
      <c r="K320" s="246"/>
      <c r="L320" s="246"/>
      <c r="M320" s="246"/>
      <c r="N320" s="43"/>
      <c r="O320" s="247"/>
      <c r="P320" s="170"/>
      <c r="Q320" s="191"/>
    </row>
    <row r="321" spans="3:17" ht="28.5" customHeight="1" x14ac:dyDescent="0.3">
      <c r="C321" s="43"/>
      <c r="D321" s="246"/>
      <c r="E321" s="43"/>
      <c r="F321" s="43"/>
      <c r="G321" s="246"/>
      <c r="H321" s="246"/>
      <c r="I321" s="246"/>
      <c r="J321" s="246"/>
      <c r="K321" s="246"/>
      <c r="L321" s="246"/>
      <c r="M321" s="246"/>
      <c r="N321" s="43"/>
      <c r="O321" s="247"/>
      <c r="P321" s="170"/>
      <c r="Q321" s="191"/>
    </row>
    <row r="322" spans="3:17" ht="28.5" customHeight="1" x14ac:dyDescent="0.3">
      <c r="C322" s="43"/>
      <c r="D322" s="246"/>
      <c r="E322" s="43"/>
      <c r="F322" s="43"/>
      <c r="G322" s="246"/>
      <c r="H322" s="246"/>
      <c r="I322" s="246"/>
      <c r="J322" s="246"/>
      <c r="K322" s="246"/>
      <c r="L322" s="246"/>
      <c r="M322" s="246"/>
      <c r="N322" s="43"/>
      <c r="O322" s="247"/>
      <c r="P322" s="170"/>
      <c r="Q322" s="191"/>
    </row>
    <row r="323" spans="3:17" ht="28.5" customHeight="1" x14ac:dyDescent="0.3">
      <c r="C323" s="43"/>
      <c r="D323" s="246"/>
      <c r="E323" s="43"/>
      <c r="F323" s="43"/>
      <c r="G323" s="246"/>
      <c r="H323" s="246"/>
      <c r="I323" s="246"/>
      <c r="J323" s="246"/>
      <c r="K323" s="246"/>
      <c r="L323" s="246"/>
      <c r="M323" s="246"/>
      <c r="N323" s="43"/>
      <c r="O323" s="247"/>
      <c r="P323" s="170"/>
      <c r="Q323" s="191"/>
    </row>
    <row r="324" spans="3:17" ht="28.5" customHeight="1" x14ac:dyDescent="0.3">
      <c r="C324" s="43"/>
      <c r="D324" s="246"/>
      <c r="E324" s="43"/>
      <c r="F324" s="43"/>
      <c r="G324" s="246"/>
      <c r="H324" s="246"/>
      <c r="I324" s="246"/>
      <c r="J324" s="246"/>
      <c r="K324" s="246"/>
      <c r="L324" s="246"/>
      <c r="M324" s="246"/>
      <c r="N324" s="43"/>
      <c r="O324" s="247"/>
      <c r="P324" s="170"/>
      <c r="Q324" s="191"/>
    </row>
    <row r="325" spans="3:17" ht="28.5" customHeight="1" x14ac:dyDescent="0.3">
      <c r="C325" s="43"/>
      <c r="D325" s="246"/>
      <c r="E325" s="43"/>
      <c r="F325" s="43"/>
      <c r="G325" s="246"/>
      <c r="H325" s="246"/>
      <c r="I325" s="246"/>
      <c r="J325" s="246"/>
      <c r="K325" s="246"/>
      <c r="L325" s="246"/>
      <c r="M325" s="246"/>
      <c r="N325" s="43"/>
      <c r="O325" s="247"/>
      <c r="P325" s="170"/>
      <c r="Q325" s="191"/>
    </row>
    <row r="326" spans="3:17" ht="28.5" customHeight="1" x14ac:dyDescent="0.3">
      <c r="C326" s="43"/>
      <c r="D326" s="246"/>
      <c r="E326" s="43"/>
      <c r="F326" s="43"/>
      <c r="G326" s="246"/>
      <c r="H326" s="246"/>
      <c r="I326" s="246"/>
      <c r="J326" s="246"/>
      <c r="K326" s="246"/>
      <c r="L326" s="246"/>
      <c r="M326" s="246"/>
      <c r="N326" s="43"/>
      <c r="O326" s="247"/>
      <c r="P326" s="170"/>
      <c r="Q326" s="191"/>
    </row>
    <row r="327" spans="3:17" ht="28.5" customHeight="1" x14ac:dyDescent="0.3">
      <c r="C327" s="43"/>
      <c r="D327" s="246"/>
      <c r="E327" s="43"/>
      <c r="F327" s="43"/>
      <c r="G327" s="246"/>
      <c r="H327" s="246"/>
      <c r="I327" s="246"/>
      <c r="J327" s="246"/>
      <c r="K327" s="246"/>
      <c r="L327" s="246"/>
      <c r="M327" s="246"/>
      <c r="N327" s="43"/>
      <c r="O327" s="247"/>
      <c r="P327" s="170"/>
      <c r="Q327" s="191"/>
    </row>
    <row r="328" spans="3:17" ht="28.5" customHeight="1" x14ac:dyDescent="0.3">
      <c r="C328" s="43"/>
      <c r="D328" s="246"/>
      <c r="E328" s="43"/>
      <c r="F328" s="43"/>
      <c r="G328" s="246"/>
      <c r="H328" s="246"/>
      <c r="I328" s="246"/>
      <c r="J328" s="246"/>
      <c r="K328" s="246"/>
      <c r="L328" s="246"/>
      <c r="M328" s="246"/>
      <c r="N328" s="43"/>
      <c r="O328" s="247"/>
      <c r="P328" s="170"/>
      <c r="Q328" s="191"/>
    </row>
    <row r="329" spans="3:17" ht="28.5" customHeight="1" x14ac:dyDescent="0.3">
      <c r="C329" s="43"/>
      <c r="D329" s="246"/>
      <c r="E329" s="43"/>
      <c r="F329" s="43"/>
      <c r="G329" s="246"/>
      <c r="H329" s="246"/>
      <c r="I329" s="246"/>
      <c r="J329" s="246"/>
      <c r="K329" s="246"/>
      <c r="L329" s="246"/>
      <c r="M329" s="246"/>
      <c r="N329" s="43"/>
      <c r="O329" s="247"/>
      <c r="P329" s="170"/>
      <c r="Q329" s="191"/>
    </row>
    <row r="330" spans="3:17" ht="28.5" customHeight="1" x14ac:dyDescent="0.3">
      <c r="C330" s="43"/>
      <c r="D330" s="246"/>
      <c r="E330" s="43"/>
      <c r="F330" s="43"/>
      <c r="G330" s="246"/>
      <c r="H330" s="246"/>
      <c r="I330" s="246"/>
      <c r="J330" s="246"/>
      <c r="K330" s="246"/>
      <c r="L330" s="246"/>
      <c r="M330" s="246"/>
      <c r="N330" s="43"/>
      <c r="O330" s="247"/>
      <c r="P330" s="170"/>
      <c r="Q330" s="191"/>
    </row>
    <row r="331" spans="3:17" ht="28.5" customHeight="1" x14ac:dyDescent="0.3">
      <c r="C331" s="43"/>
      <c r="D331" s="246"/>
      <c r="E331" s="43"/>
      <c r="F331" s="43"/>
      <c r="G331" s="246"/>
      <c r="H331" s="246"/>
      <c r="I331" s="246"/>
      <c r="J331" s="246"/>
      <c r="K331" s="246"/>
      <c r="L331" s="246"/>
      <c r="M331" s="246"/>
      <c r="N331" s="43"/>
      <c r="O331" s="247"/>
      <c r="P331" s="170"/>
      <c r="Q331" s="191"/>
    </row>
    <row r="332" spans="3:17" ht="28.5" customHeight="1" x14ac:dyDescent="0.3">
      <c r="C332" s="43"/>
      <c r="D332" s="246"/>
      <c r="E332" s="43"/>
      <c r="F332" s="43"/>
      <c r="G332" s="246"/>
      <c r="H332" s="246"/>
      <c r="I332" s="246"/>
      <c r="J332" s="246"/>
      <c r="K332" s="246"/>
      <c r="L332" s="246"/>
      <c r="M332" s="246"/>
      <c r="N332" s="43"/>
      <c r="O332" s="247"/>
      <c r="P332" s="170"/>
      <c r="Q332" s="191"/>
    </row>
    <row r="333" spans="3:17" ht="28.5" customHeight="1" x14ac:dyDescent="0.3">
      <c r="C333" s="43"/>
      <c r="D333" s="246"/>
      <c r="E333" s="43"/>
      <c r="F333" s="43"/>
      <c r="G333" s="246"/>
      <c r="H333" s="246"/>
      <c r="I333" s="246"/>
      <c r="J333" s="246"/>
      <c r="K333" s="246"/>
      <c r="L333" s="246"/>
      <c r="M333" s="246"/>
      <c r="N333" s="43"/>
      <c r="O333" s="247"/>
      <c r="P333" s="170"/>
      <c r="Q333" s="191"/>
    </row>
    <row r="334" spans="3:17" ht="28.5" customHeight="1" x14ac:dyDescent="0.3">
      <c r="C334" s="43"/>
      <c r="D334" s="246"/>
      <c r="E334" s="43"/>
      <c r="F334" s="43"/>
      <c r="G334" s="246"/>
      <c r="H334" s="246"/>
      <c r="I334" s="246"/>
      <c r="J334" s="246"/>
      <c r="K334" s="246"/>
      <c r="L334" s="246"/>
      <c r="M334" s="246"/>
      <c r="N334" s="43"/>
      <c r="O334" s="247"/>
      <c r="P334" s="170"/>
      <c r="Q334" s="191"/>
    </row>
    <row r="335" spans="3:17" ht="28.5" customHeight="1" x14ac:dyDescent="0.3">
      <c r="C335" s="43"/>
      <c r="D335" s="246"/>
      <c r="E335" s="43"/>
      <c r="F335" s="43"/>
      <c r="G335" s="246"/>
      <c r="H335" s="246"/>
      <c r="I335" s="246"/>
      <c r="J335" s="246"/>
      <c r="K335" s="246"/>
      <c r="L335" s="246"/>
      <c r="M335" s="246"/>
      <c r="N335" s="43"/>
      <c r="O335" s="247"/>
      <c r="P335" s="170"/>
      <c r="Q335" s="191"/>
    </row>
    <row r="336" spans="3:17" ht="28.5" customHeight="1" x14ac:dyDescent="0.3">
      <c r="C336" s="43"/>
      <c r="D336" s="246"/>
      <c r="E336" s="43"/>
      <c r="F336" s="43"/>
      <c r="G336" s="246"/>
      <c r="H336" s="246"/>
      <c r="I336" s="246"/>
      <c r="J336" s="246"/>
      <c r="K336" s="246"/>
      <c r="L336" s="246"/>
      <c r="M336" s="246"/>
      <c r="N336" s="43"/>
      <c r="O336" s="247"/>
      <c r="P336" s="170"/>
      <c r="Q336" s="191"/>
    </row>
    <row r="337" spans="3:17" ht="28.5" customHeight="1" x14ac:dyDescent="0.3">
      <c r="C337" s="43"/>
      <c r="D337" s="246"/>
      <c r="E337" s="43"/>
      <c r="F337" s="43"/>
      <c r="G337" s="246"/>
      <c r="H337" s="246"/>
      <c r="I337" s="246"/>
      <c r="J337" s="246"/>
      <c r="K337" s="246"/>
      <c r="L337" s="246"/>
      <c r="M337" s="246"/>
      <c r="N337" s="43"/>
      <c r="O337" s="247"/>
      <c r="P337" s="170"/>
      <c r="Q337" s="191"/>
    </row>
    <row r="338" spans="3:17" ht="28.5" customHeight="1" x14ac:dyDescent="0.3">
      <c r="C338" s="43"/>
      <c r="D338" s="246"/>
      <c r="E338" s="43"/>
      <c r="F338" s="43"/>
      <c r="G338" s="246"/>
      <c r="H338" s="246"/>
      <c r="I338" s="246"/>
      <c r="J338" s="246"/>
      <c r="K338" s="246"/>
      <c r="L338" s="246"/>
      <c r="M338" s="246"/>
      <c r="N338" s="43"/>
      <c r="O338" s="247"/>
      <c r="P338" s="170"/>
      <c r="Q338" s="191"/>
    </row>
    <row r="339" spans="3:17" ht="28.5" customHeight="1" x14ac:dyDescent="0.3">
      <c r="C339" s="43"/>
      <c r="D339" s="246"/>
      <c r="E339" s="43"/>
      <c r="F339" s="43"/>
      <c r="G339" s="246"/>
      <c r="H339" s="246"/>
      <c r="I339" s="246"/>
      <c r="J339" s="246"/>
      <c r="K339" s="246"/>
      <c r="L339" s="246"/>
      <c r="M339" s="246"/>
      <c r="N339" s="43"/>
      <c r="O339" s="247"/>
      <c r="P339" s="170"/>
      <c r="Q339" s="191"/>
    </row>
    <row r="340" spans="3:17" ht="28.5" customHeight="1" x14ac:dyDescent="0.3">
      <c r="C340" s="43"/>
      <c r="D340" s="246"/>
      <c r="E340" s="43"/>
      <c r="F340" s="43"/>
      <c r="G340" s="246"/>
      <c r="H340" s="246"/>
      <c r="I340" s="246"/>
      <c r="J340" s="246"/>
      <c r="K340" s="246"/>
      <c r="L340" s="246"/>
      <c r="M340" s="246"/>
      <c r="N340" s="43"/>
      <c r="O340" s="247"/>
      <c r="P340" s="170"/>
      <c r="Q340" s="191"/>
    </row>
    <row r="341" spans="3:17" ht="28.5" customHeight="1" x14ac:dyDescent="0.3">
      <c r="C341" s="43"/>
      <c r="D341" s="246"/>
      <c r="E341" s="43"/>
      <c r="F341" s="43"/>
      <c r="G341" s="246"/>
      <c r="H341" s="246"/>
      <c r="I341" s="246"/>
      <c r="J341" s="246"/>
      <c r="K341" s="246"/>
      <c r="L341" s="246"/>
      <c r="M341" s="246"/>
      <c r="N341" s="43"/>
      <c r="O341" s="247"/>
      <c r="P341" s="170"/>
      <c r="Q341" s="191"/>
    </row>
    <row r="342" spans="3:17" ht="28.5" customHeight="1" x14ac:dyDescent="0.3">
      <c r="C342" s="43"/>
      <c r="D342" s="246"/>
      <c r="E342" s="43"/>
      <c r="F342" s="43"/>
      <c r="G342" s="246"/>
      <c r="H342" s="246"/>
      <c r="I342" s="246"/>
      <c r="J342" s="246"/>
      <c r="K342" s="246"/>
      <c r="L342" s="246"/>
      <c r="M342" s="246"/>
      <c r="N342" s="43"/>
      <c r="O342" s="247"/>
      <c r="P342" s="170"/>
      <c r="Q342" s="191"/>
    </row>
    <row r="343" spans="3:17" ht="28.5" customHeight="1" x14ac:dyDescent="0.3">
      <c r="C343" s="43"/>
      <c r="D343" s="246"/>
      <c r="E343" s="43"/>
      <c r="F343" s="43"/>
      <c r="G343" s="246"/>
      <c r="H343" s="246"/>
      <c r="I343" s="246"/>
      <c r="J343" s="246"/>
      <c r="K343" s="246"/>
      <c r="L343" s="246"/>
      <c r="M343" s="246"/>
      <c r="N343" s="43"/>
      <c r="O343" s="247"/>
      <c r="P343" s="170"/>
      <c r="Q343" s="191"/>
    </row>
    <row r="344" spans="3:17" ht="28.5" customHeight="1" x14ac:dyDescent="0.3">
      <c r="C344" s="43"/>
      <c r="D344" s="246"/>
      <c r="E344" s="43"/>
      <c r="F344" s="43"/>
      <c r="G344" s="246"/>
      <c r="H344" s="246"/>
      <c r="I344" s="246"/>
      <c r="J344" s="246"/>
      <c r="K344" s="246"/>
      <c r="L344" s="246"/>
      <c r="M344" s="246"/>
      <c r="N344" s="43"/>
      <c r="O344" s="247"/>
      <c r="P344" s="170"/>
      <c r="Q344" s="191"/>
    </row>
    <row r="345" spans="3:17" ht="28.5" customHeight="1" x14ac:dyDescent="0.3">
      <c r="C345" s="43"/>
      <c r="D345" s="246"/>
      <c r="E345" s="43"/>
      <c r="F345" s="43"/>
      <c r="G345" s="246"/>
      <c r="H345" s="246"/>
      <c r="I345" s="246"/>
      <c r="J345" s="246"/>
      <c r="K345" s="246"/>
      <c r="L345" s="246"/>
      <c r="M345" s="246"/>
      <c r="N345" s="43"/>
      <c r="O345" s="247"/>
      <c r="P345" s="170"/>
      <c r="Q345" s="191"/>
    </row>
    <row r="346" spans="3:17" ht="28.5" customHeight="1" x14ac:dyDescent="0.3">
      <c r="C346" s="43"/>
      <c r="D346" s="246"/>
      <c r="E346" s="43"/>
      <c r="F346" s="43"/>
      <c r="G346" s="246"/>
      <c r="H346" s="246"/>
      <c r="I346" s="246"/>
      <c r="J346" s="246"/>
      <c r="K346" s="246"/>
      <c r="L346" s="246"/>
      <c r="M346" s="246"/>
      <c r="N346" s="43"/>
      <c r="O346" s="247"/>
      <c r="P346" s="170"/>
      <c r="Q346" s="191"/>
    </row>
    <row r="347" spans="3:17" ht="28.5" customHeight="1" x14ac:dyDescent="0.3">
      <c r="C347" s="43"/>
      <c r="D347" s="246"/>
      <c r="E347" s="43"/>
      <c r="F347" s="43"/>
      <c r="G347" s="246"/>
      <c r="H347" s="246"/>
      <c r="I347" s="246"/>
      <c r="J347" s="246"/>
      <c r="K347" s="246"/>
      <c r="L347" s="246"/>
      <c r="M347" s="246"/>
      <c r="N347" s="43"/>
      <c r="O347" s="247"/>
      <c r="P347" s="170"/>
      <c r="Q347" s="191"/>
    </row>
    <row r="348" spans="3:17" ht="28.5" customHeight="1" x14ac:dyDescent="0.3">
      <c r="C348" s="43"/>
      <c r="D348" s="246"/>
      <c r="E348" s="43"/>
      <c r="F348" s="43"/>
      <c r="G348" s="246"/>
      <c r="H348" s="246"/>
      <c r="I348" s="246"/>
      <c r="J348" s="246"/>
      <c r="K348" s="246"/>
      <c r="L348" s="246"/>
      <c r="M348" s="246"/>
      <c r="N348" s="43"/>
      <c r="O348" s="247"/>
      <c r="P348" s="170"/>
      <c r="Q348" s="191"/>
    </row>
    <row r="349" spans="3:17" ht="28.5" customHeight="1" x14ac:dyDescent="0.3">
      <c r="C349" s="43"/>
      <c r="D349" s="246"/>
      <c r="E349" s="43"/>
      <c r="F349" s="43"/>
      <c r="G349" s="246"/>
      <c r="H349" s="246"/>
      <c r="I349" s="246"/>
      <c r="J349" s="246"/>
      <c r="K349" s="246"/>
      <c r="L349" s="246"/>
      <c r="M349" s="246"/>
      <c r="N349" s="43"/>
      <c r="O349" s="247"/>
      <c r="P349" s="170"/>
      <c r="Q349" s="191"/>
    </row>
    <row r="350" spans="3:17" ht="28.5" customHeight="1" x14ac:dyDescent="0.3">
      <c r="C350" s="43"/>
      <c r="D350" s="246"/>
      <c r="E350" s="43"/>
      <c r="F350" s="43"/>
      <c r="G350" s="246"/>
      <c r="H350" s="246"/>
      <c r="I350" s="246"/>
      <c r="J350" s="246"/>
      <c r="K350" s="246"/>
      <c r="L350" s="246"/>
      <c r="M350" s="246"/>
      <c r="N350" s="43"/>
      <c r="O350" s="247"/>
      <c r="P350" s="170"/>
      <c r="Q350" s="191"/>
    </row>
    <row r="351" spans="3:17" ht="28.5" customHeight="1" x14ac:dyDescent="0.3">
      <c r="C351" s="43"/>
      <c r="D351" s="246"/>
      <c r="E351" s="43"/>
      <c r="F351" s="43"/>
      <c r="G351" s="246"/>
      <c r="H351" s="246"/>
      <c r="I351" s="246"/>
      <c r="J351" s="246"/>
      <c r="K351" s="246"/>
      <c r="L351" s="246"/>
      <c r="M351" s="246"/>
      <c r="N351" s="43"/>
      <c r="O351" s="247"/>
      <c r="P351" s="170"/>
      <c r="Q351" s="191"/>
    </row>
    <row r="352" spans="3:17" ht="28.5" customHeight="1" x14ac:dyDescent="0.3">
      <c r="C352" s="43"/>
      <c r="D352" s="246"/>
      <c r="E352" s="43"/>
      <c r="F352" s="43"/>
      <c r="G352" s="246"/>
      <c r="H352" s="246"/>
      <c r="I352" s="246"/>
      <c r="J352" s="246"/>
      <c r="K352" s="246"/>
      <c r="L352" s="246"/>
      <c r="M352" s="246"/>
      <c r="N352" s="43"/>
      <c r="O352" s="247"/>
      <c r="P352" s="170"/>
      <c r="Q352" s="191"/>
    </row>
    <row r="353" spans="3:17" ht="28.5" customHeight="1" x14ac:dyDescent="0.3">
      <c r="C353" s="43"/>
      <c r="D353" s="246"/>
      <c r="E353" s="43"/>
      <c r="F353" s="43"/>
      <c r="G353" s="246"/>
      <c r="H353" s="246"/>
      <c r="I353" s="246"/>
      <c r="J353" s="246"/>
      <c r="K353" s="246"/>
      <c r="L353" s="246"/>
      <c r="M353" s="246"/>
      <c r="N353" s="43"/>
      <c r="O353" s="247"/>
      <c r="P353" s="170"/>
      <c r="Q353" s="191"/>
    </row>
    <row r="354" spans="3:17" ht="28.5" customHeight="1" x14ac:dyDescent="0.3">
      <c r="C354" s="43"/>
      <c r="D354" s="246"/>
      <c r="E354" s="43"/>
      <c r="F354" s="43"/>
      <c r="G354" s="246"/>
      <c r="H354" s="246"/>
      <c r="I354" s="246"/>
      <c r="J354" s="246"/>
      <c r="K354" s="246"/>
      <c r="L354" s="246"/>
      <c r="M354" s="246"/>
      <c r="N354" s="43"/>
      <c r="O354" s="247"/>
      <c r="P354" s="170"/>
      <c r="Q354" s="191"/>
    </row>
    <row r="355" spans="3:17" ht="28.5" customHeight="1" x14ac:dyDescent="0.3">
      <c r="C355" s="43"/>
      <c r="D355" s="246"/>
      <c r="E355" s="43"/>
      <c r="F355" s="43"/>
      <c r="G355" s="246"/>
      <c r="H355" s="246"/>
      <c r="I355" s="246"/>
      <c r="J355" s="246"/>
      <c r="K355" s="246"/>
      <c r="L355" s="246"/>
      <c r="M355" s="246"/>
      <c r="N355" s="43"/>
      <c r="O355" s="247"/>
      <c r="P355" s="170"/>
      <c r="Q355" s="191"/>
    </row>
    <row r="356" spans="3:17" ht="28.5" customHeight="1" x14ac:dyDescent="0.3">
      <c r="C356" s="43"/>
      <c r="D356" s="246"/>
      <c r="E356" s="43"/>
      <c r="F356" s="43"/>
      <c r="G356" s="246"/>
      <c r="H356" s="246"/>
      <c r="I356" s="246"/>
      <c r="J356" s="246"/>
      <c r="K356" s="246"/>
      <c r="L356" s="246"/>
      <c r="M356" s="246"/>
      <c r="N356" s="43"/>
      <c r="O356" s="247"/>
      <c r="P356" s="170"/>
      <c r="Q356" s="191"/>
    </row>
    <row r="357" spans="3:17" ht="28.5" customHeight="1" x14ac:dyDescent="0.3">
      <c r="C357" s="43"/>
      <c r="D357" s="246"/>
      <c r="E357" s="43"/>
      <c r="F357" s="43"/>
      <c r="G357" s="246"/>
      <c r="H357" s="246"/>
      <c r="I357" s="246"/>
      <c r="J357" s="246"/>
      <c r="K357" s="246"/>
      <c r="L357" s="246"/>
      <c r="M357" s="246"/>
      <c r="N357" s="43"/>
      <c r="O357" s="247"/>
      <c r="P357" s="170"/>
      <c r="Q357" s="191"/>
    </row>
    <row r="358" spans="3:17" ht="28.5" customHeight="1" x14ac:dyDescent="0.3">
      <c r="C358" s="43"/>
      <c r="D358" s="246"/>
      <c r="E358" s="43"/>
      <c r="F358" s="43"/>
      <c r="G358" s="246"/>
      <c r="H358" s="246"/>
      <c r="I358" s="246"/>
      <c r="J358" s="246"/>
      <c r="K358" s="246"/>
      <c r="L358" s="246"/>
      <c r="M358" s="246"/>
      <c r="N358" s="43"/>
      <c r="O358" s="247"/>
      <c r="P358" s="170"/>
      <c r="Q358" s="191"/>
    </row>
    <row r="359" spans="3:17" ht="28.5" customHeight="1" x14ac:dyDescent="0.3">
      <c r="C359" s="43"/>
      <c r="D359" s="246"/>
      <c r="E359" s="43"/>
      <c r="F359" s="43"/>
      <c r="G359" s="246"/>
      <c r="H359" s="246"/>
      <c r="I359" s="246"/>
      <c r="J359" s="246"/>
      <c r="K359" s="246"/>
      <c r="L359" s="246"/>
      <c r="M359" s="246"/>
      <c r="N359" s="43"/>
      <c r="O359" s="247"/>
      <c r="P359" s="170"/>
      <c r="Q359" s="191"/>
    </row>
    <row r="360" spans="3:17" ht="28.5" customHeight="1" x14ac:dyDescent="0.3">
      <c r="C360" s="43"/>
      <c r="D360" s="246"/>
      <c r="E360" s="43"/>
      <c r="F360" s="43"/>
      <c r="G360" s="246"/>
      <c r="H360" s="246"/>
      <c r="I360" s="246"/>
      <c r="J360" s="246"/>
      <c r="K360" s="246"/>
      <c r="L360" s="246"/>
      <c r="M360" s="246"/>
      <c r="N360" s="43"/>
      <c r="O360" s="247"/>
      <c r="P360" s="170"/>
      <c r="Q360" s="191"/>
    </row>
    <row r="361" spans="3:17" ht="28.5" customHeight="1" x14ac:dyDescent="0.3">
      <c r="C361" s="43"/>
      <c r="D361" s="246"/>
      <c r="E361" s="43"/>
      <c r="F361" s="43"/>
      <c r="G361" s="246"/>
      <c r="H361" s="246"/>
      <c r="I361" s="246"/>
      <c r="J361" s="246"/>
      <c r="K361" s="246"/>
      <c r="L361" s="246"/>
      <c r="M361" s="246"/>
      <c r="N361" s="43"/>
      <c r="O361" s="247"/>
      <c r="P361" s="170"/>
      <c r="Q361" s="191"/>
    </row>
    <row r="362" spans="3:17" ht="28.5" customHeight="1" x14ac:dyDescent="0.3">
      <c r="C362" s="43"/>
      <c r="D362" s="246"/>
      <c r="E362" s="43"/>
      <c r="F362" s="43"/>
      <c r="G362" s="246"/>
      <c r="H362" s="246"/>
      <c r="I362" s="246"/>
      <c r="J362" s="246"/>
      <c r="K362" s="246"/>
      <c r="L362" s="246"/>
      <c r="M362" s="246"/>
      <c r="N362" s="43"/>
      <c r="O362" s="247"/>
      <c r="P362" s="170"/>
      <c r="Q362" s="191"/>
    </row>
    <row r="363" spans="3:17" ht="28.5" customHeight="1" x14ac:dyDescent="0.3">
      <c r="C363" s="43"/>
      <c r="D363" s="246"/>
      <c r="E363" s="43"/>
      <c r="F363" s="43"/>
      <c r="G363" s="246"/>
      <c r="H363" s="246"/>
      <c r="I363" s="246"/>
      <c r="J363" s="246"/>
      <c r="K363" s="246"/>
      <c r="L363" s="246"/>
      <c r="M363" s="246"/>
      <c r="N363" s="43"/>
      <c r="O363" s="247"/>
      <c r="P363" s="170"/>
      <c r="Q363" s="191"/>
    </row>
    <row r="364" spans="3:17" ht="28.5" customHeight="1" x14ac:dyDescent="0.3">
      <c r="C364" s="43"/>
      <c r="D364" s="246"/>
      <c r="E364" s="43"/>
      <c r="F364" s="43"/>
      <c r="G364" s="246"/>
      <c r="H364" s="246"/>
      <c r="I364" s="246"/>
      <c r="J364" s="246"/>
      <c r="K364" s="246"/>
      <c r="L364" s="246"/>
      <c r="M364" s="246"/>
      <c r="N364" s="43"/>
      <c r="O364" s="247"/>
      <c r="P364" s="170"/>
      <c r="Q364" s="191"/>
    </row>
    <row r="365" spans="3:17" ht="28.5" customHeight="1" x14ac:dyDescent="0.3">
      <c r="C365" s="43"/>
      <c r="D365" s="246"/>
      <c r="E365" s="43"/>
      <c r="F365" s="43"/>
      <c r="G365" s="246"/>
      <c r="H365" s="246"/>
      <c r="I365" s="246"/>
      <c r="J365" s="246"/>
      <c r="K365" s="246"/>
      <c r="L365" s="246"/>
      <c r="M365" s="246"/>
      <c r="N365" s="43"/>
      <c r="O365" s="247"/>
      <c r="P365" s="170"/>
      <c r="Q365" s="191"/>
    </row>
    <row r="366" spans="3:17" ht="28.5" customHeight="1" x14ac:dyDescent="0.3">
      <c r="C366" s="43"/>
      <c r="D366" s="246"/>
      <c r="E366" s="43"/>
      <c r="F366" s="43"/>
      <c r="G366" s="246"/>
      <c r="H366" s="246"/>
      <c r="I366" s="246"/>
      <c r="J366" s="246"/>
      <c r="K366" s="246"/>
      <c r="L366" s="246"/>
      <c r="M366" s="246"/>
      <c r="N366" s="43"/>
      <c r="O366" s="247"/>
      <c r="P366" s="170"/>
      <c r="Q366" s="191"/>
    </row>
    <row r="367" spans="3:17" ht="28.5" customHeight="1" x14ac:dyDescent="0.3">
      <c r="C367" s="43"/>
      <c r="D367" s="246"/>
      <c r="E367" s="43"/>
      <c r="F367" s="43"/>
      <c r="G367" s="246"/>
      <c r="H367" s="246"/>
      <c r="I367" s="246"/>
      <c r="J367" s="246"/>
      <c r="K367" s="246"/>
      <c r="L367" s="246"/>
      <c r="M367" s="246"/>
      <c r="N367" s="43"/>
      <c r="O367" s="247"/>
      <c r="P367" s="170"/>
      <c r="Q367" s="191"/>
    </row>
    <row r="368" spans="3:17" ht="28.5" customHeight="1" x14ac:dyDescent="0.3">
      <c r="C368" s="43"/>
      <c r="D368" s="246"/>
      <c r="E368" s="43"/>
      <c r="F368" s="43"/>
      <c r="G368" s="246"/>
      <c r="H368" s="246"/>
      <c r="I368" s="246"/>
      <c r="J368" s="246"/>
      <c r="K368" s="246"/>
      <c r="L368" s="246"/>
      <c r="M368" s="246"/>
      <c r="N368" s="43"/>
      <c r="O368" s="247"/>
      <c r="P368" s="170"/>
      <c r="Q368" s="191"/>
    </row>
    <row r="369" spans="3:17" ht="28.5" customHeight="1" x14ac:dyDescent="0.3">
      <c r="C369" s="43"/>
      <c r="D369" s="246"/>
      <c r="E369" s="43"/>
      <c r="F369" s="43"/>
      <c r="G369" s="246"/>
      <c r="H369" s="246"/>
      <c r="I369" s="246"/>
      <c r="J369" s="246"/>
      <c r="K369" s="246"/>
      <c r="L369" s="246"/>
      <c r="M369" s="246"/>
      <c r="N369" s="43"/>
      <c r="O369" s="247"/>
      <c r="P369" s="170"/>
      <c r="Q369" s="191"/>
    </row>
    <row r="370" spans="3:17" ht="28.5" customHeight="1" x14ac:dyDescent="0.3">
      <c r="C370" s="43"/>
      <c r="D370" s="246"/>
      <c r="E370" s="43"/>
      <c r="F370" s="43"/>
      <c r="G370" s="246"/>
      <c r="H370" s="246"/>
      <c r="I370" s="246"/>
      <c r="J370" s="246"/>
      <c r="K370" s="246"/>
      <c r="L370" s="246"/>
      <c r="M370" s="246"/>
      <c r="N370" s="43"/>
      <c r="O370" s="247"/>
      <c r="P370" s="170"/>
      <c r="Q370" s="191"/>
    </row>
    <row r="371" spans="3:17" ht="28.5" customHeight="1" x14ac:dyDescent="0.3">
      <c r="C371" s="43"/>
      <c r="D371" s="246"/>
      <c r="E371" s="43"/>
      <c r="F371" s="43"/>
      <c r="G371" s="246"/>
      <c r="H371" s="246"/>
      <c r="I371" s="246"/>
      <c r="J371" s="246"/>
      <c r="K371" s="246"/>
      <c r="L371" s="246"/>
      <c r="M371" s="246"/>
      <c r="N371" s="43"/>
      <c r="O371" s="247"/>
      <c r="P371" s="170"/>
      <c r="Q371" s="191"/>
    </row>
    <row r="372" spans="3:17" ht="28.5" customHeight="1" x14ac:dyDescent="0.3">
      <c r="C372" s="43"/>
      <c r="D372" s="246"/>
      <c r="E372" s="43"/>
      <c r="F372" s="43"/>
      <c r="G372" s="246"/>
      <c r="H372" s="246"/>
      <c r="I372" s="246"/>
      <c r="J372" s="246"/>
      <c r="K372" s="246"/>
      <c r="L372" s="246"/>
      <c r="M372" s="246"/>
      <c r="N372" s="43"/>
      <c r="O372" s="247"/>
      <c r="P372" s="170"/>
      <c r="Q372" s="191"/>
    </row>
    <row r="373" spans="3:17" ht="28.5" customHeight="1" x14ac:dyDescent="0.3">
      <c r="C373" s="43"/>
      <c r="D373" s="246"/>
      <c r="E373" s="43"/>
      <c r="F373" s="43"/>
      <c r="G373" s="246"/>
      <c r="H373" s="246"/>
      <c r="I373" s="246"/>
      <c r="J373" s="246"/>
      <c r="K373" s="246"/>
      <c r="L373" s="246"/>
      <c r="M373" s="246"/>
      <c r="N373" s="43"/>
      <c r="O373" s="247"/>
      <c r="P373" s="170"/>
      <c r="Q373" s="191"/>
    </row>
    <row r="374" spans="3:17" ht="28.5" customHeight="1" x14ac:dyDescent="0.3">
      <c r="C374" s="43"/>
      <c r="D374" s="246"/>
      <c r="E374" s="43"/>
      <c r="F374" s="43"/>
      <c r="G374" s="246"/>
      <c r="H374" s="246"/>
      <c r="I374" s="246"/>
      <c r="J374" s="246"/>
      <c r="K374" s="246"/>
      <c r="L374" s="246"/>
      <c r="M374" s="246"/>
      <c r="N374" s="43"/>
      <c r="O374" s="247"/>
      <c r="P374" s="170"/>
      <c r="Q374" s="191"/>
    </row>
    <row r="375" spans="3:17" ht="28.5" customHeight="1" x14ac:dyDescent="0.3">
      <c r="C375" s="43"/>
      <c r="D375" s="246"/>
      <c r="E375" s="43"/>
      <c r="F375" s="43"/>
      <c r="G375" s="246"/>
      <c r="H375" s="246"/>
      <c r="I375" s="246"/>
      <c r="J375" s="246"/>
      <c r="K375" s="246"/>
      <c r="L375" s="246"/>
      <c r="M375" s="246"/>
      <c r="N375" s="43"/>
      <c r="O375" s="247"/>
      <c r="P375" s="170"/>
      <c r="Q375" s="191"/>
    </row>
    <row r="376" spans="3:17" ht="28.5" customHeight="1" x14ac:dyDescent="0.3">
      <c r="C376" s="43"/>
      <c r="D376" s="246"/>
      <c r="E376" s="43"/>
      <c r="F376" s="43"/>
      <c r="G376" s="246"/>
      <c r="H376" s="246"/>
      <c r="I376" s="246"/>
      <c r="J376" s="246"/>
      <c r="K376" s="246"/>
      <c r="L376" s="246"/>
      <c r="M376" s="246"/>
      <c r="N376" s="43"/>
      <c r="O376" s="247"/>
      <c r="P376" s="170"/>
      <c r="Q376" s="191"/>
    </row>
    <row r="377" spans="3:17" ht="28.5" customHeight="1" x14ac:dyDescent="0.3">
      <c r="C377" s="43"/>
      <c r="D377" s="246"/>
      <c r="E377" s="43"/>
      <c r="F377" s="43"/>
      <c r="G377" s="246"/>
      <c r="H377" s="246"/>
      <c r="I377" s="246"/>
      <c r="J377" s="246"/>
      <c r="K377" s="246"/>
      <c r="L377" s="246"/>
      <c r="M377" s="246"/>
      <c r="N377" s="43"/>
      <c r="O377" s="247"/>
      <c r="P377" s="170"/>
      <c r="Q377" s="191"/>
    </row>
    <row r="378" spans="3:17" ht="28.5" customHeight="1" x14ac:dyDescent="0.3">
      <c r="C378" s="43"/>
      <c r="D378" s="246"/>
      <c r="E378" s="43"/>
      <c r="F378" s="43"/>
      <c r="G378" s="246"/>
      <c r="H378" s="246"/>
      <c r="I378" s="246"/>
      <c r="J378" s="246"/>
      <c r="K378" s="246"/>
      <c r="L378" s="246"/>
      <c r="M378" s="246"/>
      <c r="N378" s="43"/>
      <c r="O378" s="247"/>
      <c r="P378" s="170"/>
      <c r="Q378" s="191"/>
    </row>
    <row r="379" spans="3:17" ht="28.5" customHeight="1" x14ac:dyDescent="0.3">
      <c r="P379" s="170"/>
      <c r="Q379" s="191"/>
    </row>
    <row r="380" spans="3:17" ht="28.5" customHeight="1" x14ac:dyDescent="0.3">
      <c r="P380" s="170"/>
      <c r="Q380" s="191"/>
    </row>
    <row r="381" spans="3:17" ht="28.5" customHeight="1" x14ac:dyDescent="0.3">
      <c r="P381" s="170"/>
      <c r="Q381" s="191"/>
    </row>
    <row r="382" spans="3:17" ht="28.5" customHeight="1" x14ac:dyDescent="0.3">
      <c r="P382" s="170"/>
      <c r="Q382" s="191"/>
    </row>
    <row r="383" spans="3:17" ht="28.5" customHeight="1" x14ac:dyDescent="0.3">
      <c r="P383" s="170"/>
      <c r="Q383" s="191"/>
    </row>
    <row r="384" spans="3:17" ht="28.5" customHeight="1" x14ac:dyDescent="0.3">
      <c r="P384" s="170"/>
      <c r="Q384" s="191"/>
    </row>
    <row r="385" spans="16:17" ht="28.5" customHeight="1" x14ac:dyDescent="0.3">
      <c r="P385" s="170"/>
      <c r="Q385" s="191"/>
    </row>
    <row r="386" spans="16:17" ht="28.5" customHeight="1" x14ac:dyDescent="0.3">
      <c r="P386" s="170"/>
      <c r="Q386" s="191"/>
    </row>
    <row r="387" spans="16:17" ht="28.5" customHeight="1" x14ac:dyDescent="0.3">
      <c r="P387" s="170"/>
      <c r="Q387" s="191"/>
    </row>
    <row r="388" spans="16:17" ht="28.5" customHeight="1" x14ac:dyDescent="0.3">
      <c r="P388" s="170"/>
      <c r="Q388" s="191"/>
    </row>
    <row r="389" spans="16:17" ht="28.5" customHeight="1" x14ac:dyDescent="0.3">
      <c r="P389" s="170"/>
      <c r="Q389" s="191"/>
    </row>
    <row r="390" spans="16:17" ht="28.5" customHeight="1" x14ac:dyDescent="0.3">
      <c r="P390" s="170"/>
      <c r="Q390" s="191"/>
    </row>
    <row r="391" spans="16:17" ht="28.5" customHeight="1" x14ac:dyDescent="0.3">
      <c r="P391" s="170"/>
      <c r="Q391" s="191"/>
    </row>
    <row r="392" spans="16:17" ht="28.5" customHeight="1" x14ac:dyDescent="0.3">
      <c r="P392" s="170"/>
      <c r="Q392" s="191"/>
    </row>
    <row r="393" spans="16:17" ht="28.5" customHeight="1" x14ac:dyDescent="0.3">
      <c r="P393" s="170"/>
      <c r="Q393" s="191"/>
    </row>
    <row r="394" spans="16:17" ht="28.5" customHeight="1" x14ac:dyDescent="0.3">
      <c r="P394" s="170"/>
      <c r="Q394" s="191"/>
    </row>
    <row r="395" spans="16:17" ht="28.5" customHeight="1" x14ac:dyDescent="0.3">
      <c r="P395" s="170"/>
      <c r="Q395" s="191"/>
    </row>
    <row r="396" spans="16:17" ht="28.5" customHeight="1" x14ac:dyDescent="0.3">
      <c r="P396" s="170"/>
      <c r="Q396" s="191"/>
    </row>
    <row r="397" spans="16:17" ht="28.5" customHeight="1" x14ac:dyDescent="0.3">
      <c r="P397" s="170"/>
      <c r="Q397" s="191"/>
    </row>
    <row r="398" spans="16:17" ht="28.5" customHeight="1" x14ac:dyDescent="0.3">
      <c r="P398" s="170"/>
      <c r="Q398" s="191"/>
    </row>
    <row r="399" spans="16:17" ht="28.5" customHeight="1" x14ac:dyDescent="0.3">
      <c r="P399" s="170"/>
      <c r="Q399" s="191"/>
    </row>
    <row r="400" spans="16:17" ht="28.5" customHeight="1" x14ac:dyDescent="0.3">
      <c r="P400" s="170"/>
      <c r="Q400" s="191"/>
    </row>
    <row r="401" spans="16:17" ht="28.5" customHeight="1" x14ac:dyDescent="0.3">
      <c r="P401" s="170"/>
      <c r="Q401" s="191"/>
    </row>
    <row r="402" spans="16:17" ht="28.5" customHeight="1" x14ac:dyDescent="0.3">
      <c r="P402" s="170"/>
      <c r="Q402" s="191"/>
    </row>
    <row r="403" spans="16:17" ht="28.5" customHeight="1" x14ac:dyDescent="0.3">
      <c r="P403" s="170"/>
      <c r="Q403" s="191"/>
    </row>
    <row r="404" spans="16:17" ht="28.5" customHeight="1" x14ac:dyDescent="0.3">
      <c r="P404" s="170"/>
      <c r="Q404" s="191"/>
    </row>
    <row r="405" spans="16:17" ht="28.5" customHeight="1" x14ac:dyDescent="0.3">
      <c r="P405" s="170"/>
      <c r="Q405" s="191"/>
    </row>
    <row r="406" spans="16:17" ht="28.5" customHeight="1" x14ac:dyDescent="0.3">
      <c r="P406" s="170"/>
      <c r="Q406" s="191"/>
    </row>
    <row r="407" spans="16:17" ht="28.5" customHeight="1" x14ac:dyDescent="0.3">
      <c r="P407" s="170"/>
      <c r="Q407" s="191"/>
    </row>
    <row r="408" spans="16:17" ht="28.5" customHeight="1" x14ac:dyDescent="0.3">
      <c r="P408" s="170"/>
      <c r="Q408" s="191"/>
    </row>
    <row r="409" spans="16:17" ht="28.5" customHeight="1" x14ac:dyDescent="0.3">
      <c r="P409" s="170"/>
      <c r="Q409" s="191"/>
    </row>
    <row r="410" spans="16:17" ht="28.5" customHeight="1" x14ac:dyDescent="0.3">
      <c r="P410" s="170"/>
      <c r="Q410" s="191"/>
    </row>
    <row r="411" spans="16:17" ht="28.5" customHeight="1" x14ac:dyDescent="0.3">
      <c r="P411" s="170"/>
      <c r="Q411" s="191"/>
    </row>
    <row r="412" spans="16:17" ht="28.5" customHeight="1" x14ac:dyDescent="0.3">
      <c r="P412" s="170"/>
      <c r="Q412" s="191"/>
    </row>
    <row r="413" spans="16:17" ht="28.5" customHeight="1" x14ac:dyDescent="0.3">
      <c r="P413" s="170"/>
      <c r="Q413" s="191"/>
    </row>
    <row r="414" spans="16:17" ht="28.5" customHeight="1" x14ac:dyDescent="0.3">
      <c r="P414" s="170"/>
      <c r="Q414" s="191"/>
    </row>
    <row r="415" spans="16:17" ht="28.5" customHeight="1" x14ac:dyDescent="0.3">
      <c r="P415" s="170"/>
      <c r="Q415" s="191"/>
    </row>
    <row r="416" spans="16:17" ht="28.5" customHeight="1" x14ac:dyDescent="0.3">
      <c r="P416" s="170"/>
      <c r="Q416" s="191"/>
    </row>
    <row r="417" spans="16:17" ht="28.5" customHeight="1" x14ac:dyDescent="0.3">
      <c r="P417" s="170"/>
      <c r="Q417" s="191"/>
    </row>
    <row r="418" spans="16:17" ht="28.5" customHeight="1" x14ac:dyDescent="0.3">
      <c r="P418" s="170"/>
      <c r="Q418" s="191"/>
    </row>
    <row r="419" spans="16:17" ht="28.5" customHeight="1" x14ac:dyDescent="0.3">
      <c r="P419" s="170"/>
      <c r="Q419" s="191"/>
    </row>
    <row r="420" spans="16:17" ht="28.5" customHeight="1" x14ac:dyDescent="0.3">
      <c r="P420" s="170"/>
      <c r="Q420" s="191"/>
    </row>
    <row r="421" spans="16:17" ht="28.5" customHeight="1" x14ac:dyDescent="0.3">
      <c r="P421" s="170"/>
      <c r="Q421" s="191"/>
    </row>
    <row r="422" spans="16:17" ht="28.5" customHeight="1" x14ac:dyDescent="0.3">
      <c r="P422" s="170"/>
      <c r="Q422" s="191"/>
    </row>
    <row r="423" spans="16:17" ht="28.5" customHeight="1" x14ac:dyDescent="0.3">
      <c r="P423" s="170"/>
      <c r="Q423" s="191"/>
    </row>
    <row r="424" spans="16:17" ht="28.5" customHeight="1" x14ac:dyDescent="0.3">
      <c r="P424" s="170"/>
      <c r="Q424" s="191"/>
    </row>
    <row r="425" spans="16:17" ht="28.5" customHeight="1" x14ac:dyDescent="0.3">
      <c r="P425" s="170"/>
      <c r="Q425" s="191"/>
    </row>
    <row r="426" spans="16:17" ht="28.5" customHeight="1" x14ac:dyDescent="0.3">
      <c r="P426" s="170"/>
      <c r="Q426" s="191"/>
    </row>
    <row r="427" spans="16:17" ht="28.5" customHeight="1" x14ac:dyDescent="0.3">
      <c r="P427" s="170"/>
      <c r="Q427" s="191"/>
    </row>
    <row r="428" spans="16:17" ht="28.5" customHeight="1" x14ac:dyDescent="0.3">
      <c r="P428" s="170"/>
      <c r="Q428" s="191"/>
    </row>
    <row r="429" spans="16:17" ht="28.5" customHeight="1" x14ac:dyDescent="0.3">
      <c r="P429" s="170"/>
      <c r="Q429" s="191"/>
    </row>
    <row r="430" spans="16:17" ht="28.5" customHeight="1" x14ac:dyDescent="0.3">
      <c r="P430" s="170"/>
      <c r="Q430" s="191"/>
    </row>
    <row r="431" spans="16:17" ht="28.5" customHeight="1" x14ac:dyDescent="0.3">
      <c r="P431" s="170"/>
      <c r="Q431" s="191"/>
    </row>
    <row r="432" spans="16:17" ht="28.5" customHeight="1" x14ac:dyDescent="0.3">
      <c r="P432" s="170"/>
      <c r="Q432" s="191"/>
    </row>
    <row r="433" spans="16:17" ht="28.5" customHeight="1" x14ac:dyDescent="0.3">
      <c r="P433" s="170"/>
      <c r="Q433" s="191"/>
    </row>
    <row r="434" spans="16:17" ht="28.5" customHeight="1" x14ac:dyDescent="0.3">
      <c r="P434" s="170"/>
      <c r="Q434" s="191"/>
    </row>
    <row r="435" spans="16:17" ht="28.5" customHeight="1" x14ac:dyDescent="0.3">
      <c r="P435" s="170"/>
      <c r="Q435" s="191"/>
    </row>
    <row r="436" spans="16:17" ht="28.5" customHeight="1" x14ac:dyDescent="0.3">
      <c r="P436" s="170"/>
      <c r="Q436" s="191"/>
    </row>
    <row r="437" spans="16:17" ht="28.5" customHeight="1" x14ac:dyDescent="0.3">
      <c r="P437" s="170"/>
      <c r="Q437" s="191"/>
    </row>
    <row r="438" spans="16:17" ht="28.5" customHeight="1" x14ac:dyDescent="0.3">
      <c r="P438" s="170"/>
      <c r="Q438" s="191"/>
    </row>
    <row r="439" spans="16:17" ht="28.5" customHeight="1" x14ac:dyDescent="0.3">
      <c r="P439" s="170"/>
      <c r="Q439" s="191"/>
    </row>
    <row r="440" spans="16:17" ht="28.5" customHeight="1" x14ac:dyDescent="0.3">
      <c r="P440" s="170"/>
      <c r="Q440" s="191"/>
    </row>
    <row r="441" spans="16:17" ht="28.5" customHeight="1" x14ac:dyDescent="0.3">
      <c r="P441" s="170"/>
      <c r="Q441" s="191"/>
    </row>
    <row r="442" spans="16:17" ht="28.5" customHeight="1" x14ac:dyDescent="0.3">
      <c r="P442" s="170"/>
      <c r="Q442" s="191"/>
    </row>
    <row r="443" spans="16:17" ht="28.5" customHeight="1" x14ac:dyDescent="0.3">
      <c r="P443" s="170"/>
      <c r="Q443" s="191"/>
    </row>
    <row r="444" spans="16:17" ht="28.5" customHeight="1" x14ac:dyDescent="0.3">
      <c r="P444" s="170"/>
      <c r="Q444" s="191"/>
    </row>
    <row r="445" spans="16:17" ht="28.5" customHeight="1" x14ac:dyDescent="0.3">
      <c r="P445" s="170"/>
      <c r="Q445" s="191"/>
    </row>
    <row r="446" spans="16:17" ht="28.5" customHeight="1" x14ac:dyDescent="0.3">
      <c r="P446" s="170"/>
      <c r="Q446" s="191"/>
    </row>
    <row r="447" spans="16:17" ht="28.5" customHeight="1" x14ac:dyDescent="0.3">
      <c r="P447" s="170"/>
      <c r="Q447" s="191"/>
    </row>
    <row r="448" spans="16:17" ht="28.5" customHeight="1" x14ac:dyDescent="0.3">
      <c r="P448" s="170"/>
      <c r="Q448" s="191"/>
    </row>
    <row r="449" spans="16:17" ht="28.5" customHeight="1" x14ac:dyDescent="0.3">
      <c r="P449" s="170"/>
      <c r="Q449" s="191"/>
    </row>
    <row r="450" spans="16:17" ht="28.5" customHeight="1" x14ac:dyDescent="0.3">
      <c r="P450" s="170"/>
      <c r="Q450" s="191"/>
    </row>
    <row r="451" spans="16:17" ht="28.5" customHeight="1" x14ac:dyDescent="0.3">
      <c r="P451" s="170"/>
      <c r="Q451" s="191"/>
    </row>
    <row r="452" spans="16:17" ht="28.5" customHeight="1" x14ac:dyDescent="0.3">
      <c r="P452" s="170"/>
      <c r="Q452" s="191"/>
    </row>
    <row r="453" spans="16:17" ht="28.5" customHeight="1" x14ac:dyDescent="0.3">
      <c r="P453" s="170"/>
      <c r="Q453" s="191"/>
    </row>
    <row r="454" spans="16:17" ht="28.5" customHeight="1" x14ac:dyDescent="0.3">
      <c r="P454" s="170"/>
      <c r="Q454" s="191"/>
    </row>
    <row r="455" spans="16:17" ht="28.5" customHeight="1" x14ac:dyDescent="0.3">
      <c r="P455" s="170"/>
      <c r="Q455" s="191"/>
    </row>
    <row r="456" spans="16:17" ht="28.5" customHeight="1" x14ac:dyDescent="0.3">
      <c r="P456" s="170"/>
      <c r="Q456" s="191"/>
    </row>
    <row r="457" spans="16:17" ht="28.5" customHeight="1" x14ac:dyDescent="0.3">
      <c r="P457" s="170"/>
      <c r="Q457" s="191"/>
    </row>
    <row r="458" spans="16:17" ht="28.5" customHeight="1" x14ac:dyDescent="0.3">
      <c r="P458" s="170"/>
      <c r="Q458" s="191"/>
    </row>
    <row r="459" spans="16:17" ht="28.5" customHeight="1" x14ac:dyDescent="0.3">
      <c r="P459" s="170"/>
      <c r="Q459" s="191"/>
    </row>
    <row r="460" spans="16:17" ht="28.5" customHeight="1" x14ac:dyDescent="0.3">
      <c r="P460" s="170"/>
      <c r="Q460" s="191"/>
    </row>
    <row r="461" spans="16:17" ht="28.5" customHeight="1" x14ac:dyDescent="0.3">
      <c r="P461" s="170"/>
      <c r="Q461" s="191"/>
    </row>
    <row r="462" spans="16:17" ht="28.5" customHeight="1" x14ac:dyDescent="0.3">
      <c r="P462" s="170"/>
      <c r="Q462" s="191"/>
    </row>
    <row r="463" spans="16:17" ht="28.5" customHeight="1" x14ac:dyDescent="0.3">
      <c r="P463" s="170"/>
      <c r="Q463" s="191"/>
    </row>
    <row r="464" spans="16:17" ht="28.5" customHeight="1" x14ac:dyDescent="0.3">
      <c r="P464" s="170"/>
      <c r="Q464" s="191"/>
    </row>
    <row r="465" spans="16:17" ht="28.5" customHeight="1" x14ac:dyDescent="0.3">
      <c r="P465" s="170"/>
      <c r="Q465" s="191"/>
    </row>
    <row r="466" spans="16:17" ht="28.5" customHeight="1" x14ac:dyDescent="0.3">
      <c r="P466" s="170"/>
      <c r="Q466" s="191"/>
    </row>
    <row r="467" spans="16:17" ht="28.5" customHeight="1" x14ac:dyDescent="0.3">
      <c r="P467" s="170"/>
      <c r="Q467" s="191"/>
    </row>
    <row r="468" spans="16:17" ht="28.5" customHeight="1" x14ac:dyDescent="0.3">
      <c r="P468" s="170"/>
      <c r="Q468" s="191"/>
    </row>
    <row r="469" spans="16:17" ht="28.5" customHeight="1" x14ac:dyDescent="0.3">
      <c r="P469" s="170"/>
      <c r="Q469" s="191"/>
    </row>
    <row r="470" spans="16:17" ht="28.5" customHeight="1" x14ac:dyDescent="0.3">
      <c r="P470" s="170"/>
      <c r="Q470" s="191"/>
    </row>
    <row r="471" spans="16:17" ht="28.5" customHeight="1" x14ac:dyDescent="0.3">
      <c r="P471" s="170"/>
      <c r="Q471" s="191"/>
    </row>
    <row r="472" spans="16:17" ht="28.5" customHeight="1" x14ac:dyDescent="0.3">
      <c r="P472" s="170"/>
      <c r="Q472" s="191"/>
    </row>
    <row r="473" spans="16:17" ht="28.5" customHeight="1" x14ac:dyDescent="0.3">
      <c r="P473" s="170"/>
      <c r="Q473" s="191"/>
    </row>
    <row r="474" spans="16:17" ht="28.5" customHeight="1" x14ac:dyDescent="0.3">
      <c r="P474" s="170"/>
      <c r="Q474" s="191"/>
    </row>
    <row r="475" spans="16:17" ht="28.5" customHeight="1" x14ac:dyDescent="0.3">
      <c r="P475" s="170"/>
      <c r="Q475" s="191"/>
    </row>
    <row r="476" spans="16:17" ht="28.5" customHeight="1" x14ac:dyDescent="0.3">
      <c r="P476" s="170"/>
      <c r="Q476" s="191"/>
    </row>
    <row r="477" spans="16:17" ht="28.5" customHeight="1" x14ac:dyDescent="0.3">
      <c r="P477" s="170"/>
      <c r="Q477" s="191"/>
    </row>
    <row r="478" spans="16:17" ht="28.5" customHeight="1" x14ac:dyDescent="0.3">
      <c r="P478" s="170"/>
      <c r="Q478" s="191"/>
    </row>
    <row r="479" spans="16:17" ht="28.5" customHeight="1" x14ac:dyDescent="0.3">
      <c r="P479" s="170"/>
      <c r="Q479" s="191"/>
    </row>
    <row r="480" spans="16:17" ht="28.5" customHeight="1" x14ac:dyDescent="0.3">
      <c r="P480" s="170"/>
      <c r="Q480" s="191"/>
    </row>
    <row r="481" spans="16:17" ht="28.5" customHeight="1" x14ac:dyDescent="0.3">
      <c r="P481" s="170"/>
      <c r="Q481" s="191"/>
    </row>
    <row r="482" spans="16:17" ht="28.5" customHeight="1" x14ac:dyDescent="0.3">
      <c r="P482" s="170"/>
      <c r="Q482" s="191"/>
    </row>
    <row r="483" spans="16:17" ht="28.5" customHeight="1" x14ac:dyDescent="0.3">
      <c r="P483" s="170"/>
      <c r="Q483" s="191"/>
    </row>
    <row r="484" spans="16:17" ht="28.5" customHeight="1" x14ac:dyDescent="0.3">
      <c r="P484" s="170"/>
      <c r="Q484" s="191"/>
    </row>
    <row r="485" spans="16:17" ht="28.5" customHeight="1" x14ac:dyDescent="0.3">
      <c r="P485" s="170"/>
      <c r="Q485" s="191"/>
    </row>
    <row r="486" spans="16:17" ht="28.5" customHeight="1" x14ac:dyDescent="0.3">
      <c r="P486" s="170"/>
      <c r="Q486" s="191"/>
    </row>
    <row r="487" spans="16:17" ht="28.5" customHeight="1" x14ac:dyDescent="0.3">
      <c r="P487" s="170"/>
      <c r="Q487" s="191"/>
    </row>
    <row r="488" spans="16:17" ht="28.5" customHeight="1" x14ac:dyDescent="0.3">
      <c r="P488" s="170"/>
      <c r="Q488" s="191"/>
    </row>
    <row r="489" spans="16:17" ht="28.5" customHeight="1" x14ac:dyDescent="0.3">
      <c r="P489" s="170"/>
      <c r="Q489" s="191"/>
    </row>
    <row r="490" spans="16:17" ht="28.5" customHeight="1" x14ac:dyDescent="0.3">
      <c r="P490" s="170"/>
      <c r="Q490" s="191"/>
    </row>
    <row r="491" spans="16:17" ht="28.5" customHeight="1" x14ac:dyDescent="0.3">
      <c r="P491" s="170"/>
      <c r="Q491" s="191"/>
    </row>
    <row r="492" spans="16:17" ht="28.5" customHeight="1" x14ac:dyDescent="0.3">
      <c r="P492" s="170"/>
      <c r="Q492" s="191"/>
    </row>
    <row r="493" spans="16:17" ht="28.5" customHeight="1" x14ac:dyDescent="0.3">
      <c r="P493" s="170"/>
      <c r="Q493" s="191"/>
    </row>
    <row r="494" spans="16:17" ht="28.5" customHeight="1" x14ac:dyDescent="0.3">
      <c r="P494" s="170"/>
      <c r="Q494" s="191"/>
    </row>
    <row r="495" spans="16:17" ht="28.5" customHeight="1" x14ac:dyDescent="0.3">
      <c r="P495" s="170"/>
      <c r="Q495" s="191"/>
    </row>
    <row r="496" spans="16:17" ht="28.5" customHeight="1" x14ac:dyDescent="0.3">
      <c r="P496" s="170"/>
      <c r="Q496" s="191"/>
    </row>
    <row r="497" spans="16:17" ht="28.5" customHeight="1" x14ac:dyDescent="0.3">
      <c r="P497" s="170"/>
      <c r="Q497" s="191"/>
    </row>
    <row r="498" spans="16:17" ht="28.5" customHeight="1" x14ac:dyDescent="0.3">
      <c r="P498" s="170"/>
      <c r="Q498" s="191"/>
    </row>
    <row r="499" spans="16:17" ht="28.5" customHeight="1" x14ac:dyDescent="0.3">
      <c r="P499" s="170"/>
      <c r="Q499" s="191"/>
    </row>
    <row r="500" spans="16:17" ht="28.5" customHeight="1" x14ac:dyDescent="0.3">
      <c r="P500" s="170"/>
      <c r="Q500" s="191"/>
    </row>
    <row r="501" spans="16:17" ht="28.5" customHeight="1" x14ac:dyDescent="0.3">
      <c r="P501" s="170"/>
      <c r="Q501" s="191"/>
    </row>
    <row r="502" spans="16:17" ht="28.5" customHeight="1" x14ac:dyDescent="0.3">
      <c r="P502" s="170"/>
      <c r="Q502" s="191"/>
    </row>
    <row r="503" spans="16:17" ht="28.5" customHeight="1" x14ac:dyDescent="0.3">
      <c r="P503" s="170"/>
      <c r="Q503" s="191"/>
    </row>
    <row r="504" spans="16:17" ht="28.5" customHeight="1" x14ac:dyDescent="0.3">
      <c r="P504" s="170"/>
      <c r="Q504" s="191"/>
    </row>
    <row r="505" spans="16:17" ht="28.5" customHeight="1" x14ac:dyDescent="0.3">
      <c r="P505" s="170"/>
      <c r="Q505" s="191"/>
    </row>
    <row r="506" spans="16:17" ht="28.5" customHeight="1" x14ac:dyDescent="0.3">
      <c r="P506" s="170"/>
      <c r="Q506" s="191"/>
    </row>
    <row r="507" spans="16:17" ht="28.5" customHeight="1" x14ac:dyDescent="0.3">
      <c r="P507" s="170"/>
      <c r="Q507" s="191"/>
    </row>
    <row r="508" spans="16:17" ht="28.5" customHeight="1" x14ac:dyDescent="0.3">
      <c r="P508" s="170"/>
      <c r="Q508" s="191"/>
    </row>
    <row r="509" spans="16:17" ht="28.5" customHeight="1" x14ac:dyDescent="0.3">
      <c r="P509" s="170"/>
      <c r="Q509" s="191"/>
    </row>
    <row r="510" spans="16:17" ht="28.5" customHeight="1" x14ac:dyDescent="0.3">
      <c r="P510" s="170"/>
      <c r="Q510" s="191"/>
    </row>
    <row r="511" spans="16:17" ht="28.5" customHeight="1" x14ac:dyDescent="0.3">
      <c r="P511" s="170"/>
      <c r="Q511" s="191"/>
    </row>
    <row r="512" spans="16:17" ht="28.5" customHeight="1" x14ac:dyDescent="0.3">
      <c r="P512" s="170"/>
      <c r="Q512" s="191"/>
    </row>
    <row r="513" spans="16:17" ht="28.5" customHeight="1" x14ac:dyDescent="0.3">
      <c r="P513" s="170"/>
      <c r="Q513" s="191"/>
    </row>
    <row r="514" spans="16:17" ht="28.5" customHeight="1" x14ac:dyDescent="0.3">
      <c r="P514" s="170"/>
      <c r="Q514" s="191"/>
    </row>
    <row r="515" spans="16:17" ht="28.5" customHeight="1" x14ac:dyDescent="0.3">
      <c r="P515" s="170"/>
      <c r="Q515" s="191"/>
    </row>
    <row r="516" spans="16:17" ht="28.5" customHeight="1" x14ac:dyDescent="0.3">
      <c r="P516" s="170"/>
      <c r="Q516" s="191"/>
    </row>
    <row r="517" spans="16:17" ht="28.5" customHeight="1" x14ac:dyDescent="0.3">
      <c r="P517" s="170"/>
      <c r="Q517" s="191"/>
    </row>
    <row r="518" spans="16:17" ht="28.5" customHeight="1" x14ac:dyDescent="0.3">
      <c r="P518" s="170"/>
      <c r="Q518" s="191"/>
    </row>
    <row r="519" spans="16:17" ht="28.5" customHeight="1" x14ac:dyDescent="0.3">
      <c r="P519" s="170"/>
      <c r="Q519" s="191"/>
    </row>
    <row r="520" spans="16:17" ht="28.5" customHeight="1" x14ac:dyDescent="0.3">
      <c r="P520" s="170"/>
      <c r="Q520" s="191"/>
    </row>
    <row r="521" spans="16:17" ht="28.5" customHeight="1" x14ac:dyDescent="0.3">
      <c r="P521" s="170"/>
      <c r="Q521" s="191"/>
    </row>
    <row r="522" spans="16:17" ht="28.5" customHeight="1" x14ac:dyDescent="0.3">
      <c r="P522" s="170"/>
      <c r="Q522" s="191"/>
    </row>
    <row r="523" spans="16:17" ht="28.5" customHeight="1" x14ac:dyDescent="0.3">
      <c r="P523" s="170"/>
      <c r="Q523" s="191"/>
    </row>
    <row r="524" spans="16:17" ht="28.5" customHeight="1" x14ac:dyDescent="0.3">
      <c r="P524" s="170"/>
      <c r="Q524" s="191"/>
    </row>
    <row r="525" spans="16:17" ht="28.5" customHeight="1" x14ac:dyDescent="0.3">
      <c r="P525" s="170"/>
      <c r="Q525" s="191"/>
    </row>
    <row r="526" spans="16:17" ht="28.5" customHeight="1" x14ac:dyDescent="0.3">
      <c r="P526" s="170"/>
      <c r="Q526" s="191"/>
    </row>
    <row r="527" spans="16:17" ht="28.5" customHeight="1" x14ac:dyDescent="0.3">
      <c r="P527" s="170"/>
      <c r="Q527" s="191"/>
    </row>
    <row r="528" spans="16:17" ht="28.5" customHeight="1" x14ac:dyDescent="0.3">
      <c r="P528" s="170"/>
      <c r="Q528" s="191"/>
    </row>
    <row r="529" spans="16:17" ht="28.5" customHeight="1" x14ac:dyDescent="0.3">
      <c r="P529" s="170"/>
      <c r="Q529" s="191"/>
    </row>
    <row r="530" spans="16:17" ht="28.5" customHeight="1" x14ac:dyDescent="0.3">
      <c r="P530" s="170"/>
      <c r="Q530" s="191"/>
    </row>
    <row r="531" spans="16:17" ht="28.5" customHeight="1" x14ac:dyDescent="0.3">
      <c r="P531" s="170"/>
      <c r="Q531" s="191"/>
    </row>
    <row r="532" spans="16:17" ht="28.5" customHeight="1" x14ac:dyDescent="0.3">
      <c r="P532" s="170"/>
      <c r="Q532" s="191"/>
    </row>
    <row r="533" spans="16:17" ht="28.5" customHeight="1" x14ac:dyDescent="0.3">
      <c r="P533" s="170"/>
      <c r="Q533" s="191"/>
    </row>
    <row r="534" spans="16:17" ht="28.5" customHeight="1" x14ac:dyDescent="0.3">
      <c r="P534" s="170"/>
      <c r="Q534" s="191"/>
    </row>
    <row r="535" spans="16:17" ht="28.5" customHeight="1" x14ac:dyDescent="0.3">
      <c r="P535" s="170"/>
      <c r="Q535" s="191"/>
    </row>
    <row r="536" spans="16:17" ht="28.5" customHeight="1" x14ac:dyDescent="0.3">
      <c r="P536" s="170"/>
      <c r="Q536" s="191"/>
    </row>
    <row r="537" spans="16:17" ht="28.5" customHeight="1" x14ac:dyDescent="0.3">
      <c r="P537" s="170"/>
      <c r="Q537" s="191"/>
    </row>
    <row r="538" spans="16:17" ht="28.5" customHeight="1" x14ac:dyDescent="0.3">
      <c r="P538" s="170"/>
      <c r="Q538" s="191"/>
    </row>
    <row r="539" spans="16:17" ht="28.5" customHeight="1" x14ac:dyDescent="0.3">
      <c r="P539" s="170"/>
      <c r="Q539" s="191"/>
    </row>
    <row r="540" spans="16:17" ht="28.5" customHeight="1" x14ac:dyDescent="0.3">
      <c r="P540" s="170"/>
      <c r="Q540" s="191"/>
    </row>
    <row r="541" spans="16:17" ht="28.5" customHeight="1" x14ac:dyDescent="0.3">
      <c r="P541" s="170"/>
      <c r="Q541" s="191"/>
    </row>
    <row r="542" spans="16:17" ht="28.5" customHeight="1" x14ac:dyDescent="0.3">
      <c r="P542" s="170"/>
      <c r="Q542" s="191"/>
    </row>
    <row r="543" spans="16:17" ht="28.5" customHeight="1" x14ac:dyDescent="0.3">
      <c r="P543" s="170"/>
      <c r="Q543" s="191"/>
    </row>
    <row r="544" spans="16:17" ht="28.5" customHeight="1" x14ac:dyDescent="0.3">
      <c r="P544" s="170"/>
      <c r="Q544" s="191"/>
    </row>
    <row r="545" spans="16:17" ht="28.5" customHeight="1" x14ac:dyDescent="0.3">
      <c r="P545" s="170"/>
      <c r="Q545" s="191"/>
    </row>
    <row r="546" spans="16:17" ht="28.5" customHeight="1" x14ac:dyDescent="0.3">
      <c r="P546" s="170"/>
      <c r="Q546" s="191"/>
    </row>
    <row r="547" spans="16:17" ht="28.5" customHeight="1" x14ac:dyDescent="0.3">
      <c r="P547" s="170"/>
      <c r="Q547" s="191"/>
    </row>
    <row r="548" spans="16:17" ht="28.5" customHeight="1" x14ac:dyDescent="0.3">
      <c r="P548" s="170"/>
      <c r="Q548" s="191"/>
    </row>
    <row r="549" spans="16:17" ht="28.5" customHeight="1" x14ac:dyDescent="0.3">
      <c r="P549" s="170"/>
      <c r="Q549" s="191"/>
    </row>
    <row r="550" spans="16:17" ht="28.5" customHeight="1" x14ac:dyDescent="0.3">
      <c r="P550" s="170"/>
      <c r="Q550" s="191"/>
    </row>
    <row r="551" spans="16:17" ht="28.5" customHeight="1" x14ac:dyDescent="0.3">
      <c r="P551" s="170"/>
      <c r="Q551" s="191"/>
    </row>
    <row r="552" spans="16:17" ht="28.5" customHeight="1" x14ac:dyDescent="0.3">
      <c r="P552" s="170"/>
      <c r="Q552" s="191"/>
    </row>
    <row r="553" spans="16:17" ht="28.5" customHeight="1" x14ac:dyDescent="0.3">
      <c r="P553" s="170"/>
      <c r="Q553" s="191"/>
    </row>
    <row r="554" spans="16:17" ht="28.5" customHeight="1" x14ac:dyDescent="0.3">
      <c r="P554" s="170"/>
      <c r="Q554" s="191"/>
    </row>
    <row r="555" spans="16:17" ht="28.5" customHeight="1" x14ac:dyDescent="0.3">
      <c r="P555" s="170"/>
      <c r="Q555" s="191"/>
    </row>
    <row r="556" spans="16:17" ht="28.5" customHeight="1" x14ac:dyDescent="0.3">
      <c r="P556" s="170"/>
      <c r="Q556" s="191"/>
    </row>
    <row r="557" spans="16:17" ht="28.5" customHeight="1" x14ac:dyDescent="0.3">
      <c r="P557" s="170"/>
      <c r="Q557" s="191"/>
    </row>
    <row r="558" spans="16:17" ht="28.5" customHeight="1" x14ac:dyDescent="0.3">
      <c r="P558" s="170"/>
      <c r="Q558" s="191"/>
    </row>
    <row r="559" spans="16:17" ht="28.5" customHeight="1" x14ac:dyDescent="0.3">
      <c r="P559" s="170"/>
      <c r="Q559" s="191"/>
    </row>
    <row r="560" spans="16:17" ht="28.5" customHeight="1" x14ac:dyDescent="0.3">
      <c r="P560" s="170"/>
      <c r="Q560" s="191"/>
    </row>
    <row r="561" spans="16:17" ht="28.5" customHeight="1" x14ac:dyDescent="0.3">
      <c r="P561" s="170"/>
      <c r="Q561" s="191"/>
    </row>
    <row r="562" spans="16:17" ht="28.5" customHeight="1" x14ac:dyDescent="0.3">
      <c r="P562" s="170"/>
      <c r="Q562" s="191"/>
    </row>
    <row r="563" spans="16:17" ht="28.5" customHeight="1" x14ac:dyDescent="0.3">
      <c r="P563" s="170"/>
      <c r="Q563" s="191"/>
    </row>
    <row r="564" spans="16:17" ht="28.5" customHeight="1" x14ac:dyDescent="0.3">
      <c r="P564" s="170"/>
      <c r="Q564" s="191"/>
    </row>
    <row r="565" spans="16:17" ht="28.5" customHeight="1" x14ac:dyDescent="0.3">
      <c r="P565" s="170"/>
      <c r="Q565" s="191"/>
    </row>
    <row r="566" spans="16:17" ht="28.5" customHeight="1" x14ac:dyDescent="0.3">
      <c r="P566" s="170"/>
      <c r="Q566" s="191"/>
    </row>
    <row r="567" spans="16:17" ht="28.5" customHeight="1" x14ac:dyDescent="0.3">
      <c r="P567" s="170"/>
      <c r="Q567" s="191"/>
    </row>
    <row r="568" spans="16:17" ht="28.5" customHeight="1" x14ac:dyDescent="0.3">
      <c r="P568" s="170"/>
      <c r="Q568" s="191"/>
    </row>
    <row r="569" spans="16:17" ht="28.5" customHeight="1" x14ac:dyDescent="0.3">
      <c r="P569" s="170"/>
      <c r="Q569" s="191"/>
    </row>
    <row r="570" spans="16:17" ht="28.5" customHeight="1" x14ac:dyDescent="0.3">
      <c r="P570" s="170"/>
      <c r="Q570" s="191"/>
    </row>
    <row r="571" spans="16:17" ht="28.5" customHeight="1" x14ac:dyDescent="0.3">
      <c r="P571" s="170"/>
      <c r="Q571" s="191"/>
    </row>
    <row r="572" spans="16:17" ht="28.5" customHeight="1" x14ac:dyDescent="0.3">
      <c r="P572" s="170"/>
      <c r="Q572" s="191"/>
    </row>
    <row r="573" spans="16:17" ht="28.5" customHeight="1" x14ac:dyDescent="0.3">
      <c r="P573" s="170"/>
      <c r="Q573" s="191"/>
    </row>
    <row r="574" spans="16:17" ht="28.5" customHeight="1" x14ac:dyDescent="0.3">
      <c r="P574" s="170"/>
      <c r="Q574" s="191"/>
    </row>
    <row r="575" spans="16:17" ht="28.5" customHeight="1" x14ac:dyDescent="0.3">
      <c r="P575" s="170"/>
      <c r="Q575" s="191"/>
    </row>
    <row r="576" spans="16:17" ht="28.5" customHeight="1" x14ac:dyDescent="0.3">
      <c r="P576" s="170"/>
      <c r="Q576" s="191"/>
    </row>
    <row r="577" spans="16:17" ht="28.5" customHeight="1" x14ac:dyDescent="0.3">
      <c r="P577" s="170"/>
      <c r="Q577" s="191"/>
    </row>
    <row r="578" spans="16:17" ht="28.5" customHeight="1" x14ac:dyDescent="0.3">
      <c r="P578" s="170"/>
      <c r="Q578" s="191"/>
    </row>
    <row r="579" spans="16:17" ht="28.5" customHeight="1" x14ac:dyDescent="0.3">
      <c r="P579" s="170"/>
      <c r="Q579" s="191"/>
    </row>
    <row r="580" spans="16:17" ht="28.5" customHeight="1" x14ac:dyDescent="0.3">
      <c r="P580" s="170"/>
      <c r="Q580" s="191"/>
    </row>
    <row r="581" spans="16:17" ht="28.5" customHeight="1" x14ac:dyDescent="0.3">
      <c r="P581" s="170"/>
      <c r="Q581" s="191"/>
    </row>
    <row r="582" spans="16:17" ht="28.5" customHeight="1" x14ac:dyDescent="0.3">
      <c r="P582" s="170"/>
      <c r="Q582" s="191"/>
    </row>
    <row r="583" spans="16:17" ht="28.5" customHeight="1" x14ac:dyDescent="0.3">
      <c r="P583" s="170"/>
      <c r="Q583" s="191"/>
    </row>
    <row r="584" spans="16:17" ht="28.5" customHeight="1" x14ac:dyDescent="0.3">
      <c r="P584" s="170"/>
      <c r="Q584" s="191"/>
    </row>
    <row r="585" spans="16:17" ht="28.5" customHeight="1" x14ac:dyDescent="0.3">
      <c r="P585" s="170"/>
      <c r="Q585" s="191"/>
    </row>
    <row r="586" spans="16:17" ht="28.5" customHeight="1" x14ac:dyDescent="0.3">
      <c r="P586" s="170"/>
      <c r="Q586" s="191"/>
    </row>
    <row r="587" spans="16:17" ht="28.5" customHeight="1" x14ac:dyDescent="0.3">
      <c r="P587" s="170"/>
      <c r="Q587" s="191"/>
    </row>
    <row r="588" spans="16:17" ht="28.5" customHeight="1" x14ac:dyDescent="0.3">
      <c r="P588" s="170"/>
      <c r="Q588" s="191"/>
    </row>
    <row r="589" spans="16:17" ht="28.5" customHeight="1" x14ac:dyDescent="0.3">
      <c r="P589" s="170"/>
      <c r="Q589" s="191"/>
    </row>
    <row r="590" spans="16:17" ht="28.5" customHeight="1" x14ac:dyDescent="0.3">
      <c r="P590" s="170"/>
      <c r="Q590" s="191"/>
    </row>
    <row r="591" spans="16:17" ht="28.5" customHeight="1" x14ac:dyDescent="0.3">
      <c r="P591" s="170"/>
      <c r="Q591" s="191"/>
    </row>
    <row r="592" spans="16:17" ht="28.5" customHeight="1" x14ac:dyDescent="0.3">
      <c r="P592" s="170"/>
      <c r="Q592" s="191"/>
    </row>
    <row r="593" spans="16:17" ht="28.5" customHeight="1" x14ac:dyDescent="0.3">
      <c r="P593" s="170"/>
      <c r="Q593" s="191"/>
    </row>
    <row r="594" spans="16:17" ht="28.5" customHeight="1" x14ac:dyDescent="0.3">
      <c r="P594" s="170"/>
      <c r="Q594" s="191"/>
    </row>
    <row r="595" spans="16:17" ht="28.5" customHeight="1" x14ac:dyDescent="0.3">
      <c r="P595" s="170"/>
      <c r="Q595" s="191"/>
    </row>
    <row r="596" spans="16:17" ht="28.5" customHeight="1" x14ac:dyDescent="0.3">
      <c r="P596" s="170"/>
      <c r="Q596" s="191"/>
    </row>
    <row r="597" spans="16:17" ht="28.5" customHeight="1" x14ac:dyDescent="0.3">
      <c r="P597" s="170"/>
      <c r="Q597" s="191"/>
    </row>
    <row r="598" spans="16:17" ht="28.5" customHeight="1" x14ac:dyDescent="0.3">
      <c r="P598" s="170"/>
      <c r="Q598" s="191"/>
    </row>
    <row r="599" spans="16:17" ht="28.5" customHeight="1" x14ac:dyDescent="0.3">
      <c r="P599" s="170"/>
      <c r="Q599" s="191"/>
    </row>
    <row r="600" spans="16:17" ht="28.5" customHeight="1" x14ac:dyDescent="0.3">
      <c r="P600" s="170"/>
      <c r="Q600" s="191"/>
    </row>
    <row r="601" spans="16:17" ht="28.5" customHeight="1" x14ac:dyDescent="0.3">
      <c r="P601" s="170"/>
      <c r="Q601" s="191"/>
    </row>
    <row r="602" spans="16:17" ht="28.5" customHeight="1" x14ac:dyDescent="0.3">
      <c r="P602" s="170"/>
      <c r="Q602" s="191"/>
    </row>
    <row r="603" spans="16:17" ht="28.5" customHeight="1" x14ac:dyDescent="0.3">
      <c r="P603" s="170"/>
      <c r="Q603" s="191"/>
    </row>
    <row r="604" spans="16:17" ht="28.5" customHeight="1" x14ac:dyDescent="0.3">
      <c r="P604" s="170"/>
      <c r="Q604" s="191"/>
    </row>
    <row r="605" spans="16:17" ht="28.5" customHeight="1" x14ac:dyDescent="0.3">
      <c r="P605" s="170"/>
      <c r="Q605" s="191"/>
    </row>
    <row r="606" spans="16:17" ht="28.5" customHeight="1" x14ac:dyDescent="0.3">
      <c r="P606" s="170"/>
      <c r="Q606" s="191"/>
    </row>
    <row r="607" spans="16:17" ht="28.5" customHeight="1" x14ac:dyDescent="0.3">
      <c r="P607" s="170"/>
      <c r="Q607" s="191"/>
    </row>
    <row r="608" spans="16:17" ht="28.5" customHeight="1" x14ac:dyDescent="0.3">
      <c r="P608" s="170"/>
      <c r="Q608" s="191"/>
    </row>
    <row r="609" spans="16:17" ht="28.5" customHeight="1" x14ac:dyDescent="0.3">
      <c r="P609" s="170"/>
      <c r="Q609" s="191"/>
    </row>
    <row r="610" spans="16:17" ht="28.5" customHeight="1" x14ac:dyDescent="0.3">
      <c r="P610" s="170"/>
      <c r="Q610" s="191"/>
    </row>
    <row r="611" spans="16:17" ht="28.5" customHeight="1" x14ac:dyDescent="0.3">
      <c r="P611" s="170"/>
      <c r="Q611" s="191"/>
    </row>
    <row r="612" spans="16:17" ht="28.5" customHeight="1" x14ac:dyDescent="0.3">
      <c r="P612" s="170"/>
      <c r="Q612" s="191"/>
    </row>
    <row r="613" spans="16:17" ht="28.5" customHeight="1" x14ac:dyDescent="0.3">
      <c r="P613" s="170"/>
      <c r="Q613" s="191"/>
    </row>
    <row r="614" spans="16:17" ht="28.5" customHeight="1" x14ac:dyDescent="0.3">
      <c r="P614" s="170"/>
      <c r="Q614" s="191"/>
    </row>
    <row r="615" spans="16:17" ht="28.5" customHeight="1" x14ac:dyDescent="0.3">
      <c r="P615" s="170"/>
      <c r="Q615" s="191"/>
    </row>
    <row r="616" spans="16:17" ht="28.5" customHeight="1" x14ac:dyDescent="0.3">
      <c r="P616" s="170"/>
      <c r="Q616" s="191"/>
    </row>
    <row r="617" spans="16:17" ht="28.5" customHeight="1" x14ac:dyDescent="0.3">
      <c r="P617" s="170"/>
      <c r="Q617" s="191"/>
    </row>
    <row r="618" spans="16:17" ht="28.5" customHeight="1" x14ac:dyDescent="0.3">
      <c r="P618" s="170"/>
      <c r="Q618" s="191"/>
    </row>
    <row r="619" spans="16:17" ht="28.5" customHeight="1" x14ac:dyDescent="0.3">
      <c r="P619" s="170"/>
      <c r="Q619" s="191"/>
    </row>
    <row r="620" spans="16:17" ht="28.5" customHeight="1" x14ac:dyDescent="0.3">
      <c r="P620" s="170"/>
      <c r="Q620" s="191"/>
    </row>
    <row r="621" spans="16:17" ht="28.5" customHeight="1" x14ac:dyDescent="0.3">
      <c r="P621" s="170"/>
      <c r="Q621" s="191"/>
    </row>
    <row r="622" spans="16:17" ht="28.5" customHeight="1" x14ac:dyDescent="0.3">
      <c r="P622" s="170"/>
      <c r="Q622" s="191"/>
    </row>
    <row r="623" spans="16:17" ht="28.5" customHeight="1" x14ac:dyDescent="0.3">
      <c r="P623" s="170"/>
      <c r="Q623" s="191"/>
    </row>
    <row r="624" spans="16:17" ht="28.5" customHeight="1" x14ac:dyDescent="0.3">
      <c r="P624" s="170"/>
      <c r="Q624" s="191"/>
    </row>
    <row r="625" spans="16:17" ht="28.5" customHeight="1" x14ac:dyDescent="0.3">
      <c r="P625" s="170"/>
      <c r="Q625" s="191"/>
    </row>
    <row r="626" spans="16:17" ht="28.5" customHeight="1" x14ac:dyDescent="0.3">
      <c r="P626" s="170"/>
      <c r="Q626" s="191"/>
    </row>
    <row r="627" spans="16:17" ht="28.5" customHeight="1" x14ac:dyDescent="0.3">
      <c r="P627" s="170"/>
      <c r="Q627" s="191"/>
    </row>
    <row r="628" spans="16:17" ht="28.5" customHeight="1" x14ac:dyDescent="0.3">
      <c r="P628" s="170"/>
      <c r="Q628" s="191"/>
    </row>
    <row r="629" spans="16:17" ht="28.5" customHeight="1" x14ac:dyDescent="0.3">
      <c r="P629" s="170"/>
      <c r="Q629" s="191"/>
    </row>
    <row r="630" spans="16:17" ht="28.5" customHeight="1" x14ac:dyDescent="0.3">
      <c r="P630" s="170"/>
      <c r="Q630" s="191"/>
    </row>
    <row r="631" spans="16:17" ht="28.5" customHeight="1" x14ac:dyDescent="0.3">
      <c r="P631" s="170"/>
      <c r="Q631" s="191"/>
    </row>
    <row r="632" spans="16:17" ht="28.5" customHeight="1" x14ac:dyDescent="0.3">
      <c r="P632" s="170"/>
      <c r="Q632" s="191"/>
    </row>
    <row r="633" spans="16:17" ht="28.5" customHeight="1" x14ac:dyDescent="0.3">
      <c r="P633" s="170"/>
      <c r="Q633" s="191"/>
    </row>
    <row r="634" spans="16:17" ht="28.5" customHeight="1" x14ac:dyDescent="0.3">
      <c r="P634" s="170"/>
      <c r="Q634" s="191"/>
    </row>
    <row r="635" spans="16:17" ht="28.5" customHeight="1" x14ac:dyDescent="0.3">
      <c r="P635" s="170"/>
      <c r="Q635" s="191"/>
    </row>
    <row r="636" spans="16:17" ht="28.5" customHeight="1" x14ac:dyDescent="0.3">
      <c r="P636" s="170"/>
      <c r="Q636" s="191"/>
    </row>
    <row r="637" spans="16:17" ht="28.5" customHeight="1" x14ac:dyDescent="0.3">
      <c r="P637" s="170"/>
      <c r="Q637" s="191"/>
    </row>
    <row r="638" spans="16:17" ht="28.5" customHeight="1" x14ac:dyDescent="0.3">
      <c r="P638" s="170"/>
      <c r="Q638" s="191"/>
    </row>
    <row r="639" spans="16:17" ht="28.5" customHeight="1" x14ac:dyDescent="0.3">
      <c r="P639" s="170"/>
      <c r="Q639" s="191"/>
    </row>
    <row r="640" spans="16:17" ht="28.5" customHeight="1" x14ac:dyDescent="0.3">
      <c r="P640" s="170"/>
      <c r="Q640" s="191"/>
    </row>
    <row r="641" spans="16:17" ht="28.5" customHeight="1" x14ac:dyDescent="0.3">
      <c r="P641" s="170"/>
      <c r="Q641" s="191"/>
    </row>
    <row r="642" spans="16:17" ht="28.5" customHeight="1" x14ac:dyDescent="0.3">
      <c r="P642" s="170"/>
      <c r="Q642" s="191"/>
    </row>
    <row r="643" spans="16:17" ht="28.5" customHeight="1" x14ac:dyDescent="0.3">
      <c r="P643" s="170"/>
      <c r="Q643" s="191"/>
    </row>
    <row r="644" spans="16:17" ht="28.5" customHeight="1" x14ac:dyDescent="0.3">
      <c r="P644" s="170"/>
      <c r="Q644" s="191"/>
    </row>
    <row r="645" spans="16:17" ht="28.5" customHeight="1" x14ac:dyDescent="0.3">
      <c r="P645" s="170"/>
      <c r="Q645" s="191"/>
    </row>
    <row r="646" spans="16:17" ht="28.5" customHeight="1" x14ac:dyDescent="0.3">
      <c r="P646" s="170"/>
      <c r="Q646" s="191"/>
    </row>
    <row r="647" spans="16:17" ht="28.5" customHeight="1" x14ac:dyDescent="0.3">
      <c r="P647" s="170"/>
      <c r="Q647" s="191"/>
    </row>
    <row r="648" spans="16:17" ht="28.5" customHeight="1" x14ac:dyDescent="0.3">
      <c r="P648" s="170"/>
      <c r="Q648" s="191"/>
    </row>
    <row r="649" spans="16:17" ht="28.5" customHeight="1" x14ac:dyDescent="0.3">
      <c r="P649" s="170"/>
      <c r="Q649" s="191"/>
    </row>
    <row r="650" spans="16:17" ht="28.5" customHeight="1" x14ac:dyDescent="0.3">
      <c r="P650" s="170"/>
      <c r="Q650" s="191"/>
    </row>
    <row r="651" spans="16:17" ht="28.5" customHeight="1" x14ac:dyDescent="0.3">
      <c r="P651" s="170"/>
      <c r="Q651" s="191"/>
    </row>
    <row r="652" spans="16:17" ht="28.5" customHeight="1" x14ac:dyDescent="0.3">
      <c r="P652" s="170"/>
      <c r="Q652" s="191"/>
    </row>
    <row r="653" spans="16:17" ht="28.5" customHeight="1" x14ac:dyDescent="0.3">
      <c r="P653" s="170"/>
      <c r="Q653" s="191"/>
    </row>
    <row r="654" spans="16:17" ht="28.5" customHeight="1" x14ac:dyDescent="0.3">
      <c r="P654" s="170"/>
      <c r="Q654" s="191"/>
    </row>
    <row r="655" spans="16:17" ht="28.5" customHeight="1" x14ac:dyDescent="0.3">
      <c r="P655" s="170"/>
      <c r="Q655" s="191"/>
    </row>
    <row r="656" spans="16:17" ht="28.5" customHeight="1" x14ac:dyDescent="0.3">
      <c r="P656" s="170"/>
      <c r="Q656" s="191"/>
    </row>
    <row r="657" spans="16:17" ht="28.5" customHeight="1" x14ac:dyDescent="0.3">
      <c r="P657" s="170"/>
      <c r="Q657" s="191"/>
    </row>
    <row r="658" spans="16:17" ht="28.5" customHeight="1" x14ac:dyDescent="0.3">
      <c r="P658" s="170"/>
      <c r="Q658" s="191"/>
    </row>
    <row r="659" spans="16:17" ht="28.5" customHeight="1" x14ac:dyDescent="0.3">
      <c r="P659" s="170"/>
      <c r="Q659" s="191"/>
    </row>
    <row r="660" spans="16:17" ht="28.5" customHeight="1" x14ac:dyDescent="0.3">
      <c r="P660" s="170"/>
      <c r="Q660" s="191"/>
    </row>
    <row r="661" spans="16:17" ht="28.5" customHeight="1" x14ac:dyDescent="0.3">
      <c r="P661" s="170"/>
      <c r="Q661" s="191"/>
    </row>
    <row r="662" spans="16:17" ht="28.5" customHeight="1" x14ac:dyDescent="0.3">
      <c r="P662" s="170"/>
      <c r="Q662" s="191"/>
    </row>
    <row r="663" spans="16:17" ht="28.5" customHeight="1" x14ac:dyDescent="0.3">
      <c r="P663" s="170"/>
      <c r="Q663" s="191"/>
    </row>
    <row r="664" spans="16:17" ht="28.5" customHeight="1" x14ac:dyDescent="0.3">
      <c r="P664" s="170"/>
      <c r="Q664" s="191"/>
    </row>
    <row r="665" spans="16:17" ht="28.5" customHeight="1" x14ac:dyDescent="0.3">
      <c r="P665" s="170"/>
      <c r="Q665" s="191"/>
    </row>
    <row r="666" spans="16:17" ht="28.5" customHeight="1" x14ac:dyDescent="0.3">
      <c r="P666" s="170"/>
      <c r="Q666" s="191"/>
    </row>
    <row r="667" spans="16:17" ht="28.5" customHeight="1" x14ac:dyDescent="0.3">
      <c r="P667" s="170"/>
      <c r="Q667" s="191"/>
    </row>
    <row r="668" spans="16:17" ht="28.5" customHeight="1" x14ac:dyDescent="0.3">
      <c r="P668" s="170"/>
      <c r="Q668" s="191"/>
    </row>
    <row r="669" spans="16:17" ht="28.5" customHeight="1" x14ac:dyDescent="0.3">
      <c r="P669" s="170"/>
      <c r="Q669" s="191"/>
    </row>
    <row r="670" spans="16:17" ht="28.5" customHeight="1" x14ac:dyDescent="0.3">
      <c r="P670" s="170"/>
      <c r="Q670" s="191"/>
    </row>
    <row r="671" spans="16:17" ht="28.5" customHeight="1" x14ac:dyDescent="0.3">
      <c r="P671" s="170"/>
      <c r="Q671" s="191"/>
    </row>
    <row r="672" spans="16:17" ht="28.5" customHeight="1" x14ac:dyDescent="0.3">
      <c r="P672" s="170"/>
      <c r="Q672" s="191"/>
    </row>
    <row r="673" spans="16:17" ht="28.5" customHeight="1" x14ac:dyDescent="0.3">
      <c r="P673" s="170"/>
      <c r="Q673" s="191"/>
    </row>
    <row r="674" spans="16:17" ht="28.5" customHeight="1" x14ac:dyDescent="0.3">
      <c r="P674" s="170"/>
      <c r="Q674" s="191"/>
    </row>
    <row r="675" spans="16:17" ht="28.5" customHeight="1" x14ac:dyDescent="0.3">
      <c r="P675" s="170"/>
      <c r="Q675" s="191"/>
    </row>
    <row r="676" spans="16:17" ht="28.5" customHeight="1" x14ac:dyDescent="0.3">
      <c r="P676" s="170"/>
      <c r="Q676" s="191"/>
    </row>
    <row r="677" spans="16:17" ht="28.5" customHeight="1" x14ac:dyDescent="0.3">
      <c r="P677" s="170"/>
      <c r="Q677" s="191"/>
    </row>
    <row r="678" spans="16:17" ht="28.5" customHeight="1" x14ac:dyDescent="0.3">
      <c r="P678" s="170"/>
      <c r="Q678" s="191"/>
    </row>
    <row r="679" spans="16:17" ht="28.5" customHeight="1" x14ac:dyDescent="0.3">
      <c r="P679" s="170"/>
      <c r="Q679" s="191"/>
    </row>
    <row r="680" spans="16:17" ht="28.5" customHeight="1" x14ac:dyDescent="0.3">
      <c r="P680" s="170"/>
      <c r="Q680" s="191"/>
    </row>
    <row r="681" spans="16:17" ht="28.5" customHeight="1" x14ac:dyDescent="0.3">
      <c r="P681" s="170"/>
      <c r="Q681" s="191"/>
    </row>
    <row r="682" spans="16:17" ht="28.5" customHeight="1" x14ac:dyDescent="0.3">
      <c r="P682" s="170"/>
      <c r="Q682" s="191"/>
    </row>
    <row r="683" spans="16:17" ht="28.5" customHeight="1" x14ac:dyDescent="0.3">
      <c r="P683" s="170"/>
      <c r="Q683" s="191"/>
    </row>
    <row r="684" spans="16:17" ht="28.5" customHeight="1" x14ac:dyDescent="0.3">
      <c r="P684" s="170"/>
      <c r="Q684" s="191"/>
    </row>
    <row r="685" spans="16:17" ht="28.5" customHeight="1" x14ac:dyDescent="0.3">
      <c r="P685" s="170"/>
      <c r="Q685" s="191"/>
    </row>
    <row r="686" spans="16:17" ht="28.5" customHeight="1" x14ac:dyDescent="0.3">
      <c r="P686" s="170"/>
      <c r="Q686" s="191"/>
    </row>
    <row r="687" spans="16:17" ht="28.5" customHeight="1" x14ac:dyDescent="0.3">
      <c r="P687" s="170"/>
      <c r="Q687" s="191"/>
    </row>
    <row r="688" spans="16:17" ht="28.5" customHeight="1" x14ac:dyDescent="0.3">
      <c r="P688" s="170"/>
      <c r="Q688" s="191"/>
    </row>
    <row r="689" spans="16:17" ht="28.5" customHeight="1" x14ac:dyDescent="0.3">
      <c r="P689" s="170"/>
      <c r="Q689" s="191"/>
    </row>
    <row r="690" spans="16:17" ht="28.5" customHeight="1" x14ac:dyDescent="0.3">
      <c r="P690" s="170"/>
      <c r="Q690" s="191"/>
    </row>
    <row r="691" spans="16:17" ht="28.5" customHeight="1" x14ac:dyDescent="0.3">
      <c r="P691" s="170"/>
      <c r="Q691" s="191"/>
    </row>
    <row r="692" spans="16:17" ht="28.5" customHeight="1" x14ac:dyDescent="0.3">
      <c r="P692" s="170"/>
      <c r="Q692" s="191"/>
    </row>
    <row r="693" spans="16:17" ht="28.5" customHeight="1" x14ac:dyDescent="0.3">
      <c r="P693" s="170"/>
      <c r="Q693" s="191"/>
    </row>
    <row r="694" spans="16:17" ht="28.5" customHeight="1" x14ac:dyDescent="0.3">
      <c r="P694" s="170"/>
      <c r="Q694" s="191"/>
    </row>
    <row r="695" spans="16:17" ht="28.5" customHeight="1" x14ac:dyDescent="0.3">
      <c r="P695" s="170"/>
      <c r="Q695" s="191"/>
    </row>
    <row r="696" spans="16:17" ht="28.5" customHeight="1" x14ac:dyDescent="0.3">
      <c r="P696" s="170"/>
      <c r="Q696" s="191"/>
    </row>
    <row r="697" spans="16:17" ht="28.5" customHeight="1" x14ac:dyDescent="0.3">
      <c r="P697" s="170"/>
      <c r="Q697" s="191"/>
    </row>
  </sheetData>
  <autoFilter ref="A5:CJ104" xr:uid="{00000000-0009-0000-0000-00000A000000}">
    <filterColumn colId="0" hiddenButton="1"/>
  </autoFilter>
  <mergeCells count="132">
    <mergeCell ref="BO1:BS1"/>
    <mergeCell ref="BW1:CA1"/>
    <mergeCell ref="CE1:CI1"/>
    <mergeCell ref="A2:E2"/>
    <mergeCell ref="F2:I2"/>
    <mergeCell ref="J2:M2"/>
    <mergeCell ref="N2:O2"/>
    <mergeCell ref="BO2:BP2"/>
    <mergeCell ref="BR2:BS2"/>
    <mergeCell ref="BW2:BX2"/>
    <mergeCell ref="BZ2:CA2"/>
    <mergeCell ref="CE2:CF2"/>
    <mergeCell ref="CH2:CI2"/>
    <mergeCell ref="D3:E3"/>
    <mergeCell ref="F3:G4"/>
    <mergeCell ref="H3:I4"/>
    <mergeCell ref="J3:J4"/>
    <mergeCell ref="K3:K4"/>
    <mergeCell ref="L3:L4"/>
    <mergeCell ref="M3:M4"/>
    <mergeCell ref="N3:N4"/>
    <mergeCell ref="O3:O4"/>
    <mergeCell ref="D4:E4"/>
    <mergeCell ref="R3:S4"/>
    <mergeCell ref="U3:V4"/>
    <mergeCell ref="X3:Y4"/>
    <mergeCell ref="AA3:AL4"/>
    <mergeCell ref="AN3:AY4"/>
    <mergeCell ref="BA3:BL4"/>
    <mergeCell ref="BO3:BS4"/>
    <mergeCell ref="BW3:CA4"/>
    <mergeCell ref="CE3:CI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104:E10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</mergeCells>
  <hyperlinks>
    <hyperlink ref="B1" location="PAINEL!A1" tooltip="Voltar ao Painel de Navegação" display="⬅ PAINEL" xr:uid="{34FFEB5F-9FC9-4E30-A7AA-971CCEECE8E2}"/>
    <hyperlink ref="C1" location="PAINEL!A1" tooltip="Voltar ao Painel de Navegação" display="⬅ PAINEL" xr:uid="{26A852CC-3A23-4C20-8087-5FA07E9CC325}"/>
  </hyperlinks>
  <printOptions horizontalCentered="1" verticalCentered="1"/>
  <pageMargins left="3.9583333333333297E-2" right="3.9583333333333297E-2" top="3.9583333333333297E-2" bottom="3.9583333333333297E-2" header="0.511811023622047" footer="0.511811023622047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BY346"/>
  <sheetViews>
    <sheetView zoomScale="85" zoomScaleNormal="85" workbookViewId="0">
      <pane ySplit="6" topLeftCell="A7" activePane="bottomLeft" state="frozen"/>
      <selection activeCell="U1" sqref="U1"/>
      <selection pane="bottomLeft" activeCell="AD3" sqref="AD3"/>
    </sheetView>
  </sheetViews>
  <sheetFormatPr defaultColWidth="8.5546875" defaultRowHeight="23.4" x14ac:dyDescent="0.3"/>
  <cols>
    <col min="1" max="1" width="23.109375" style="184" bestFit="1" customWidth="1"/>
    <col min="2" max="2" width="31.33203125" style="185" customWidth="1"/>
    <col min="3" max="3" width="21.6640625" style="185" customWidth="1"/>
    <col min="4" max="4" width="14.6640625" style="186" customWidth="1"/>
    <col min="5" max="5" width="14.6640625" style="185" customWidth="1"/>
    <col min="6" max="6" width="19.109375" style="186" customWidth="1"/>
    <col min="7" max="11" width="20.33203125" style="186" customWidth="1"/>
    <col min="12" max="12" width="32.109375" style="186" customWidth="1"/>
    <col min="13" max="13" width="28.5546875" style="186" customWidth="1"/>
    <col min="14" max="14" width="20.33203125" style="186" customWidth="1"/>
    <col min="15" max="15" width="31.33203125" style="186" customWidth="1"/>
    <col min="16" max="16" width="20.33203125" style="186" customWidth="1"/>
    <col min="17" max="18" width="13.44140625" style="188" customWidth="1"/>
    <col min="19" max="19" width="20" style="43" customWidth="1"/>
    <col min="20" max="20" width="21.109375" style="43" customWidth="1"/>
    <col min="21" max="27" width="13.44140625" style="43" customWidth="1"/>
    <col min="28" max="28" width="21.33203125" style="43" customWidth="1"/>
    <col min="29" max="33" width="13.44140625" style="43" customWidth="1"/>
    <col min="34" max="35" width="14" style="248" customWidth="1"/>
    <col min="36" max="36" width="8" style="248" customWidth="1"/>
    <col min="37" max="37" width="14" style="43" customWidth="1"/>
    <col min="38" max="41" width="15" style="43" customWidth="1"/>
    <col min="42" max="42" width="45.6640625" style="43" customWidth="1"/>
    <col min="43" max="43" width="8.88671875" style="43" customWidth="1"/>
    <col min="44" max="77" width="8.5546875" style="23"/>
  </cols>
  <sheetData>
    <row r="1" spans="1:77" ht="19.95" customHeight="1" x14ac:dyDescent="0.3">
      <c r="A1" s="357" t="s">
        <v>1757</v>
      </c>
    </row>
    <row r="2" spans="1:77" ht="71.25" customHeight="1" x14ac:dyDescent="0.3">
      <c r="A2" s="485" t="s">
        <v>1357</v>
      </c>
      <c r="B2" s="485"/>
      <c r="C2" s="496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191"/>
      <c r="S2" s="465"/>
      <c r="T2" s="465"/>
      <c r="AH2" s="466"/>
      <c r="AI2" s="466" t="s">
        <v>1217</v>
      </c>
      <c r="AJ2" s="466"/>
      <c r="AK2" s="466"/>
      <c r="AP2" s="497" t="s">
        <v>1358</v>
      </c>
      <c r="AQ2" s="497"/>
      <c r="AR2" s="497"/>
      <c r="AS2" s="497"/>
      <c r="AT2" s="497"/>
    </row>
    <row r="3" spans="1:77" ht="82.5" customHeight="1" x14ac:dyDescent="0.3">
      <c r="A3" s="498" t="s">
        <v>1359</v>
      </c>
      <c r="B3" s="498"/>
      <c r="C3" s="498"/>
      <c r="D3" s="498"/>
      <c r="E3" s="498"/>
      <c r="F3" s="498"/>
      <c r="G3" s="498"/>
      <c r="H3" s="485" t="s">
        <v>1360</v>
      </c>
      <c r="I3" s="485"/>
      <c r="J3" s="485"/>
      <c r="K3" s="485"/>
      <c r="L3" s="485" t="s">
        <v>1361</v>
      </c>
      <c r="M3" s="485"/>
      <c r="N3" s="485"/>
      <c r="O3" s="485"/>
      <c r="P3" s="485" t="s">
        <v>1362</v>
      </c>
      <c r="Q3" s="485"/>
      <c r="R3" s="191"/>
      <c r="S3" s="249"/>
      <c r="T3" s="249"/>
      <c r="AH3" s="466"/>
      <c r="AI3" s="466"/>
      <c r="AJ3" s="466"/>
      <c r="AK3" s="466"/>
      <c r="AP3" s="23"/>
    </row>
    <row r="4" spans="1:77" ht="54.75" customHeight="1" x14ac:dyDescent="0.3">
      <c r="A4" s="318" t="s">
        <v>1758</v>
      </c>
      <c r="B4" s="200"/>
      <c r="C4" s="250" t="s">
        <v>1363</v>
      </c>
      <c r="D4" s="493" t="s">
        <v>1364</v>
      </c>
      <c r="E4" s="493"/>
      <c r="F4" s="494" t="s">
        <v>1365</v>
      </c>
      <c r="G4" s="494"/>
      <c r="H4" s="477" t="s">
        <v>1834</v>
      </c>
      <c r="I4" s="477"/>
      <c r="J4" s="478">
        <f>PARÂMETROS!$E$22</f>
        <v>42.37</v>
      </c>
      <c r="K4" s="478"/>
      <c r="L4" s="477" t="s">
        <v>1835</v>
      </c>
      <c r="M4" s="477"/>
      <c r="N4" s="492">
        <f>PARÂMETROS!$E$8</f>
        <v>30.89</v>
      </c>
      <c r="O4" s="492"/>
      <c r="P4" s="479" t="s">
        <v>1836</v>
      </c>
      <c r="Q4" s="480">
        <f>PARÂMETROS!$E$27</f>
        <v>3</v>
      </c>
      <c r="R4" s="191"/>
      <c r="S4" s="473" t="s">
        <v>1366</v>
      </c>
      <c r="T4" s="473"/>
      <c r="V4" s="495" t="s">
        <v>1367</v>
      </c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248"/>
      <c r="AI4" s="489" t="s">
        <v>1368</v>
      </c>
      <c r="AJ4" s="489"/>
      <c r="AK4" s="489"/>
      <c r="AP4" s="23"/>
    </row>
    <row r="5" spans="1:77" ht="27.75" customHeight="1" x14ac:dyDescent="0.3">
      <c r="A5" s="359"/>
      <c r="B5" s="361"/>
      <c r="C5" s="252">
        <f>PARÂMETROS!$E$23</f>
        <v>19.59</v>
      </c>
      <c r="D5" s="490">
        <f>PARÂMETROS!$E$24</f>
        <v>19.59</v>
      </c>
      <c r="E5" s="490"/>
      <c r="F5" s="491">
        <f>PARÂMETROS!$E$25</f>
        <v>19.59</v>
      </c>
      <c r="G5" s="491"/>
      <c r="H5" s="477"/>
      <c r="I5" s="477"/>
      <c r="J5" s="478"/>
      <c r="K5" s="478"/>
      <c r="L5" s="477"/>
      <c r="M5" s="477"/>
      <c r="N5" s="492"/>
      <c r="O5" s="492"/>
      <c r="P5" s="479"/>
      <c r="Q5" s="480"/>
      <c r="R5" s="191"/>
      <c r="S5" s="473"/>
      <c r="T5" s="473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O5" s="366" t="s">
        <v>1816</v>
      </c>
    </row>
    <row r="6" spans="1:77" s="223" customFormat="1" ht="39" customHeight="1" x14ac:dyDescent="0.3">
      <c r="A6" s="204" t="s">
        <v>10</v>
      </c>
      <c r="B6" s="205" t="s">
        <v>1235</v>
      </c>
      <c r="C6" s="206" t="s">
        <v>1369</v>
      </c>
      <c r="D6" s="253" t="s">
        <v>1370</v>
      </c>
      <c r="E6" s="206" t="s">
        <v>1371</v>
      </c>
      <c r="F6" s="253" t="s">
        <v>1372</v>
      </c>
      <c r="G6" s="254" t="s">
        <v>1373</v>
      </c>
      <c r="H6" s="206" t="s">
        <v>1238</v>
      </c>
      <c r="I6" s="207" t="s">
        <v>1239</v>
      </c>
      <c r="J6" s="206" t="s">
        <v>1240</v>
      </c>
      <c r="K6" s="207" t="s">
        <v>1239</v>
      </c>
      <c r="L6" s="208" t="s">
        <v>1374</v>
      </c>
      <c r="M6" s="209" t="s">
        <v>1241</v>
      </c>
      <c r="N6" s="208" t="s">
        <v>1375</v>
      </c>
      <c r="O6" s="209" t="s">
        <v>1241</v>
      </c>
      <c r="P6" s="208" t="s">
        <v>1242</v>
      </c>
      <c r="Q6" s="209" t="s">
        <v>1243</v>
      </c>
      <c r="R6" s="191"/>
      <c r="S6" s="210" t="s">
        <v>10</v>
      </c>
      <c r="T6" s="211" t="s">
        <v>1120</v>
      </c>
      <c r="U6" s="43"/>
      <c r="V6" s="210" t="s">
        <v>10</v>
      </c>
      <c r="W6" s="255" t="s">
        <v>880</v>
      </c>
      <c r="X6" s="256" t="s">
        <v>1376</v>
      </c>
      <c r="Y6" s="256" t="s">
        <v>1377</v>
      </c>
      <c r="Z6" s="256" t="s">
        <v>1248</v>
      </c>
      <c r="AA6" s="256" t="s">
        <v>1378</v>
      </c>
      <c r="AB6" s="257" t="s">
        <v>1379</v>
      </c>
      <c r="AC6" s="258" t="s">
        <v>1252</v>
      </c>
      <c r="AD6" s="259" t="s">
        <v>1380</v>
      </c>
      <c r="AE6" s="260" t="s">
        <v>1381</v>
      </c>
      <c r="AF6" s="261" t="s">
        <v>1382</v>
      </c>
      <c r="AG6" s="43"/>
      <c r="AH6" s="217" t="s">
        <v>1093</v>
      </c>
      <c r="AI6" s="218" t="s">
        <v>882</v>
      </c>
      <c r="AJ6" s="36" t="s">
        <v>954</v>
      </c>
      <c r="AK6" s="220" t="s">
        <v>955</v>
      </c>
      <c r="AL6" s="262" t="s">
        <v>883</v>
      </c>
      <c r="AM6" s="262" t="s">
        <v>957</v>
      </c>
      <c r="AN6" s="262" t="s">
        <v>1383</v>
      </c>
      <c r="AO6" s="36" t="s">
        <v>954</v>
      </c>
      <c r="AP6" s="43"/>
      <c r="AQ6" s="43"/>
      <c r="AR6" s="43"/>
      <c r="AS6" s="4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</row>
    <row r="7" spans="1:77" s="223" customFormat="1" ht="27" customHeight="1" x14ac:dyDescent="0.3">
      <c r="A7" s="224" t="s">
        <v>196</v>
      </c>
      <c r="B7" s="225" t="s">
        <v>1384</v>
      </c>
      <c r="C7" s="225">
        <v>5.2999999999999999E-2</v>
      </c>
      <c r="D7" s="263">
        <f>C7*D5</f>
        <v>1.03827</v>
      </c>
      <c r="E7" s="225">
        <v>2.4E-2</v>
      </c>
      <c r="F7" s="263">
        <f>E7*F5</f>
        <v>0.47016000000000002</v>
      </c>
      <c r="G7" s="227">
        <f t="shared" ref="G7:G54" si="0">D7+F7</f>
        <v>1.5084300000000002</v>
      </c>
      <c r="H7" s="228">
        <v>3.0000000000000001E-3</v>
      </c>
      <c r="I7" s="227">
        <f>H7*PARÂMETROS!$E$22</f>
        <v>0.12711</v>
      </c>
      <c r="J7" s="228">
        <v>2E-3</v>
      </c>
      <c r="K7" s="227">
        <f>J7*PARÂMETROS!$E$22</f>
        <v>8.4739999999999996E-2</v>
      </c>
      <c r="L7" s="228">
        <f t="shared" ref="L7:L54" si="1">0.1 * H7</f>
        <v>3.0000000000000003E-4</v>
      </c>
      <c r="M7" s="230">
        <f>L7*PARÂMETROS!$E$8</f>
        <v>9.2670000000000009E-3</v>
      </c>
      <c r="N7" s="229">
        <f t="shared" ref="N7:N54" si="2">0.1*J7</f>
        <v>2.0000000000000001E-4</v>
      </c>
      <c r="O7" s="230">
        <f>N7*PARÂMETROS!$E$8</f>
        <v>6.1780000000000003E-3</v>
      </c>
      <c r="P7" s="231">
        <v>0.3</v>
      </c>
      <c r="Q7" s="230">
        <f>P7*PARÂMETROS!$E$27</f>
        <v>0.89999999999999991</v>
      </c>
      <c r="R7" s="191"/>
      <c r="S7" s="232" t="s">
        <v>1385</v>
      </c>
      <c r="T7" s="264">
        <f t="shared" ref="T7:T54" si="3">G7+I7+K7+M7+O7+Q7</f>
        <v>2.6357249999999999</v>
      </c>
      <c r="U7" s="43"/>
      <c r="V7" s="265" t="s">
        <v>196</v>
      </c>
      <c r="W7" s="266">
        <f>PARÂMETROS!$H$3</f>
        <v>40</v>
      </c>
      <c r="X7" s="267">
        <v>4.1666666666666699E-2</v>
      </c>
      <c r="Y7" s="268"/>
      <c r="Z7" s="269">
        <v>2.0833333333333301E-2</v>
      </c>
      <c r="AA7" s="269">
        <v>6.9444444444444397E-3</v>
      </c>
      <c r="AB7" s="269">
        <v>3.125E-2</v>
      </c>
      <c r="AC7" s="270">
        <f t="shared" ref="AC7:AC54" si="4">X7+Y7+Z7+AA7+AB7</f>
        <v>0.10069444444444443</v>
      </c>
      <c r="AD7" s="271">
        <v>8</v>
      </c>
      <c r="AE7" s="266">
        <f t="shared" ref="AE7:AE54" si="5">W7*AC7*24</f>
        <v>96.666666666666657</v>
      </c>
      <c r="AF7" s="272">
        <f t="shared" ref="AF7:AF54" si="6">AE7/AD7</f>
        <v>12.083333333333332</v>
      </c>
      <c r="AG7" s="43"/>
      <c r="AH7" s="273">
        <f t="shared" ref="AH7:AH54" si="7">T7</f>
        <v>2.6357249999999999</v>
      </c>
      <c r="AI7" s="274">
        <f t="shared" ref="AI7:AI54" si="8">AE7</f>
        <v>96.666666666666657</v>
      </c>
      <c r="AJ7" s="275">
        <v>8</v>
      </c>
      <c r="AK7" s="276">
        <f t="shared" ref="AK7:AK54" si="9">IFERROR(AI7/AJ7,0)</f>
        <v>12.083333333333332</v>
      </c>
      <c r="AL7" s="277">
        <f t="shared" ref="AL7:AL54" si="10">AK7+AH7</f>
        <v>14.719058333333333</v>
      </c>
      <c r="AM7" s="278">
        <v>80</v>
      </c>
      <c r="AN7" s="278">
        <f t="shared" ref="AN7:AN54" si="11">AL7+AM7</f>
        <v>94.719058333333336</v>
      </c>
      <c r="AO7" s="275">
        <v>8</v>
      </c>
      <c r="AP7" s="279"/>
      <c r="AQ7" s="43"/>
      <c r="AR7" s="43"/>
      <c r="AS7" s="4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</row>
    <row r="8" spans="1:77" s="223" customFormat="1" ht="27" customHeight="1" x14ac:dyDescent="0.3">
      <c r="A8" s="224" t="s">
        <v>200</v>
      </c>
      <c r="B8" s="225" t="s">
        <v>1384</v>
      </c>
      <c r="C8" s="228">
        <v>0.1</v>
      </c>
      <c r="D8" s="263">
        <f>C8*D5</f>
        <v>1.9590000000000001</v>
      </c>
      <c r="E8" s="228">
        <v>4.4999999999999998E-2</v>
      </c>
      <c r="F8" s="263">
        <f>E8*F5</f>
        <v>0.88154999999999994</v>
      </c>
      <c r="G8" s="227">
        <f t="shared" si="0"/>
        <v>2.8405499999999999</v>
      </c>
      <c r="H8" s="228">
        <v>6.0000000000000001E-3</v>
      </c>
      <c r="I8" s="227">
        <f>H8*PARÂMETROS!$E$22</f>
        <v>0.25422</v>
      </c>
      <c r="J8" s="228">
        <v>2E-3</v>
      </c>
      <c r="K8" s="227">
        <f>J8*PARÂMETROS!$E$22</f>
        <v>8.4739999999999996E-2</v>
      </c>
      <c r="L8" s="228">
        <f t="shared" si="1"/>
        <v>6.0000000000000006E-4</v>
      </c>
      <c r="M8" s="230">
        <f>L8*PARÂMETROS!$E$8</f>
        <v>1.8534000000000002E-2</v>
      </c>
      <c r="N8" s="229">
        <f t="shared" si="2"/>
        <v>2.0000000000000001E-4</v>
      </c>
      <c r="O8" s="230">
        <f>N8*PARÂMETROS!$E$8</f>
        <v>6.1780000000000003E-3</v>
      </c>
      <c r="P8" s="231">
        <v>0.36</v>
      </c>
      <c r="Q8" s="230">
        <f>P8*PARÂMETROS!$E$27</f>
        <v>1.08</v>
      </c>
      <c r="R8" s="191"/>
      <c r="S8" s="232" t="s">
        <v>1386</v>
      </c>
      <c r="T8" s="264">
        <f t="shared" si="3"/>
        <v>4.2842219999999998</v>
      </c>
      <c r="U8" s="43"/>
      <c r="V8" s="265" t="s">
        <v>200</v>
      </c>
      <c r="W8" s="266">
        <f>PARÂMETROS!$H$3</f>
        <v>40</v>
      </c>
      <c r="X8" s="267">
        <v>4.1666666666666699E-2</v>
      </c>
      <c r="Y8" s="268"/>
      <c r="Z8" s="269">
        <v>2.0833333333333301E-2</v>
      </c>
      <c r="AA8" s="269">
        <v>6.9444444444444397E-3</v>
      </c>
      <c r="AB8" s="269">
        <v>3.125E-2</v>
      </c>
      <c r="AC8" s="270">
        <f t="shared" si="4"/>
        <v>0.10069444444444443</v>
      </c>
      <c r="AD8" s="271">
        <v>8</v>
      </c>
      <c r="AE8" s="266">
        <f t="shared" si="5"/>
        <v>96.666666666666657</v>
      </c>
      <c r="AF8" s="272">
        <f t="shared" si="6"/>
        <v>12.083333333333332</v>
      </c>
      <c r="AG8" s="43"/>
      <c r="AH8" s="273">
        <f t="shared" si="7"/>
        <v>4.2842219999999998</v>
      </c>
      <c r="AI8" s="274">
        <f t="shared" si="8"/>
        <v>96.666666666666657</v>
      </c>
      <c r="AJ8" s="275">
        <v>8</v>
      </c>
      <c r="AK8" s="276">
        <f t="shared" si="9"/>
        <v>12.083333333333332</v>
      </c>
      <c r="AL8" s="277">
        <f t="shared" si="10"/>
        <v>16.367555333333332</v>
      </c>
      <c r="AM8" s="278">
        <v>80</v>
      </c>
      <c r="AN8" s="278">
        <f t="shared" si="11"/>
        <v>96.367555333333328</v>
      </c>
      <c r="AO8" s="275">
        <v>8</v>
      </c>
      <c r="AP8" s="279"/>
      <c r="AQ8" s="43"/>
      <c r="AR8" s="43"/>
      <c r="AS8" s="4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</row>
    <row r="9" spans="1:77" s="223" customFormat="1" ht="27" customHeight="1" x14ac:dyDescent="0.3">
      <c r="A9" s="224" t="s">
        <v>185</v>
      </c>
      <c r="B9" s="225" t="s">
        <v>1384</v>
      </c>
      <c r="C9" s="228">
        <v>0.16800000000000001</v>
      </c>
      <c r="D9" s="263">
        <f>C9*D5</f>
        <v>3.2911200000000003</v>
      </c>
      <c r="E9" s="228">
        <v>7.5999999999999998E-2</v>
      </c>
      <c r="F9" s="263">
        <f>E9*F5</f>
        <v>1.4888399999999999</v>
      </c>
      <c r="G9" s="227">
        <f t="shared" si="0"/>
        <v>4.77996</v>
      </c>
      <c r="H9" s="228">
        <v>1.0999999999999999E-2</v>
      </c>
      <c r="I9" s="227">
        <f>H9*PARÂMETROS!$E$22</f>
        <v>0.46606999999999993</v>
      </c>
      <c r="J9" s="228">
        <v>2E-3</v>
      </c>
      <c r="K9" s="227">
        <f>J9*PARÂMETROS!$E$22</f>
        <v>8.4739999999999996E-2</v>
      </c>
      <c r="L9" s="228">
        <f t="shared" si="1"/>
        <v>1.1000000000000001E-3</v>
      </c>
      <c r="M9" s="230">
        <f>L9*PARÂMETROS!$E$8</f>
        <v>3.3979000000000002E-2</v>
      </c>
      <c r="N9" s="229">
        <f t="shared" si="2"/>
        <v>2.0000000000000001E-4</v>
      </c>
      <c r="O9" s="230">
        <f>N9*PARÂMETROS!$E$8</f>
        <v>6.1780000000000003E-3</v>
      </c>
      <c r="P9" s="231">
        <v>0.41</v>
      </c>
      <c r="Q9" s="230">
        <f>P9*PARÂMETROS!$E$27</f>
        <v>1.23</v>
      </c>
      <c r="R9" s="191"/>
      <c r="S9" s="232" t="s">
        <v>1387</v>
      </c>
      <c r="T9" s="264">
        <f t="shared" si="3"/>
        <v>6.6009270000000004</v>
      </c>
      <c r="U9" s="43"/>
      <c r="V9" s="265" t="s">
        <v>185</v>
      </c>
      <c r="W9" s="266">
        <f>PARÂMETROS!$H$3</f>
        <v>40</v>
      </c>
      <c r="X9" s="267">
        <v>4.1666666666666699E-2</v>
      </c>
      <c r="Y9" s="268"/>
      <c r="Z9" s="269">
        <v>2.0833333333333301E-2</v>
      </c>
      <c r="AA9" s="269">
        <v>6.9444444444444397E-3</v>
      </c>
      <c r="AB9" s="269">
        <v>3.125E-2</v>
      </c>
      <c r="AC9" s="270">
        <f t="shared" si="4"/>
        <v>0.10069444444444443</v>
      </c>
      <c r="AD9" s="271">
        <v>8</v>
      </c>
      <c r="AE9" s="266">
        <f t="shared" si="5"/>
        <v>96.666666666666657</v>
      </c>
      <c r="AF9" s="272">
        <f t="shared" si="6"/>
        <v>12.083333333333332</v>
      </c>
      <c r="AG9" s="43"/>
      <c r="AH9" s="273">
        <f t="shared" si="7"/>
        <v>6.6009270000000004</v>
      </c>
      <c r="AI9" s="274">
        <f t="shared" si="8"/>
        <v>96.666666666666657</v>
      </c>
      <c r="AJ9" s="275">
        <v>5</v>
      </c>
      <c r="AK9" s="276">
        <f t="shared" si="9"/>
        <v>19.333333333333332</v>
      </c>
      <c r="AL9" s="277">
        <f t="shared" si="10"/>
        <v>25.934260333333334</v>
      </c>
      <c r="AM9" s="278">
        <v>80</v>
      </c>
      <c r="AN9" s="278">
        <f t="shared" si="11"/>
        <v>105.93426033333333</v>
      </c>
      <c r="AO9" s="275">
        <v>5</v>
      </c>
      <c r="AP9" s="43"/>
      <c r="AQ9" s="43"/>
      <c r="AR9" s="43"/>
      <c r="AS9" s="4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</row>
    <row r="10" spans="1:77" s="223" customFormat="1" ht="27" customHeight="1" x14ac:dyDescent="0.3">
      <c r="A10" s="224" t="s">
        <v>39</v>
      </c>
      <c r="B10" s="225" t="s">
        <v>1384</v>
      </c>
      <c r="C10" s="228">
        <v>0.624</v>
      </c>
      <c r="D10" s="263">
        <f>C10*D5</f>
        <v>12.224159999999999</v>
      </c>
      <c r="E10" s="228">
        <v>0.28100000000000003</v>
      </c>
      <c r="F10" s="263">
        <f>E10*F5</f>
        <v>5.5047900000000007</v>
      </c>
      <c r="G10" s="227">
        <f t="shared" si="0"/>
        <v>17.728950000000001</v>
      </c>
      <c r="H10" s="228">
        <v>2.5000000000000001E-2</v>
      </c>
      <c r="I10" s="227">
        <f>H10*PARÂMETROS!$E$22</f>
        <v>1.05925</v>
      </c>
      <c r="J10" s="228">
        <v>2E-3</v>
      </c>
      <c r="K10" s="227">
        <f>J10*PARÂMETROS!$E$22</f>
        <v>8.4739999999999996E-2</v>
      </c>
      <c r="L10" s="228">
        <f t="shared" si="1"/>
        <v>2.5000000000000005E-3</v>
      </c>
      <c r="M10" s="230">
        <f>L10*PARÂMETROS!$E$8</f>
        <v>7.7225000000000016E-2</v>
      </c>
      <c r="N10" s="229">
        <f t="shared" si="2"/>
        <v>2.0000000000000001E-4</v>
      </c>
      <c r="O10" s="230">
        <f>N10*PARÂMETROS!$E$8</f>
        <v>6.1780000000000003E-3</v>
      </c>
      <c r="P10" s="231">
        <v>0.82</v>
      </c>
      <c r="Q10" s="230">
        <f>P10*PARÂMETROS!$E$27</f>
        <v>2.46</v>
      </c>
      <c r="R10" s="191"/>
      <c r="S10" s="232" t="s">
        <v>1388</v>
      </c>
      <c r="T10" s="264">
        <f t="shared" si="3"/>
        <v>21.416342999999998</v>
      </c>
      <c r="U10" s="43"/>
      <c r="V10" s="265" t="s">
        <v>39</v>
      </c>
      <c r="W10" s="266">
        <f>PARÂMETROS!$H$3</f>
        <v>40</v>
      </c>
      <c r="X10" s="267">
        <v>4.1666666666666699E-2</v>
      </c>
      <c r="Y10" s="268"/>
      <c r="Z10" s="269">
        <v>2.0833333333333301E-2</v>
      </c>
      <c r="AA10" s="269">
        <v>6.9444444444444397E-3</v>
      </c>
      <c r="AB10" s="269">
        <v>3.125E-2</v>
      </c>
      <c r="AC10" s="270">
        <f t="shared" si="4"/>
        <v>0.10069444444444443</v>
      </c>
      <c r="AD10" s="271">
        <v>8</v>
      </c>
      <c r="AE10" s="266">
        <f t="shared" si="5"/>
        <v>96.666666666666657</v>
      </c>
      <c r="AF10" s="272">
        <f t="shared" si="6"/>
        <v>12.083333333333332</v>
      </c>
      <c r="AG10" s="43"/>
      <c r="AH10" s="273">
        <f t="shared" si="7"/>
        <v>21.416342999999998</v>
      </c>
      <c r="AI10" s="274">
        <f t="shared" si="8"/>
        <v>96.666666666666657</v>
      </c>
      <c r="AJ10" s="275">
        <v>5</v>
      </c>
      <c r="AK10" s="276">
        <f t="shared" si="9"/>
        <v>19.333333333333332</v>
      </c>
      <c r="AL10" s="277">
        <f t="shared" si="10"/>
        <v>40.749676333333326</v>
      </c>
      <c r="AM10" s="278">
        <v>80</v>
      </c>
      <c r="AN10" s="278">
        <f t="shared" si="11"/>
        <v>120.74967633333333</v>
      </c>
      <c r="AO10" s="275">
        <v>5</v>
      </c>
      <c r="AP10" s="43"/>
      <c r="AQ10" s="43"/>
      <c r="AR10" s="43"/>
      <c r="AS10" s="4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</row>
    <row r="11" spans="1:77" s="223" customFormat="1" ht="27" customHeight="1" x14ac:dyDescent="0.3">
      <c r="A11" s="224" t="s">
        <v>300</v>
      </c>
      <c r="B11" s="225" t="s">
        <v>1384</v>
      </c>
      <c r="C11" s="228">
        <v>0.94799999999999995</v>
      </c>
      <c r="D11" s="263">
        <f>C11*D5</f>
        <v>18.57132</v>
      </c>
      <c r="E11" s="228">
        <v>0.42699999999999999</v>
      </c>
      <c r="F11" s="263">
        <f>E11*F5</f>
        <v>8.3649299999999993</v>
      </c>
      <c r="G11" s="227">
        <f t="shared" si="0"/>
        <v>26.936250000000001</v>
      </c>
      <c r="H11" s="228">
        <v>3.2000000000000001E-2</v>
      </c>
      <c r="I11" s="227">
        <f>H11*PARÂMETROS!$E$22</f>
        <v>1.3558399999999999</v>
      </c>
      <c r="J11" s="228">
        <v>2E-3</v>
      </c>
      <c r="K11" s="227">
        <f>J11*PARÂMETROS!$E$22</f>
        <v>8.4739999999999996E-2</v>
      </c>
      <c r="L11" s="228">
        <f t="shared" si="1"/>
        <v>3.2000000000000002E-3</v>
      </c>
      <c r="M11" s="230">
        <f>L11*PARÂMETROS!$E$8</f>
        <v>9.8848000000000005E-2</v>
      </c>
      <c r="N11" s="229">
        <f t="shared" si="2"/>
        <v>2.0000000000000001E-4</v>
      </c>
      <c r="O11" s="230">
        <f>N11*PARÂMETROS!$E$8</f>
        <v>6.1780000000000003E-3</v>
      </c>
      <c r="P11" s="231">
        <v>0.86</v>
      </c>
      <c r="Q11" s="230">
        <f>P11*PARÂMETROS!$E$27</f>
        <v>2.58</v>
      </c>
      <c r="R11" s="191"/>
      <c r="S11" s="232" t="s">
        <v>1389</v>
      </c>
      <c r="T11" s="264">
        <f t="shared" si="3"/>
        <v>31.061855999999999</v>
      </c>
      <c r="U11" s="43"/>
      <c r="V11" s="265" t="s">
        <v>300</v>
      </c>
      <c r="W11" s="266">
        <f>PARÂMETROS!$H$3</f>
        <v>40</v>
      </c>
      <c r="X11" s="267">
        <v>2.1527777777777798E-2</v>
      </c>
      <c r="Y11" s="268"/>
      <c r="Z11" s="269">
        <v>2.0833333333333301E-2</v>
      </c>
      <c r="AA11" s="269">
        <v>6.9444444444444397E-3</v>
      </c>
      <c r="AB11" s="269">
        <v>3.125E-2</v>
      </c>
      <c r="AC11" s="270">
        <f t="shared" si="4"/>
        <v>8.0555555555555547E-2</v>
      </c>
      <c r="AD11" s="271">
        <v>2</v>
      </c>
      <c r="AE11" s="266">
        <f t="shared" si="5"/>
        <v>77.333333333333329</v>
      </c>
      <c r="AF11" s="272">
        <f t="shared" si="6"/>
        <v>38.666666666666664</v>
      </c>
      <c r="AG11" s="43"/>
      <c r="AH11" s="273">
        <f t="shared" si="7"/>
        <v>31.061855999999999</v>
      </c>
      <c r="AI11" s="274">
        <f t="shared" si="8"/>
        <v>77.333333333333329</v>
      </c>
      <c r="AJ11" s="275">
        <v>5</v>
      </c>
      <c r="AK11" s="276">
        <f t="shared" si="9"/>
        <v>15.466666666666665</v>
      </c>
      <c r="AL11" s="277">
        <f t="shared" si="10"/>
        <v>46.52852266666666</v>
      </c>
      <c r="AM11" s="278">
        <v>80</v>
      </c>
      <c r="AN11" s="278">
        <f t="shared" si="11"/>
        <v>126.52852266666666</v>
      </c>
      <c r="AO11" s="275">
        <v>5</v>
      </c>
      <c r="AP11" s="43"/>
      <c r="AQ11" s="43"/>
      <c r="AR11" s="43"/>
      <c r="AS11" s="4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</row>
    <row r="12" spans="1:77" s="223" customFormat="1" ht="27" customHeight="1" x14ac:dyDescent="0.3">
      <c r="A12" s="224" t="s">
        <v>41</v>
      </c>
      <c r="B12" s="225" t="s">
        <v>1384</v>
      </c>
      <c r="C12" s="228">
        <v>1.3089999999999999</v>
      </c>
      <c r="D12" s="263">
        <f>C12*D5</f>
        <v>25.64331</v>
      </c>
      <c r="E12" s="228">
        <v>0.58899999999999997</v>
      </c>
      <c r="F12" s="263">
        <f>E12*F5</f>
        <v>11.538509999999999</v>
      </c>
      <c r="G12" s="227">
        <f t="shared" si="0"/>
        <v>37.181820000000002</v>
      </c>
      <c r="H12" s="228">
        <v>4.2000000000000003E-2</v>
      </c>
      <c r="I12" s="227">
        <f>H12*PARÂMETROS!$E$22</f>
        <v>1.7795399999999999</v>
      </c>
      <c r="J12" s="228">
        <v>2E-3</v>
      </c>
      <c r="K12" s="227">
        <f>J12*PARÂMETROS!$E$22</f>
        <v>8.4739999999999996E-2</v>
      </c>
      <c r="L12" s="228">
        <f t="shared" si="1"/>
        <v>4.2000000000000006E-3</v>
      </c>
      <c r="M12" s="230">
        <f>L12*PARÂMETROS!$E$8</f>
        <v>0.12973800000000002</v>
      </c>
      <c r="N12" s="229">
        <f t="shared" si="2"/>
        <v>2.0000000000000001E-4</v>
      </c>
      <c r="O12" s="230">
        <f>N12*PARÂMETROS!$E$8</f>
        <v>6.1780000000000003E-3</v>
      </c>
      <c r="P12" s="231">
        <v>0.92</v>
      </c>
      <c r="Q12" s="230">
        <f>P12*PARÂMETROS!$E$27</f>
        <v>2.7600000000000002</v>
      </c>
      <c r="R12" s="191"/>
      <c r="S12" s="232" t="s">
        <v>1390</v>
      </c>
      <c r="T12" s="264">
        <f t="shared" si="3"/>
        <v>41.942015999999995</v>
      </c>
      <c r="U12" s="43"/>
      <c r="V12" s="265" t="s">
        <v>41</v>
      </c>
      <c r="W12" s="266">
        <f>PARÂMETROS!$H$3</f>
        <v>40</v>
      </c>
      <c r="X12" s="267">
        <v>2.1527777777777798E-2</v>
      </c>
      <c r="Y12" s="268"/>
      <c r="Z12" s="269">
        <v>2.0833333333333301E-2</v>
      </c>
      <c r="AA12" s="269">
        <v>6.9444444444444397E-3</v>
      </c>
      <c r="AB12" s="269">
        <v>3.125E-2</v>
      </c>
      <c r="AC12" s="270">
        <f t="shared" si="4"/>
        <v>8.0555555555555547E-2</v>
      </c>
      <c r="AD12" s="271">
        <v>2</v>
      </c>
      <c r="AE12" s="266">
        <f t="shared" si="5"/>
        <v>77.333333333333329</v>
      </c>
      <c r="AF12" s="272">
        <f t="shared" si="6"/>
        <v>38.666666666666664</v>
      </c>
      <c r="AG12" s="43"/>
      <c r="AH12" s="273">
        <f t="shared" si="7"/>
        <v>41.942015999999995</v>
      </c>
      <c r="AI12" s="274">
        <f t="shared" si="8"/>
        <v>77.333333333333329</v>
      </c>
      <c r="AJ12" s="275">
        <v>2</v>
      </c>
      <c r="AK12" s="276">
        <f t="shared" si="9"/>
        <v>38.666666666666664</v>
      </c>
      <c r="AL12" s="277">
        <f t="shared" si="10"/>
        <v>80.608682666666652</v>
      </c>
      <c r="AM12" s="278">
        <v>80</v>
      </c>
      <c r="AN12" s="278">
        <f t="shared" si="11"/>
        <v>160.60868266666665</v>
      </c>
      <c r="AO12" s="275">
        <v>2</v>
      </c>
      <c r="AP12" s="43"/>
      <c r="AQ12" s="43"/>
      <c r="AR12" s="43"/>
      <c r="AS12" s="4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</row>
    <row r="13" spans="1:77" s="223" customFormat="1" ht="27" customHeight="1" x14ac:dyDescent="0.3">
      <c r="A13" s="224" t="s">
        <v>43</v>
      </c>
      <c r="B13" s="225" t="s">
        <v>1384</v>
      </c>
      <c r="C13" s="228">
        <v>2.774</v>
      </c>
      <c r="D13" s="263">
        <f>C13*D5</f>
        <v>54.342660000000002</v>
      </c>
      <c r="E13" s="228">
        <v>1.248</v>
      </c>
      <c r="F13" s="263">
        <f>E13*F5</f>
        <v>24.448319999999999</v>
      </c>
      <c r="G13" s="227">
        <f t="shared" si="0"/>
        <v>78.790980000000005</v>
      </c>
      <c r="H13" s="228">
        <v>6.5000000000000002E-2</v>
      </c>
      <c r="I13" s="227">
        <f>H13*PARÂMETROS!$E$22</f>
        <v>2.7540499999999999</v>
      </c>
      <c r="J13" s="228">
        <v>2E-3</v>
      </c>
      <c r="K13" s="227">
        <f>J13*PARÂMETROS!$E$22</f>
        <v>8.4739999999999996E-2</v>
      </c>
      <c r="L13" s="228">
        <f t="shared" si="1"/>
        <v>6.5000000000000006E-3</v>
      </c>
      <c r="M13" s="230">
        <f>L13*PARÂMETROS!$E$8</f>
        <v>0.20078500000000002</v>
      </c>
      <c r="N13" s="229">
        <f t="shared" si="2"/>
        <v>2.0000000000000001E-4</v>
      </c>
      <c r="O13" s="230">
        <f>N13*PARÂMETROS!$E$8</f>
        <v>6.1780000000000003E-3</v>
      </c>
      <c r="P13" s="231">
        <v>1.02</v>
      </c>
      <c r="Q13" s="230">
        <f>P13*PARÂMETROS!$E$27</f>
        <v>3.06</v>
      </c>
      <c r="R13" s="191"/>
      <c r="S13" s="232" t="s">
        <v>1391</v>
      </c>
      <c r="T13" s="264">
        <f t="shared" si="3"/>
        <v>84.896733000000012</v>
      </c>
      <c r="U13" s="43"/>
      <c r="V13" s="265" t="s">
        <v>43</v>
      </c>
      <c r="W13" s="266">
        <f>PARÂMETROS!$H$3</f>
        <v>40</v>
      </c>
      <c r="X13" s="267">
        <v>2.1527777777777798E-2</v>
      </c>
      <c r="Y13" s="269">
        <v>6.9444444444444397E-3</v>
      </c>
      <c r="Z13" s="269">
        <v>2.0833333333333301E-2</v>
      </c>
      <c r="AA13" s="269">
        <v>6.9444444444444397E-3</v>
      </c>
      <c r="AB13" s="269">
        <v>3.125E-2</v>
      </c>
      <c r="AC13" s="270">
        <f t="shared" si="4"/>
        <v>8.7499999999999981E-2</v>
      </c>
      <c r="AD13" s="271">
        <v>2</v>
      </c>
      <c r="AE13" s="266">
        <f t="shared" si="5"/>
        <v>83.999999999999972</v>
      </c>
      <c r="AF13" s="272">
        <f t="shared" si="6"/>
        <v>41.999999999999986</v>
      </c>
      <c r="AG13" s="43"/>
      <c r="AH13" s="273">
        <f t="shared" si="7"/>
        <v>84.896733000000012</v>
      </c>
      <c r="AI13" s="274">
        <f t="shared" si="8"/>
        <v>83.999999999999972</v>
      </c>
      <c r="AJ13" s="275">
        <v>2</v>
      </c>
      <c r="AK13" s="276">
        <f t="shared" si="9"/>
        <v>41.999999999999986</v>
      </c>
      <c r="AL13" s="277">
        <f t="shared" si="10"/>
        <v>126.896733</v>
      </c>
      <c r="AM13" s="278">
        <v>80</v>
      </c>
      <c r="AN13" s="278">
        <f t="shared" si="11"/>
        <v>206.89673299999998</v>
      </c>
      <c r="AO13" s="275">
        <v>2</v>
      </c>
      <c r="AP13" s="43"/>
      <c r="AQ13" s="43"/>
      <c r="AR13" s="43"/>
      <c r="AS13" s="4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</row>
    <row r="14" spans="1:77" s="223" customFormat="1" ht="27" customHeight="1" x14ac:dyDescent="0.3">
      <c r="A14" s="224" t="s">
        <v>45</v>
      </c>
      <c r="B14" s="225" t="s">
        <v>1384</v>
      </c>
      <c r="C14" s="228">
        <v>4.58</v>
      </c>
      <c r="D14" s="263">
        <f>C14*D5</f>
        <v>89.722200000000001</v>
      </c>
      <c r="E14" s="228">
        <v>2.0609999999999999</v>
      </c>
      <c r="F14" s="263">
        <f>E14*F5</f>
        <v>40.374989999999997</v>
      </c>
      <c r="G14" s="227">
        <f t="shared" si="0"/>
        <v>130.09719000000001</v>
      </c>
      <c r="H14" s="228">
        <v>9.1999999999999998E-2</v>
      </c>
      <c r="I14" s="227">
        <f>H14*PARÂMETROS!$E$22</f>
        <v>3.8980399999999995</v>
      </c>
      <c r="J14" s="228">
        <v>2E-3</v>
      </c>
      <c r="K14" s="227">
        <f>J14*PARÂMETROS!$E$22</f>
        <v>8.4739999999999996E-2</v>
      </c>
      <c r="L14" s="228">
        <f t="shared" si="1"/>
        <v>9.1999999999999998E-3</v>
      </c>
      <c r="M14" s="230">
        <f>L14*PARÂMETROS!$E$8</f>
        <v>0.284188</v>
      </c>
      <c r="N14" s="229">
        <f t="shared" si="2"/>
        <v>2.0000000000000001E-4</v>
      </c>
      <c r="O14" s="230">
        <f>N14*PARÂMETROS!$E$8</f>
        <v>6.1780000000000003E-3</v>
      </c>
      <c r="P14" s="231">
        <v>1.1200000000000001</v>
      </c>
      <c r="Q14" s="230">
        <f>P14*PARÂMETROS!$E$27</f>
        <v>3.3600000000000003</v>
      </c>
      <c r="R14" s="191"/>
      <c r="S14" s="232" t="s">
        <v>1392</v>
      </c>
      <c r="T14" s="264">
        <f t="shared" si="3"/>
        <v>137.73033600000005</v>
      </c>
      <c r="U14" s="43"/>
      <c r="V14" s="265" t="s">
        <v>45</v>
      </c>
      <c r="W14" s="266">
        <f>PARÂMETROS!$H$3</f>
        <v>40</v>
      </c>
      <c r="X14" s="267">
        <v>2.1527777777777798E-2</v>
      </c>
      <c r="Y14" s="269">
        <v>6.9444444444444397E-3</v>
      </c>
      <c r="Z14" s="269">
        <v>2.0833333333333301E-2</v>
      </c>
      <c r="AA14" s="269">
        <v>6.9444444444444397E-3</v>
      </c>
      <c r="AB14" s="269">
        <v>3.125E-2</v>
      </c>
      <c r="AC14" s="270">
        <f t="shared" si="4"/>
        <v>8.7499999999999981E-2</v>
      </c>
      <c r="AD14" s="271">
        <v>2</v>
      </c>
      <c r="AE14" s="266">
        <f t="shared" si="5"/>
        <v>83.999999999999972</v>
      </c>
      <c r="AF14" s="272">
        <f t="shared" si="6"/>
        <v>41.999999999999986</v>
      </c>
      <c r="AG14" s="43"/>
      <c r="AH14" s="273">
        <f t="shared" si="7"/>
        <v>137.73033600000005</v>
      </c>
      <c r="AI14" s="274">
        <f t="shared" si="8"/>
        <v>83.999999999999972</v>
      </c>
      <c r="AJ14" s="275">
        <v>2</v>
      </c>
      <c r="AK14" s="276">
        <f t="shared" si="9"/>
        <v>41.999999999999986</v>
      </c>
      <c r="AL14" s="277">
        <f t="shared" si="10"/>
        <v>179.73033600000002</v>
      </c>
      <c r="AM14" s="278">
        <v>80</v>
      </c>
      <c r="AN14" s="278">
        <f t="shared" si="11"/>
        <v>259.73033600000002</v>
      </c>
      <c r="AO14" s="275">
        <v>2</v>
      </c>
      <c r="AP14" s="43"/>
      <c r="AQ14" s="43"/>
      <c r="AR14" s="43"/>
      <c r="AS14" s="4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</row>
    <row r="15" spans="1:77" s="223" customFormat="1" ht="27" customHeight="1" x14ac:dyDescent="0.3">
      <c r="A15" s="224" t="s">
        <v>47</v>
      </c>
      <c r="B15" s="225" t="s">
        <v>1384</v>
      </c>
      <c r="C15" s="228">
        <v>6.7759999999999998</v>
      </c>
      <c r="D15" s="263">
        <f>C15*D5</f>
        <v>132.74184</v>
      </c>
      <c r="E15" s="228">
        <v>3.0489999999999999</v>
      </c>
      <c r="F15" s="263">
        <f>E15*F5</f>
        <v>59.729909999999997</v>
      </c>
      <c r="G15" s="227">
        <f t="shared" si="0"/>
        <v>192.47174999999999</v>
      </c>
      <c r="H15" s="228">
        <v>0.124</v>
      </c>
      <c r="I15" s="227">
        <f>H15*PARÂMETROS!$E$22</f>
        <v>5.2538799999999997</v>
      </c>
      <c r="J15" s="228">
        <v>2E-3</v>
      </c>
      <c r="K15" s="227">
        <f>J15*PARÂMETROS!$E$22</f>
        <v>8.4739999999999996E-2</v>
      </c>
      <c r="L15" s="228">
        <f t="shared" si="1"/>
        <v>1.2400000000000001E-2</v>
      </c>
      <c r="M15" s="230">
        <f>L15*PARÂMETROS!$E$8</f>
        <v>0.38303600000000004</v>
      </c>
      <c r="N15" s="229">
        <f t="shared" si="2"/>
        <v>2.0000000000000001E-4</v>
      </c>
      <c r="O15" s="230">
        <f>N15*PARÂMETROS!$E$8</f>
        <v>6.1780000000000003E-3</v>
      </c>
      <c r="P15" s="231">
        <v>1.22</v>
      </c>
      <c r="Q15" s="230">
        <f>P15*PARÂMETROS!$E$27</f>
        <v>3.66</v>
      </c>
      <c r="R15" s="191"/>
      <c r="S15" s="232" t="s">
        <v>1393</v>
      </c>
      <c r="T15" s="264">
        <f t="shared" si="3"/>
        <v>201.85958400000001</v>
      </c>
      <c r="U15" s="43"/>
      <c r="V15" s="265" t="s">
        <v>47</v>
      </c>
      <c r="W15" s="266">
        <f>PARÂMETROS!$H$3</f>
        <v>40</v>
      </c>
      <c r="X15" s="267">
        <v>2.1527777777777798E-2</v>
      </c>
      <c r="Y15" s="269">
        <v>6.9444444444444397E-3</v>
      </c>
      <c r="Z15" s="269">
        <v>2.0833333333333301E-2</v>
      </c>
      <c r="AA15" s="269">
        <v>6.9444444444444397E-3</v>
      </c>
      <c r="AB15" s="269">
        <v>3.125E-2</v>
      </c>
      <c r="AC15" s="270">
        <f t="shared" si="4"/>
        <v>8.7499999999999981E-2</v>
      </c>
      <c r="AD15" s="271">
        <v>1</v>
      </c>
      <c r="AE15" s="266">
        <f t="shared" si="5"/>
        <v>83.999999999999972</v>
      </c>
      <c r="AF15" s="272">
        <f t="shared" si="6"/>
        <v>83.999999999999972</v>
      </c>
      <c r="AG15" s="43"/>
      <c r="AH15" s="273">
        <f t="shared" si="7"/>
        <v>201.85958400000001</v>
      </c>
      <c r="AI15" s="274">
        <f t="shared" si="8"/>
        <v>83.999999999999972</v>
      </c>
      <c r="AJ15" s="275">
        <v>2</v>
      </c>
      <c r="AK15" s="276">
        <f t="shared" si="9"/>
        <v>41.999999999999986</v>
      </c>
      <c r="AL15" s="277">
        <f t="shared" si="10"/>
        <v>243.85958399999998</v>
      </c>
      <c r="AM15" s="278">
        <v>80</v>
      </c>
      <c r="AN15" s="278">
        <f t="shared" si="11"/>
        <v>323.85958399999998</v>
      </c>
      <c r="AO15" s="275">
        <v>2</v>
      </c>
      <c r="AP15" s="43"/>
      <c r="AQ15" s="43"/>
      <c r="AR15" s="43"/>
      <c r="AS15" s="4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</row>
    <row r="16" spans="1:77" s="223" customFormat="1" ht="27" customHeight="1" x14ac:dyDescent="0.3">
      <c r="A16" s="224" t="s">
        <v>222</v>
      </c>
      <c r="B16" s="225" t="s">
        <v>1384</v>
      </c>
      <c r="C16" s="228">
        <v>9</v>
      </c>
      <c r="D16" s="263">
        <f>C16*D5</f>
        <v>176.31</v>
      </c>
      <c r="E16" s="228">
        <v>4.05</v>
      </c>
      <c r="F16" s="263">
        <f>E16*F5</f>
        <v>79.339500000000001</v>
      </c>
      <c r="G16" s="227">
        <f t="shared" si="0"/>
        <v>255.64949999999999</v>
      </c>
      <c r="H16" s="228">
        <v>0.161</v>
      </c>
      <c r="I16" s="227">
        <f>H16*PARÂMETROS!$E$22</f>
        <v>6.8215699999999995</v>
      </c>
      <c r="J16" s="228">
        <v>2E-3</v>
      </c>
      <c r="K16" s="227">
        <f>J16*PARÂMETROS!$E$22</f>
        <v>8.4739999999999996E-2</v>
      </c>
      <c r="L16" s="228">
        <f t="shared" si="1"/>
        <v>1.61E-2</v>
      </c>
      <c r="M16" s="230">
        <f>L16*PARÂMETROS!$E$8</f>
        <v>0.49732900000000002</v>
      </c>
      <c r="N16" s="229">
        <f t="shared" si="2"/>
        <v>2.0000000000000001E-4</v>
      </c>
      <c r="O16" s="230">
        <f>N16*PARÂMETROS!$E$8</f>
        <v>6.1780000000000003E-3</v>
      </c>
      <c r="P16" s="231">
        <v>1.31</v>
      </c>
      <c r="Q16" s="230">
        <f>P16*PARÂMETROS!$E$27</f>
        <v>3.93</v>
      </c>
      <c r="R16" s="191"/>
      <c r="S16" s="232" t="s">
        <v>1394</v>
      </c>
      <c r="T16" s="264">
        <f t="shared" si="3"/>
        <v>266.98931699999997</v>
      </c>
      <c r="U16" s="43"/>
      <c r="V16" s="265" t="s">
        <v>222</v>
      </c>
      <c r="W16" s="266">
        <f>PARÂMETROS!$H$3</f>
        <v>40</v>
      </c>
      <c r="X16" s="267">
        <v>2.1527777777777798E-2</v>
      </c>
      <c r="Y16" s="269">
        <v>6.9444444444444397E-3</v>
      </c>
      <c r="Z16" s="269">
        <v>2.0833333333333301E-2</v>
      </c>
      <c r="AA16" s="269">
        <v>6.9444444444444397E-3</v>
      </c>
      <c r="AB16" s="269">
        <v>3.125E-2</v>
      </c>
      <c r="AC16" s="270">
        <f t="shared" si="4"/>
        <v>8.7499999999999981E-2</v>
      </c>
      <c r="AD16" s="271">
        <v>1</v>
      </c>
      <c r="AE16" s="266">
        <f t="shared" si="5"/>
        <v>83.999999999999972</v>
      </c>
      <c r="AF16" s="272">
        <f t="shared" si="6"/>
        <v>83.999999999999972</v>
      </c>
      <c r="AG16" s="43"/>
      <c r="AH16" s="273">
        <f t="shared" si="7"/>
        <v>266.98931699999997</v>
      </c>
      <c r="AI16" s="274">
        <f t="shared" si="8"/>
        <v>83.999999999999972</v>
      </c>
      <c r="AJ16" s="275">
        <v>1</v>
      </c>
      <c r="AK16" s="276">
        <f t="shared" si="9"/>
        <v>83.999999999999972</v>
      </c>
      <c r="AL16" s="277">
        <f t="shared" si="10"/>
        <v>350.98931699999991</v>
      </c>
      <c r="AM16" s="278">
        <v>80</v>
      </c>
      <c r="AN16" s="278">
        <f t="shared" si="11"/>
        <v>430.98931699999991</v>
      </c>
      <c r="AO16" s="275">
        <v>1</v>
      </c>
      <c r="AP16" s="43"/>
      <c r="AQ16" s="43"/>
      <c r="AR16" s="43"/>
      <c r="AS16" s="4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</row>
    <row r="17" spans="1:77" s="223" customFormat="1" ht="27" customHeight="1" x14ac:dyDescent="0.3">
      <c r="A17" s="224" t="s">
        <v>226</v>
      </c>
      <c r="B17" s="225" t="s">
        <v>1384</v>
      </c>
      <c r="C17" s="228">
        <v>15.164</v>
      </c>
      <c r="D17" s="263">
        <f>C17*D5</f>
        <v>297.06275999999997</v>
      </c>
      <c r="E17" s="228">
        <v>6.8239999999999998</v>
      </c>
      <c r="F17" s="263">
        <f>E17*F5</f>
        <v>133.68215999999998</v>
      </c>
      <c r="G17" s="227">
        <f t="shared" si="0"/>
        <v>430.74491999999998</v>
      </c>
      <c r="H17" s="228">
        <v>0.19400000000000001</v>
      </c>
      <c r="I17" s="227">
        <f>H17*PARÂMETROS!$E$22</f>
        <v>8.2197800000000001</v>
      </c>
      <c r="J17" s="228">
        <v>2E-3</v>
      </c>
      <c r="K17" s="227">
        <f>J17*PARÂMETROS!$E$22</f>
        <v>8.4739999999999996E-2</v>
      </c>
      <c r="L17" s="228">
        <f t="shared" si="1"/>
        <v>1.9400000000000001E-2</v>
      </c>
      <c r="M17" s="230">
        <f>L17*PARÂMETROS!$E$8</f>
        <v>0.59926600000000008</v>
      </c>
      <c r="N17" s="229">
        <f t="shared" si="2"/>
        <v>2.0000000000000001E-4</v>
      </c>
      <c r="O17" s="230">
        <f>N17*PARÂMETROS!$E$8</f>
        <v>6.1780000000000003E-3</v>
      </c>
      <c r="P17" s="231">
        <v>1.4</v>
      </c>
      <c r="Q17" s="230">
        <f>P17*PARÂMETROS!$E$27</f>
        <v>4.1999999999999993</v>
      </c>
      <c r="R17" s="191"/>
      <c r="S17" s="232" t="s">
        <v>1395</v>
      </c>
      <c r="T17" s="264">
        <f t="shared" si="3"/>
        <v>443.85488399999997</v>
      </c>
      <c r="U17" s="43"/>
      <c r="V17" s="265" t="s">
        <v>226</v>
      </c>
      <c r="W17" s="266">
        <f>PARÂMETROS!$H$3</f>
        <v>40</v>
      </c>
      <c r="X17" s="267">
        <v>2.1527777777777798E-2</v>
      </c>
      <c r="Y17" s="269">
        <v>6.9444444444444397E-3</v>
      </c>
      <c r="Z17" s="269">
        <v>2.0833333333333301E-2</v>
      </c>
      <c r="AA17" s="269">
        <v>6.9444444444444397E-3</v>
      </c>
      <c r="AB17" s="269">
        <v>3.125E-2</v>
      </c>
      <c r="AC17" s="270">
        <f t="shared" si="4"/>
        <v>8.7499999999999981E-2</v>
      </c>
      <c r="AD17" s="271">
        <v>1</v>
      </c>
      <c r="AE17" s="266">
        <f t="shared" si="5"/>
        <v>83.999999999999972</v>
      </c>
      <c r="AF17" s="272">
        <f t="shared" si="6"/>
        <v>83.999999999999972</v>
      </c>
      <c r="AG17" s="43"/>
      <c r="AH17" s="273">
        <f t="shared" si="7"/>
        <v>443.85488399999997</v>
      </c>
      <c r="AI17" s="274">
        <f t="shared" si="8"/>
        <v>83.999999999999972</v>
      </c>
      <c r="AJ17" s="275">
        <v>1</v>
      </c>
      <c r="AK17" s="276">
        <f t="shared" si="9"/>
        <v>83.999999999999972</v>
      </c>
      <c r="AL17" s="277">
        <f t="shared" si="10"/>
        <v>527.85488399999997</v>
      </c>
      <c r="AM17" s="278">
        <v>80</v>
      </c>
      <c r="AN17" s="278">
        <f t="shared" si="11"/>
        <v>607.85488399999997</v>
      </c>
      <c r="AO17" s="275">
        <v>1</v>
      </c>
      <c r="AP17" s="43"/>
      <c r="AQ17" s="43"/>
      <c r="AR17" s="43"/>
      <c r="AS17" s="4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</row>
    <row r="18" spans="1:77" s="223" customFormat="1" ht="27" customHeight="1" x14ac:dyDescent="0.3">
      <c r="A18" s="224" t="s">
        <v>230</v>
      </c>
      <c r="B18" s="225" t="s">
        <v>1384</v>
      </c>
      <c r="C18" s="228">
        <v>21</v>
      </c>
      <c r="D18" s="263">
        <f>C18*D5</f>
        <v>411.39</v>
      </c>
      <c r="E18" s="228">
        <v>9.4</v>
      </c>
      <c r="F18" s="263">
        <f>E18*F5</f>
        <v>184.14600000000002</v>
      </c>
      <c r="G18" s="227">
        <f t="shared" si="0"/>
        <v>595.53600000000006</v>
      </c>
      <c r="H18" s="228">
        <v>0.25</v>
      </c>
      <c r="I18" s="227">
        <f>H18*PARÂMETROS!$E$22</f>
        <v>10.592499999999999</v>
      </c>
      <c r="J18" s="228">
        <v>2E-3</v>
      </c>
      <c r="K18" s="227">
        <f>J18*PARÂMETROS!$E$22</f>
        <v>8.4739999999999996E-2</v>
      </c>
      <c r="L18" s="228">
        <f t="shared" si="1"/>
        <v>2.5000000000000001E-2</v>
      </c>
      <c r="M18" s="230">
        <f>L18*PARÂMETROS!$E$8</f>
        <v>0.7722500000000001</v>
      </c>
      <c r="N18" s="229">
        <f t="shared" si="2"/>
        <v>2.0000000000000001E-4</v>
      </c>
      <c r="O18" s="230">
        <f>N18*PARÂMETROS!$E$8</f>
        <v>6.1780000000000003E-3</v>
      </c>
      <c r="P18" s="231">
        <v>1.52</v>
      </c>
      <c r="Q18" s="230">
        <f>P18*PARÂMETROS!$E$27</f>
        <v>4.5600000000000005</v>
      </c>
      <c r="R18" s="191"/>
      <c r="S18" s="232" t="s">
        <v>1396</v>
      </c>
      <c r="T18" s="264">
        <f t="shared" si="3"/>
        <v>611.55166799999995</v>
      </c>
      <c r="U18" s="43"/>
      <c r="V18" s="265" t="s">
        <v>230</v>
      </c>
      <c r="W18" s="266">
        <f>PARÂMETROS!$H$3</f>
        <v>40</v>
      </c>
      <c r="X18" s="267">
        <v>2.1527777777777798E-2</v>
      </c>
      <c r="Y18" s="269">
        <v>6.9444444444444397E-3</v>
      </c>
      <c r="Z18" s="269">
        <v>2.0833333333333301E-2</v>
      </c>
      <c r="AA18" s="269">
        <v>6.9444444444444397E-3</v>
      </c>
      <c r="AB18" s="269">
        <v>3.125E-2</v>
      </c>
      <c r="AC18" s="270">
        <f t="shared" si="4"/>
        <v>8.7499999999999981E-2</v>
      </c>
      <c r="AD18" s="271">
        <v>1</v>
      </c>
      <c r="AE18" s="266">
        <f t="shared" si="5"/>
        <v>83.999999999999972</v>
      </c>
      <c r="AF18" s="272">
        <f t="shared" si="6"/>
        <v>83.999999999999972</v>
      </c>
      <c r="AG18" s="43"/>
      <c r="AH18" s="273">
        <f t="shared" si="7"/>
        <v>611.55166799999995</v>
      </c>
      <c r="AI18" s="274">
        <f t="shared" si="8"/>
        <v>83.999999999999972</v>
      </c>
      <c r="AJ18" s="275">
        <v>1</v>
      </c>
      <c r="AK18" s="276">
        <f t="shared" si="9"/>
        <v>83.999999999999972</v>
      </c>
      <c r="AL18" s="277">
        <f t="shared" si="10"/>
        <v>695.55166799999995</v>
      </c>
      <c r="AM18" s="278">
        <v>80</v>
      </c>
      <c r="AN18" s="278">
        <f t="shared" si="11"/>
        <v>775.55166799999995</v>
      </c>
      <c r="AO18" s="275">
        <v>1</v>
      </c>
      <c r="AP18" s="43"/>
      <c r="AQ18" s="43"/>
      <c r="AR18" s="43"/>
      <c r="AS18" s="4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</row>
    <row r="19" spans="1:77" s="223" customFormat="1" ht="27" customHeight="1" x14ac:dyDescent="0.3">
      <c r="A19" s="224" t="s">
        <v>234</v>
      </c>
      <c r="B19" s="225" t="s">
        <v>1384</v>
      </c>
      <c r="C19" s="228">
        <v>30</v>
      </c>
      <c r="D19" s="263">
        <f>C19*D5</f>
        <v>587.70000000000005</v>
      </c>
      <c r="E19" s="228">
        <v>13.5</v>
      </c>
      <c r="F19" s="263">
        <f>E19*F5</f>
        <v>264.46499999999997</v>
      </c>
      <c r="G19" s="227">
        <f t="shared" si="0"/>
        <v>852.16499999999996</v>
      </c>
      <c r="H19" s="228">
        <v>0.30099999999999999</v>
      </c>
      <c r="I19" s="227">
        <f>H19*PARÂMETROS!$E$22</f>
        <v>12.753369999999999</v>
      </c>
      <c r="J19" s="228">
        <v>2E-3</v>
      </c>
      <c r="K19" s="227">
        <f>J19*PARÂMETROS!$E$22</f>
        <v>8.4739999999999996E-2</v>
      </c>
      <c r="L19" s="228">
        <f t="shared" si="1"/>
        <v>3.0100000000000002E-2</v>
      </c>
      <c r="M19" s="230">
        <f>L19*PARÂMETROS!$E$8</f>
        <v>0.92978900000000009</v>
      </c>
      <c r="N19" s="229">
        <f t="shared" si="2"/>
        <v>2.0000000000000001E-4</v>
      </c>
      <c r="O19" s="230">
        <f>N19*PARÂMETROS!$E$8</f>
        <v>6.1780000000000003E-3</v>
      </c>
      <c r="P19" s="231">
        <v>1.62</v>
      </c>
      <c r="Q19" s="230">
        <f>P19*PARÂMETROS!$E$27</f>
        <v>4.8600000000000003</v>
      </c>
      <c r="R19" s="191"/>
      <c r="S19" s="232" t="s">
        <v>1397</v>
      </c>
      <c r="T19" s="264">
        <f t="shared" si="3"/>
        <v>870.79907700000001</v>
      </c>
      <c r="U19" s="43"/>
      <c r="V19" s="265" t="s">
        <v>234</v>
      </c>
      <c r="W19" s="266">
        <f>PARÂMETROS!$H$3</f>
        <v>40</v>
      </c>
      <c r="X19" s="267">
        <v>2.1527777777777798E-2</v>
      </c>
      <c r="Y19" s="269">
        <v>6.9444444444444397E-3</v>
      </c>
      <c r="Z19" s="269">
        <v>2.0833333333333301E-2</v>
      </c>
      <c r="AA19" s="269">
        <v>6.9444444444444397E-3</v>
      </c>
      <c r="AB19" s="269">
        <v>3.125E-2</v>
      </c>
      <c r="AC19" s="270">
        <f t="shared" si="4"/>
        <v>8.7499999999999981E-2</v>
      </c>
      <c r="AD19" s="271">
        <v>1</v>
      </c>
      <c r="AE19" s="266">
        <f t="shared" si="5"/>
        <v>83.999999999999972</v>
      </c>
      <c r="AF19" s="272">
        <f t="shared" si="6"/>
        <v>83.999999999999972</v>
      </c>
      <c r="AG19" s="43"/>
      <c r="AH19" s="273">
        <f t="shared" si="7"/>
        <v>870.79907700000001</v>
      </c>
      <c r="AI19" s="274">
        <f t="shared" si="8"/>
        <v>83.999999999999972</v>
      </c>
      <c r="AJ19" s="275">
        <v>1</v>
      </c>
      <c r="AK19" s="276">
        <f t="shared" si="9"/>
        <v>83.999999999999972</v>
      </c>
      <c r="AL19" s="277">
        <f t="shared" si="10"/>
        <v>954.79907700000001</v>
      </c>
      <c r="AM19" s="278">
        <v>80</v>
      </c>
      <c r="AN19" s="278">
        <f t="shared" si="11"/>
        <v>1034.7990770000001</v>
      </c>
      <c r="AO19" s="275">
        <v>1</v>
      </c>
      <c r="AP19" s="43"/>
      <c r="AQ19" s="43"/>
      <c r="AR19" s="43"/>
      <c r="AS19" s="4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</row>
    <row r="20" spans="1:77" s="223" customFormat="1" ht="27" customHeight="1" x14ac:dyDescent="0.3">
      <c r="A20" s="224" t="s">
        <v>238</v>
      </c>
      <c r="B20" s="225" t="s">
        <v>1384</v>
      </c>
      <c r="C20" s="228">
        <v>34</v>
      </c>
      <c r="D20" s="263">
        <f>C20*D5</f>
        <v>666.06</v>
      </c>
      <c r="E20" s="228">
        <v>15.3</v>
      </c>
      <c r="F20" s="263">
        <f>E20*F5</f>
        <v>299.72700000000003</v>
      </c>
      <c r="G20" s="227">
        <f t="shared" si="0"/>
        <v>965.78700000000003</v>
      </c>
      <c r="H20" s="228">
        <v>0.35699999999999998</v>
      </c>
      <c r="I20" s="227">
        <f>H20*PARÂMETROS!$E$22</f>
        <v>15.126089999999998</v>
      </c>
      <c r="J20" s="228">
        <v>2E-3</v>
      </c>
      <c r="K20" s="227">
        <f>J20*PARÂMETROS!$E$22</f>
        <v>8.4739999999999996E-2</v>
      </c>
      <c r="L20" s="228">
        <f t="shared" si="1"/>
        <v>3.5700000000000003E-2</v>
      </c>
      <c r="M20" s="230">
        <f>L20*PARÂMETROS!$E$8</f>
        <v>1.102773</v>
      </c>
      <c r="N20" s="229">
        <f t="shared" si="2"/>
        <v>2.0000000000000001E-4</v>
      </c>
      <c r="O20" s="230">
        <f>N20*PARÂMETROS!$E$8</f>
        <v>6.1780000000000003E-3</v>
      </c>
      <c r="P20" s="231">
        <v>1.72</v>
      </c>
      <c r="Q20" s="230">
        <f>P20*PARÂMETROS!$E$27</f>
        <v>5.16</v>
      </c>
      <c r="R20" s="191"/>
      <c r="S20" s="232" t="s">
        <v>1398</v>
      </c>
      <c r="T20" s="264">
        <f t="shared" si="3"/>
        <v>987.26678099999992</v>
      </c>
      <c r="U20" s="43"/>
      <c r="V20" s="265" t="s">
        <v>238</v>
      </c>
      <c r="W20" s="266">
        <f>PARÂMETROS!$H$3</f>
        <v>40</v>
      </c>
      <c r="X20" s="267">
        <v>4.1666666666666699E-2</v>
      </c>
      <c r="Y20" s="269">
        <v>6.9444444444444397E-3</v>
      </c>
      <c r="Z20" s="269">
        <v>2.0833333333333301E-2</v>
      </c>
      <c r="AA20" s="269">
        <v>6.9444444444444397E-3</v>
      </c>
      <c r="AB20" s="269">
        <v>3.125E-2</v>
      </c>
      <c r="AC20" s="270">
        <f t="shared" si="4"/>
        <v>0.10763888888888888</v>
      </c>
      <c r="AD20" s="271">
        <v>1</v>
      </c>
      <c r="AE20" s="266">
        <f t="shared" si="5"/>
        <v>103.33333333333333</v>
      </c>
      <c r="AF20" s="272">
        <f t="shared" si="6"/>
        <v>103.33333333333333</v>
      </c>
      <c r="AG20" s="43"/>
      <c r="AH20" s="273">
        <f t="shared" si="7"/>
        <v>987.26678099999992</v>
      </c>
      <c r="AI20" s="274">
        <f t="shared" si="8"/>
        <v>103.33333333333333</v>
      </c>
      <c r="AJ20" s="275">
        <v>1</v>
      </c>
      <c r="AK20" s="276">
        <f t="shared" si="9"/>
        <v>103.33333333333333</v>
      </c>
      <c r="AL20" s="277">
        <f t="shared" si="10"/>
        <v>1090.6001143333333</v>
      </c>
      <c r="AM20" s="278">
        <v>80</v>
      </c>
      <c r="AN20" s="278">
        <f t="shared" si="11"/>
        <v>1170.6001143333333</v>
      </c>
      <c r="AO20" s="275">
        <v>1</v>
      </c>
      <c r="AP20" s="43"/>
      <c r="AQ20" s="43"/>
      <c r="AR20" s="43"/>
      <c r="AS20" s="4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</row>
    <row r="21" spans="1:77" s="223" customFormat="1" ht="27" customHeight="1" x14ac:dyDescent="0.3">
      <c r="A21" s="224" t="s">
        <v>242</v>
      </c>
      <c r="B21" s="225" t="s">
        <v>1384</v>
      </c>
      <c r="C21" s="228">
        <v>42</v>
      </c>
      <c r="D21" s="263">
        <f>C21*D5</f>
        <v>822.78</v>
      </c>
      <c r="E21" s="228">
        <v>18.899999999999999</v>
      </c>
      <c r="F21" s="263">
        <f>E21*F5</f>
        <v>370.25099999999998</v>
      </c>
      <c r="G21" s="227">
        <f t="shared" si="0"/>
        <v>1193.0309999999999</v>
      </c>
      <c r="H21" s="228">
        <v>0.41799999999999998</v>
      </c>
      <c r="I21" s="227">
        <f>H21*PARÂMETROS!$E$22</f>
        <v>17.710659999999997</v>
      </c>
      <c r="J21" s="228">
        <v>2E-3</v>
      </c>
      <c r="K21" s="227">
        <f>J21*PARÂMETROS!$E$22</f>
        <v>8.4739999999999996E-2</v>
      </c>
      <c r="L21" s="228">
        <f t="shared" si="1"/>
        <v>4.1800000000000004E-2</v>
      </c>
      <c r="M21" s="230">
        <f>L21*PARÂMETROS!$E$8</f>
        <v>1.2912020000000002</v>
      </c>
      <c r="N21" s="229">
        <f t="shared" si="2"/>
        <v>2.0000000000000001E-4</v>
      </c>
      <c r="O21" s="230">
        <f>N21*PARÂMETROS!$E$8</f>
        <v>6.1780000000000003E-3</v>
      </c>
      <c r="P21" s="231">
        <v>1.82</v>
      </c>
      <c r="Q21" s="230">
        <f>P21*PARÂMETROS!$E$27</f>
        <v>5.46</v>
      </c>
      <c r="R21" s="191"/>
      <c r="S21" s="232" t="s">
        <v>1399</v>
      </c>
      <c r="T21" s="264">
        <f t="shared" si="3"/>
        <v>1217.5837800000002</v>
      </c>
      <c r="U21" s="43"/>
      <c r="V21" s="265" t="s">
        <v>242</v>
      </c>
      <c r="W21" s="266">
        <f>PARÂMETROS!$H$3</f>
        <v>40</v>
      </c>
      <c r="X21" s="267">
        <v>4.1666666666666699E-2</v>
      </c>
      <c r="Y21" s="269">
        <v>6.9444444444444397E-3</v>
      </c>
      <c r="Z21" s="269">
        <v>2.0833333333333301E-2</v>
      </c>
      <c r="AA21" s="269">
        <v>6.9444444444444397E-3</v>
      </c>
      <c r="AB21" s="269">
        <v>3.125E-2</v>
      </c>
      <c r="AC21" s="270">
        <f t="shared" si="4"/>
        <v>0.10763888888888888</v>
      </c>
      <c r="AD21" s="271">
        <v>1</v>
      </c>
      <c r="AE21" s="266">
        <f t="shared" si="5"/>
        <v>103.33333333333333</v>
      </c>
      <c r="AF21" s="272">
        <f t="shared" si="6"/>
        <v>103.33333333333333</v>
      </c>
      <c r="AG21" s="43"/>
      <c r="AH21" s="273">
        <f t="shared" si="7"/>
        <v>1217.5837800000002</v>
      </c>
      <c r="AI21" s="274">
        <f t="shared" si="8"/>
        <v>103.33333333333333</v>
      </c>
      <c r="AJ21" s="275">
        <v>1</v>
      </c>
      <c r="AK21" s="276">
        <f t="shared" si="9"/>
        <v>103.33333333333333</v>
      </c>
      <c r="AL21" s="277">
        <f t="shared" si="10"/>
        <v>1320.9171133333334</v>
      </c>
      <c r="AM21" s="278">
        <v>80</v>
      </c>
      <c r="AN21" s="278">
        <f t="shared" si="11"/>
        <v>1400.9171133333334</v>
      </c>
      <c r="AO21" s="275">
        <v>1</v>
      </c>
      <c r="AP21" s="43"/>
      <c r="AQ21" s="43"/>
      <c r="AR21" s="43"/>
      <c r="AS21" s="4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</row>
    <row r="22" spans="1:77" s="223" customFormat="1" ht="27" customHeight="1" x14ac:dyDescent="0.3">
      <c r="A22" s="224" t="s">
        <v>246</v>
      </c>
      <c r="B22" s="225" t="s">
        <v>1384</v>
      </c>
      <c r="C22" s="228">
        <v>49</v>
      </c>
      <c r="D22" s="263">
        <f>C22*D5</f>
        <v>959.91</v>
      </c>
      <c r="E22" s="228">
        <v>22.05</v>
      </c>
      <c r="F22" s="263">
        <f>E22*F5</f>
        <v>431.95949999999999</v>
      </c>
      <c r="G22" s="227">
        <f t="shared" si="0"/>
        <v>1391.8695</v>
      </c>
      <c r="H22" s="228">
        <v>0.498</v>
      </c>
      <c r="I22" s="227">
        <f>H22*PARÂMETROS!$E$22</f>
        <v>21.100259999999999</v>
      </c>
      <c r="J22" s="228">
        <v>2E-3</v>
      </c>
      <c r="K22" s="227">
        <f>J22*PARÂMETROS!$E$22</f>
        <v>8.4739999999999996E-2</v>
      </c>
      <c r="L22" s="228">
        <f t="shared" si="1"/>
        <v>4.9800000000000004E-2</v>
      </c>
      <c r="M22" s="230">
        <f>L22*PARÂMETROS!$E$8</f>
        <v>1.5383220000000002</v>
      </c>
      <c r="N22" s="229">
        <f t="shared" si="2"/>
        <v>2.0000000000000001E-4</v>
      </c>
      <c r="O22" s="230">
        <f>N22*PARÂMETROS!$E$8</f>
        <v>6.1780000000000003E-3</v>
      </c>
      <c r="P22" s="231">
        <v>1.92</v>
      </c>
      <c r="Q22" s="230">
        <f>P22*PARÂMETROS!$E$27</f>
        <v>5.76</v>
      </c>
      <c r="R22" s="191"/>
      <c r="S22" s="232" t="s">
        <v>1400</v>
      </c>
      <c r="T22" s="264">
        <f t="shared" si="3"/>
        <v>1420.3590000000002</v>
      </c>
      <c r="U22" s="43"/>
      <c r="V22" s="265" t="s">
        <v>246</v>
      </c>
      <c r="W22" s="266">
        <f>PARÂMETROS!$H$3</f>
        <v>40</v>
      </c>
      <c r="X22" s="267">
        <v>4.1666666666666699E-2</v>
      </c>
      <c r="Y22" s="269">
        <v>6.9444444444444397E-3</v>
      </c>
      <c r="Z22" s="269">
        <v>2.0833333333333301E-2</v>
      </c>
      <c r="AA22" s="269">
        <v>6.9444444444444397E-3</v>
      </c>
      <c r="AB22" s="269">
        <v>3.125E-2</v>
      </c>
      <c r="AC22" s="270">
        <f t="shared" si="4"/>
        <v>0.10763888888888888</v>
      </c>
      <c r="AD22" s="271">
        <v>1</v>
      </c>
      <c r="AE22" s="266">
        <f t="shared" si="5"/>
        <v>103.33333333333333</v>
      </c>
      <c r="AF22" s="272">
        <f t="shared" si="6"/>
        <v>103.33333333333333</v>
      </c>
      <c r="AG22" s="43"/>
      <c r="AH22" s="273">
        <f t="shared" si="7"/>
        <v>1420.3590000000002</v>
      </c>
      <c r="AI22" s="274">
        <f t="shared" si="8"/>
        <v>103.33333333333333</v>
      </c>
      <c r="AJ22" s="275">
        <v>1</v>
      </c>
      <c r="AK22" s="276">
        <f t="shared" si="9"/>
        <v>103.33333333333333</v>
      </c>
      <c r="AL22" s="277">
        <f t="shared" si="10"/>
        <v>1523.6923333333334</v>
      </c>
      <c r="AM22" s="278">
        <v>80</v>
      </c>
      <c r="AN22" s="278">
        <f t="shared" si="11"/>
        <v>1603.6923333333334</v>
      </c>
      <c r="AO22" s="275">
        <v>1</v>
      </c>
      <c r="AP22" s="43"/>
      <c r="AQ22" s="43"/>
      <c r="AR22" s="43"/>
      <c r="AS22" s="4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</row>
    <row r="23" spans="1:77" s="223" customFormat="1" ht="27" customHeight="1" x14ac:dyDescent="0.3">
      <c r="A23" s="224" t="s">
        <v>250</v>
      </c>
      <c r="B23" s="225" t="s">
        <v>1384</v>
      </c>
      <c r="C23" s="228">
        <v>74</v>
      </c>
      <c r="D23" s="263">
        <f>C23*D5</f>
        <v>1449.66</v>
      </c>
      <c r="E23" s="228">
        <v>33.299999999999997</v>
      </c>
      <c r="F23" s="263">
        <f>E23*F5</f>
        <v>652.34699999999998</v>
      </c>
      <c r="G23" s="227">
        <f t="shared" si="0"/>
        <v>2102.0070000000001</v>
      </c>
      <c r="H23" s="228">
        <v>0.54</v>
      </c>
      <c r="I23" s="227">
        <f>H23*PARÂMETROS!$E$22</f>
        <v>22.879799999999999</v>
      </c>
      <c r="J23" s="228">
        <v>2E-3</v>
      </c>
      <c r="K23" s="227">
        <f>J23*PARÂMETROS!$E$22</f>
        <v>8.4739999999999996E-2</v>
      </c>
      <c r="L23" s="228">
        <f t="shared" si="1"/>
        <v>5.4000000000000006E-2</v>
      </c>
      <c r="M23" s="230">
        <f>L23*PARÂMETROS!$E$8</f>
        <v>1.6680600000000003</v>
      </c>
      <c r="N23" s="229">
        <f t="shared" si="2"/>
        <v>2.0000000000000001E-4</v>
      </c>
      <c r="O23" s="230">
        <f>N23*PARÂMETROS!$E$8</f>
        <v>6.1780000000000003E-3</v>
      </c>
      <c r="P23" s="231">
        <v>2</v>
      </c>
      <c r="Q23" s="230">
        <f>P23*PARÂMETROS!$E$27</f>
        <v>6</v>
      </c>
      <c r="R23" s="191"/>
      <c r="S23" s="232" t="s">
        <v>1401</v>
      </c>
      <c r="T23" s="264">
        <f t="shared" si="3"/>
        <v>2132.6457780000001</v>
      </c>
      <c r="U23" s="43"/>
      <c r="V23" s="265" t="s">
        <v>250</v>
      </c>
      <c r="W23" s="266">
        <f>PARÂMETROS!$H$3</f>
        <v>40</v>
      </c>
      <c r="X23" s="267">
        <v>4.1666666666666699E-2</v>
      </c>
      <c r="Y23" s="269">
        <v>6.9444444444444397E-3</v>
      </c>
      <c r="Z23" s="269">
        <v>2.0833333333333301E-2</v>
      </c>
      <c r="AA23" s="269">
        <v>6.9444444444444397E-3</v>
      </c>
      <c r="AB23" s="269">
        <v>3.125E-2</v>
      </c>
      <c r="AC23" s="270">
        <f t="shared" si="4"/>
        <v>0.10763888888888888</v>
      </c>
      <c r="AD23" s="271">
        <v>1</v>
      </c>
      <c r="AE23" s="266">
        <f t="shared" si="5"/>
        <v>103.33333333333333</v>
      </c>
      <c r="AF23" s="272">
        <f t="shared" si="6"/>
        <v>103.33333333333333</v>
      </c>
      <c r="AG23" s="43"/>
      <c r="AH23" s="273">
        <f t="shared" si="7"/>
        <v>2132.6457780000001</v>
      </c>
      <c r="AI23" s="274">
        <f t="shared" si="8"/>
        <v>103.33333333333333</v>
      </c>
      <c r="AJ23" s="275">
        <v>1</v>
      </c>
      <c r="AK23" s="276">
        <f t="shared" si="9"/>
        <v>103.33333333333333</v>
      </c>
      <c r="AL23" s="277">
        <f t="shared" si="10"/>
        <v>2235.9791113333335</v>
      </c>
      <c r="AM23" s="278">
        <v>80</v>
      </c>
      <c r="AN23" s="278">
        <f t="shared" si="11"/>
        <v>2315.9791113333335</v>
      </c>
      <c r="AO23" s="275">
        <v>1</v>
      </c>
      <c r="AP23" s="43"/>
      <c r="AQ23" s="43"/>
      <c r="AR23" s="43"/>
      <c r="AS23" s="4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</row>
    <row r="24" spans="1:77" s="223" customFormat="1" ht="27" customHeight="1" x14ac:dyDescent="0.3">
      <c r="A24" s="224" t="s">
        <v>254</v>
      </c>
      <c r="B24" s="225" t="s">
        <v>1384</v>
      </c>
      <c r="C24" s="228">
        <v>84</v>
      </c>
      <c r="D24" s="263">
        <f>C24*D5</f>
        <v>1645.56</v>
      </c>
      <c r="E24" s="228">
        <v>37.799999999999997</v>
      </c>
      <c r="F24" s="263">
        <f>E24*F5</f>
        <v>740.50199999999995</v>
      </c>
      <c r="G24" s="227">
        <f t="shared" si="0"/>
        <v>2386.0619999999999</v>
      </c>
      <c r="H24" s="228">
        <v>0.61499999999999999</v>
      </c>
      <c r="I24" s="227">
        <f>H24*PARÂMETROS!$E$22</f>
        <v>26.057549999999999</v>
      </c>
      <c r="J24" s="228">
        <v>2E-3</v>
      </c>
      <c r="K24" s="227">
        <f>J24*PARÂMETROS!$E$22</f>
        <v>8.4739999999999996E-2</v>
      </c>
      <c r="L24" s="228">
        <f t="shared" si="1"/>
        <v>6.1499999999999999E-2</v>
      </c>
      <c r="M24" s="230">
        <f>L24*PARÂMETROS!$E$8</f>
        <v>1.899735</v>
      </c>
      <c r="N24" s="229">
        <f t="shared" si="2"/>
        <v>2.0000000000000001E-4</v>
      </c>
      <c r="O24" s="230">
        <f>N24*PARÂMETROS!$E$8</f>
        <v>6.1780000000000003E-3</v>
      </c>
      <c r="P24" s="231">
        <v>2.1</v>
      </c>
      <c r="Q24" s="230">
        <f>P24*PARÂMETROS!$E$27</f>
        <v>6.3000000000000007</v>
      </c>
      <c r="R24" s="191"/>
      <c r="S24" s="232" t="s">
        <v>1402</v>
      </c>
      <c r="T24" s="264">
        <f t="shared" si="3"/>
        <v>2420.4102029999999</v>
      </c>
      <c r="U24" s="43"/>
      <c r="V24" s="265" t="s">
        <v>254</v>
      </c>
      <c r="W24" s="266">
        <f>PARÂMETROS!$H$3</f>
        <v>40</v>
      </c>
      <c r="X24" s="267">
        <v>4.1666666666666699E-2</v>
      </c>
      <c r="Y24" s="269">
        <v>6.9444444444444397E-3</v>
      </c>
      <c r="Z24" s="269">
        <v>2.0833333333333301E-2</v>
      </c>
      <c r="AA24" s="269">
        <v>6.9444444444444397E-3</v>
      </c>
      <c r="AB24" s="269">
        <v>3.125E-2</v>
      </c>
      <c r="AC24" s="270">
        <f t="shared" si="4"/>
        <v>0.10763888888888888</v>
      </c>
      <c r="AD24" s="271">
        <v>1</v>
      </c>
      <c r="AE24" s="266">
        <f t="shared" si="5"/>
        <v>103.33333333333333</v>
      </c>
      <c r="AF24" s="272">
        <f t="shared" si="6"/>
        <v>103.33333333333333</v>
      </c>
      <c r="AG24" s="43"/>
      <c r="AH24" s="273">
        <f t="shared" si="7"/>
        <v>2420.4102029999999</v>
      </c>
      <c r="AI24" s="274">
        <f t="shared" si="8"/>
        <v>103.33333333333333</v>
      </c>
      <c r="AJ24" s="275">
        <v>1</v>
      </c>
      <c r="AK24" s="276">
        <f t="shared" si="9"/>
        <v>103.33333333333333</v>
      </c>
      <c r="AL24" s="277">
        <f t="shared" si="10"/>
        <v>2523.7435363333334</v>
      </c>
      <c r="AM24" s="278">
        <v>80</v>
      </c>
      <c r="AN24" s="278">
        <f t="shared" si="11"/>
        <v>2603.7435363333334</v>
      </c>
      <c r="AO24" s="275">
        <v>1</v>
      </c>
      <c r="AP24" s="43"/>
      <c r="AQ24" s="43"/>
      <c r="AR24" s="43"/>
      <c r="AS24" s="4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</row>
    <row r="25" spans="1:77" s="223" customFormat="1" ht="27" customHeight="1" x14ac:dyDescent="0.3">
      <c r="A25" s="224" t="s">
        <v>258</v>
      </c>
      <c r="B25" s="225" t="s">
        <v>1384</v>
      </c>
      <c r="C25" s="228">
        <v>95</v>
      </c>
      <c r="D25" s="263">
        <f>C25*D5</f>
        <v>1861.05</v>
      </c>
      <c r="E25" s="228">
        <v>42.75</v>
      </c>
      <c r="F25" s="263">
        <f>E25*F5</f>
        <v>837.47249999999997</v>
      </c>
      <c r="G25" s="227">
        <f t="shared" si="0"/>
        <v>2698.5225</v>
      </c>
      <c r="H25" s="228">
        <v>0.71</v>
      </c>
      <c r="I25" s="227">
        <f>H25*PARÂMETROS!$E$22</f>
        <v>30.082699999999996</v>
      </c>
      <c r="J25" s="228">
        <v>2E-3</v>
      </c>
      <c r="K25" s="227">
        <f>J25*PARÂMETROS!$E$22</f>
        <v>8.4739999999999996E-2</v>
      </c>
      <c r="L25" s="228">
        <f t="shared" si="1"/>
        <v>7.0999999999999994E-2</v>
      </c>
      <c r="M25" s="230">
        <f>L25*PARÂMETROS!$E$8</f>
        <v>2.19319</v>
      </c>
      <c r="N25" s="229">
        <f t="shared" si="2"/>
        <v>2.0000000000000001E-4</v>
      </c>
      <c r="O25" s="230">
        <f>N25*PARÂMETROS!$E$8</f>
        <v>6.1780000000000003E-3</v>
      </c>
      <c r="P25" s="231">
        <v>2.2000000000000002</v>
      </c>
      <c r="Q25" s="230">
        <f>P25*PARÂMETROS!$E$27</f>
        <v>6.6000000000000005</v>
      </c>
      <c r="R25" s="191"/>
      <c r="S25" s="232" t="s">
        <v>1403</v>
      </c>
      <c r="T25" s="264">
        <f t="shared" si="3"/>
        <v>2737.4893079999997</v>
      </c>
      <c r="U25" s="43"/>
      <c r="V25" s="265" t="s">
        <v>258</v>
      </c>
      <c r="W25" s="266">
        <f>PARÂMETROS!$H$3</f>
        <v>40</v>
      </c>
      <c r="X25" s="267">
        <v>4.1666666666666699E-2</v>
      </c>
      <c r="Y25" s="269">
        <v>6.9444444444444397E-3</v>
      </c>
      <c r="Z25" s="269">
        <v>2.0833333333333301E-2</v>
      </c>
      <c r="AA25" s="269">
        <v>6.9444444444444397E-3</v>
      </c>
      <c r="AB25" s="269">
        <v>3.125E-2</v>
      </c>
      <c r="AC25" s="270">
        <f t="shared" si="4"/>
        <v>0.10763888888888888</v>
      </c>
      <c r="AD25" s="271">
        <v>1</v>
      </c>
      <c r="AE25" s="266">
        <f t="shared" si="5"/>
        <v>103.33333333333333</v>
      </c>
      <c r="AF25" s="272">
        <f t="shared" si="6"/>
        <v>103.33333333333333</v>
      </c>
      <c r="AG25" s="43"/>
      <c r="AH25" s="273">
        <f t="shared" si="7"/>
        <v>2737.4893079999997</v>
      </c>
      <c r="AI25" s="274">
        <f t="shared" si="8"/>
        <v>103.33333333333333</v>
      </c>
      <c r="AJ25" s="275">
        <v>1</v>
      </c>
      <c r="AK25" s="276">
        <f t="shared" si="9"/>
        <v>103.33333333333333</v>
      </c>
      <c r="AL25" s="277">
        <f t="shared" si="10"/>
        <v>2840.8226413333332</v>
      </c>
      <c r="AM25" s="278">
        <v>80</v>
      </c>
      <c r="AN25" s="278">
        <f t="shared" si="11"/>
        <v>2920.8226413333332</v>
      </c>
      <c r="AO25" s="275">
        <v>1</v>
      </c>
      <c r="AP25" s="43"/>
      <c r="AQ25" s="43"/>
      <c r="AR25" s="43"/>
      <c r="AS25" s="4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</row>
    <row r="26" spans="1:77" s="223" customFormat="1" ht="27" customHeight="1" x14ac:dyDescent="0.3">
      <c r="A26" s="224" t="s">
        <v>262</v>
      </c>
      <c r="B26" s="225" t="s">
        <v>1384</v>
      </c>
      <c r="C26" s="228">
        <v>120</v>
      </c>
      <c r="D26" s="263">
        <f>C26*D5</f>
        <v>2350.8000000000002</v>
      </c>
      <c r="E26" s="228">
        <v>45</v>
      </c>
      <c r="F26" s="263">
        <f>E26*F5</f>
        <v>881.55</v>
      </c>
      <c r="G26" s="227">
        <f t="shared" si="0"/>
        <v>3232.3500000000004</v>
      </c>
      <c r="H26" s="228">
        <v>0.79500000000000004</v>
      </c>
      <c r="I26" s="227">
        <f>H26*PARÂMETROS!$E$22</f>
        <v>33.684150000000002</v>
      </c>
      <c r="J26" s="228">
        <v>2E-3</v>
      </c>
      <c r="K26" s="227">
        <f>J26*PARÂMETROS!$E$22</f>
        <v>8.4739999999999996E-2</v>
      </c>
      <c r="L26" s="228">
        <f t="shared" si="1"/>
        <v>7.9500000000000015E-2</v>
      </c>
      <c r="M26" s="230">
        <f>L26*PARÂMETROS!$E$8</f>
        <v>2.4557550000000004</v>
      </c>
      <c r="N26" s="229">
        <f t="shared" si="2"/>
        <v>2.0000000000000001E-4</v>
      </c>
      <c r="O26" s="230">
        <f>N26*PARÂMETROS!$E$8</f>
        <v>6.1780000000000003E-3</v>
      </c>
      <c r="P26" s="231">
        <v>2.2999999999999998</v>
      </c>
      <c r="Q26" s="230">
        <f>P26*PARÂMETROS!$E$27</f>
        <v>6.8999999999999995</v>
      </c>
      <c r="R26" s="191"/>
      <c r="S26" s="232" t="s">
        <v>1404</v>
      </c>
      <c r="T26" s="264">
        <f t="shared" si="3"/>
        <v>3275.4808230000003</v>
      </c>
      <c r="U26" s="43"/>
      <c r="V26" s="265" t="s">
        <v>262</v>
      </c>
      <c r="W26" s="266">
        <f>PARÂMETROS!$H$3</f>
        <v>40</v>
      </c>
      <c r="X26" s="267">
        <v>4.1666666666666699E-2</v>
      </c>
      <c r="Y26" s="269">
        <v>6.9444444444444397E-3</v>
      </c>
      <c r="Z26" s="269">
        <v>2.0833333333333301E-2</v>
      </c>
      <c r="AA26" s="269">
        <v>6.9444444444444397E-3</v>
      </c>
      <c r="AB26" s="269">
        <v>3.125E-2</v>
      </c>
      <c r="AC26" s="270">
        <f t="shared" si="4"/>
        <v>0.10763888888888888</v>
      </c>
      <c r="AD26" s="271">
        <v>1</v>
      </c>
      <c r="AE26" s="266">
        <f t="shared" si="5"/>
        <v>103.33333333333333</v>
      </c>
      <c r="AF26" s="272">
        <f t="shared" si="6"/>
        <v>103.33333333333333</v>
      </c>
      <c r="AG26" s="43"/>
      <c r="AH26" s="273">
        <f t="shared" si="7"/>
        <v>3275.4808230000003</v>
      </c>
      <c r="AI26" s="274">
        <f t="shared" si="8"/>
        <v>103.33333333333333</v>
      </c>
      <c r="AJ26" s="275">
        <v>1</v>
      </c>
      <c r="AK26" s="276">
        <f t="shared" si="9"/>
        <v>103.33333333333333</v>
      </c>
      <c r="AL26" s="277">
        <f t="shared" si="10"/>
        <v>3378.8141563333338</v>
      </c>
      <c r="AM26" s="278">
        <v>80</v>
      </c>
      <c r="AN26" s="278">
        <f t="shared" si="11"/>
        <v>3458.8141563333338</v>
      </c>
      <c r="AO26" s="275">
        <v>1</v>
      </c>
      <c r="AP26" s="43"/>
      <c r="AQ26" s="43"/>
      <c r="AR26" s="43"/>
      <c r="AS26" s="4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</row>
    <row r="27" spans="1:77" s="223" customFormat="1" ht="27" customHeight="1" x14ac:dyDescent="0.3">
      <c r="A27" s="224" t="s">
        <v>266</v>
      </c>
      <c r="B27" s="225" t="s">
        <v>1384</v>
      </c>
      <c r="C27" s="228">
        <v>140</v>
      </c>
      <c r="D27" s="263">
        <f>C27*D5</f>
        <v>2742.6</v>
      </c>
      <c r="E27" s="228">
        <v>63</v>
      </c>
      <c r="F27" s="263">
        <f>E27*F5</f>
        <v>1234.17</v>
      </c>
      <c r="G27" s="227">
        <f t="shared" si="0"/>
        <v>3976.77</v>
      </c>
      <c r="H27" s="228">
        <v>0.88500000000000001</v>
      </c>
      <c r="I27" s="227">
        <f>H27*PARÂMETROS!$E$22</f>
        <v>37.497450000000001</v>
      </c>
      <c r="J27" s="228">
        <v>2E-3</v>
      </c>
      <c r="K27" s="227">
        <f>J27*PARÂMETROS!$E$22</f>
        <v>8.4739999999999996E-2</v>
      </c>
      <c r="L27" s="228">
        <f t="shared" si="1"/>
        <v>8.8500000000000009E-2</v>
      </c>
      <c r="M27" s="230">
        <f>L27*PARÂMETROS!$E$8</f>
        <v>2.7337650000000004</v>
      </c>
      <c r="N27" s="229">
        <f t="shared" si="2"/>
        <v>2.0000000000000001E-4</v>
      </c>
      <c r="O27" s="230">
        <f>N27*PARÂMETROS!$E$8</f>
        <v>6.1780000000000003E-3</v>
      </c>
      <c r="P27" s="231">
        <v>2.4</v>
      </c>
      <c r="Q27" s="230">
        <f>P27*PARÂMETROS!$E$27</f>
        <v>7.1999999999999993</v>
      </c>
      <c r="R27" s="191"/>
      <c r="S27" s="232" t="s">
        <v>1405</v>
      </c>
      <c r="T27" s="264">
        <f t="shared" si="3"/>
        <v>4024.2921329999995</v>
      </c>
      <c r="U27" s="43"/>
      <c r="V27" s="265" t="s">
        <v>266</v>
      </c>
      <c r="W27" s="266">
        <f>PARÂMETROS!$H$3</f>
        <v>40</v>
      </c>
      <c r="X27" s="267">
        <v>8.3333333333333301E-2</v>
      </c>
      <c r="Y27" s="269">
        <v>6.9444444444444397E-3</v>
      </c>
      <c r="Z27" s="269">
        <v>2.0833333333333301E-2</v>
      </c>
      <c r="AA27" s="269">
        <v>6.9444444444444397E-3</v>
      </c>
      <c r="AB27" s="269">
        <v>3.125E-2</v>
      </c>
      <c r="AC27" s="270">
        <f t="shared" si="4"/>
        <v>0.14930555555555547</v>
      </c>
      <c r="AD27" s="271">
        <v>1</v>
      </c>
      <c r="AE27" s="266">
        <f t="shared" si="5"/>
        <v>143.33333333333326</v>
      </c>
      <c r="AF27" s="272">
        <f t="shared" si="6"/>
        <v>143.33333333333326</v>
      </c>
      <c r="AG27" s="43"/>
      <c r="AH27" s="273">
        <f t="shared" si="7"/>
        <v>4024.2921329999995</v>
      </c>
      <c r="AI27" s="274">
        <f t="shared" si="8"/>
        <v>143.33333333333326</v>
      </c>
      <c r="AJ27" s="275">
        <v>1</v>
      </c>
      <c r="AK27" s="276">
        <f t="shared" si="9"/>
        <v>143.33333333333326</v>
      </c>
      <c r="AL27" s="277">
        <f t="shared" si="10"/>
        <v>4167.625466333333</v>
      </c>
      <c r="AM27" s="278">
        <v>80</v>
      </c>
      <c r="AN27" s="278">
        <f t="shared" si="11"/>
        <v>4247.625466333333</v>
      </c>
      <c r="AO27" s="275">
        <v>1</v>
      </c>
      <c r="AP27" s="43"/>
      <c r="AQ27" s="43"/>
      <c r="AR27" s="43"/>
      <c r="AS27" s="4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</row>
    <row r="28" spans="1:77" s="223" customFormat="1" ht="27" customHeight="1" x14ac:dyDescent="0.3">
      <c r="A28" s="224" t="s">
        <v>270</v>
      </c>
      <c r="B28" s="225" t="s">
        <v>1384</v>
      </c>
      <c r="C28" s="228">
        <v>150</v>
      </c>
      <c r="D28" s="263">
        <f>C28*D5</f>
        <v>2938.5</v>
      </c>
      <c r="E28" s="228">
        <v>68</v>
      </c>
      <c r="F28" s="263">
        <f>E28*F5</f>
        <v>1332.12</v>
      </c>
      <c r="G28" s="227">
        <f t="shared" si="0"/>
        <v>4270.62</v>
      </c>
      <c r="H28" s="228">
        <v>0.96</v>
      </c>
      <c r="I28" s="227">
        <f>H28*PARÂMETROS!$E$22</f>
        <v>40.675199999999997</v>
      </c>
      <c r="J28" s="228">
        <v>2E-3</v>
      </c>
      <c r="K28" s="227">
        <f>J28*PARÂMETROS!$E$22</f>
        <v>8.4739999999999996E-2</v>
      </c>
      <c r="L28" s="228">
        <f t="shared" si="1"/>
        <v>9.6000000000000002E-2</v>
      </c>
      <c r="M28" s="230">
        <f>L28*PARÂMETROS!$E$8</f>
        <v>2.9654400000000001</v>
      </c>
      <c r="N28" s="229">
        <f t="shared" si="2"/>
        <v>2.0000000000000001E-4</v>
      </c>
      <c r="O28" s="230">
        <f>N28*PARÂMETROS!$E$8</f>
        <v>6.1780000000000003E-3</v>
      </c>
      <c r="P28" s="231">
        <v>2.5</v>
      </c>
      <c r="Q28" s="230">
        <f>P28*PARÂMETROS!$E$27</f>
        <v>7.5</v>
      </c>
      <c r="R28" s="191"/>
      <c r="S28" s="232" t="s">
        <v>1406</v>
      </c>
      <c r="T28" s="264">
        <f t="shared" si="3"/>
        <v>4321.8515579999994</v>
      </c>
      <c r="U28" s="43"/>
      <c r="V28" s="265" t="s">
        <v>270</v>
      </c>
      <c r="W28" s="266">
        <f>PARÂMETROS!$H$3</f>
        <v>40</v>
      </c>
      <c r="X28" s="267">
        <v>8.3333333333333301E-2</v>
      </c>
      <c r="Y28" s="269">
        <v>6.9444444444444397E-3</v>
      </c>
      <c r="Z28" s="269">
        <v>2.0833333333333301E-2</v>
      </c>
      <c r="AA28" s="269">
        <v>6.9444444444444397E-3</v>
      </c>
      <c r="AB28" s="269">
        <v>3.125E-2</v>
      </c>
      <c r="AC28" s="270">
        <f t="shared" si="4"/>
        <v>0.14930555555555547</v>
      </c>
      <c r="AD28" s="271">
        <v>1</v>
      </c>
      <c r="AE28" s="266">
        <f t="shared" si="5"/>
        <v>143.33333333333326</v>
      </c>
      <c r="AF28" s="272">
        <f t="shared" si="6"/>
        <v>143.33333333333326</v>
      </c>
      <c r="AG28" s="43"/>
      <c r="AH28" s="273">
        <f t="shared" si="7"/>
        <v>4321.8515579999994</v>
      </c>
      <c r="AI28" s="274">
        <f t="shared" si="8"/>
        <v>143.33333333333326</v>
      </c>
      <c r="AJ28" s="275">
        <v>1</v>
      </c>
      <c r="AK28" s="276">
        <f t="shared" si="9"/>
        <v>143.33333333333326</v>
      </c>
      <c r="AL28" s="277">
        <f t="shared" si="10"/>
        <v>4465.1848913333324</v>
      </c>
      <c r="AM28" s="278">
        <v>80</v>
      </c>
      <c r="AN28" s="278">
        <f t="shared" si="11"/>
        <v>4545.1848913333324</v>
      </c>
      <c r="AO28" s="275">
        <v>1</v>
      </c>
      <c r="AP28" s="43"/>
      <c r="AQ28" s="43"/>
      <c r="AR28" s="43"/>
      <c r="AS28" s="4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</row>
    <row r="29" spans="1:77" s="223" customFormat="1" ht="27" customHeight="1" x14ac:dyDescent="0.3">
      <c r="A29" s="224" t="s">
        <v>274</v>
      </c>
      <c r="B29" s="225" t="s">
        <v>1384</v>
      </c>
      <c r="C29" s="228">
        <v>170</v>
      </c>
      <c r="D29" s="263">
        <f>C29*D5</f>
        <v>3330.3</v>
      </c>
      <c r="E29" s="228">
        <v>76.5</v>
      </c>
      <c r="F29" s="263">
        <f>E29*F5</f>
        <v>1498.635</v>
      </c>
      <c r="G29" s="227">
        <f t="shared" si="0"/>
        <v>4828.9350000000004</v>
      </c>
      <c r="H29" s="228">
        <v>1.079</v>
      </c>
      <c r="I29" s="227">
        <f>H29*PARÂMETROS!$E$22</f>
        <v>45.717229999999994</v>
      </c>
      <c r="J29" s="228">
        <v>2E-3</v>
      </c>
      <c r="K29" s="227">
        <f>J29*PARÂMETROS!$E$22</f>
        <v>8.4739999999999996E-2</v>
      </c>
      <c r="L29" s="228">
        <f t="shared" si="1"/>
        <v>0.1079</v>
      </c>
      <c r="M29" s="230">
        <f>L29*PARÂMETROS!$E$8</f>
        <v>3.3330310000000001</v>
      </c>
      <c r="N29" s="229">
        <f t="shared" si="2"/>
        <v>2.0000000000000001E-4</v>
      </c>
      <c r="O29" s="230">
        <f>N29*PARÂMETROS!$E$8</f>
        <v>6.1780000000000003E-3</v>
      </c>
      <c r="P29" s="231">
        <v>2.6</v>
      </c>
      <c r="Q29" s="230">
        <f>P29*PARÂMETROS!$E$27</f>
        <v>7.8000000000000007</v>
      </c>
      <c r="R29" s="191"/>
      <c r="S29" s="232" t="s">
        <v>1407</v>
      </c>
      <c r="T29" s="264">
        <f t="shared" si="3"/>
        <v>4885.8761790000008</v>
      </c>
      <c r="U29" s="43"/>
      <c r="V29" s="265" t="s">
        <v>274</v>
      </c>
      <c r="W29" s="266">
        <f>PARÂMETROS!$H$3</f>
        <v>40</v>
      </c>
      <c r="X29" s="267">
        <v>8.3333333333333301E-2</v>
      </c>
      <c r="Y29" s="269">
        <v>6.9444444444444397E-3</v>
      </c>
      <c r="Z29" s="269">
        <v>2.0833333333333301E-2</v>
      </c>
      <c r="AA29" s="269">
        <v>6.9444444444444397E-3</v>
      </c>
      <c r="AB29" s="269">
        <v>3.125E-2</v>
      </c>
      <c r="AC29" s="270">
        <f t="shared" si="4"/>
        <v>0.14930555555555547</v>
      </c>
      <c r="AD29" s="271">
        <v>1</v>
      </c>
      <c r="AE29" s="266">
        <f t="shared" si="5"/>
        <v>143.33333333333326</v>
      </c>
      <c r="AF29" s="272">
        <f t="shared" si="6"/>
        <v>143.33333333333326</v>
      </c>
      <c r="AG29" s="43"/>
      <c r="AH29" s="273">
        <f t="shared" si="7"/>
        <v>4885.8761790000008</v>
      </c>
      <c r="AI29" s="274">
        <f t="shared" si="8"/>
        <v>143.33333333333326</v>
      </c>
      <c r="AJ29" s="275">
        <v>1</v>
      </c>
      <c r="AK29" s="276">
        <f t="shared" si="9"/>
        <v>143.33333333333326</v>
      </c>
      <c r="AL29" s="277">
        <f t="shared" si="10"/>
        <v>5029.2095123333338</v>
      </c>
      <c r="AM29" s="278">
        <v>80</v>
      </c>
      <c r="AN29" s="278">
        <f t="shared" si="11"/>
        <v>5109.2095123333338</v>
      </c>
      <c r="AO29" s="275">
        <v>1</v>
      </c>
      <c r="AP29" s="43"/>
      <c r="AQ29" s="43"/>
      <c r="AR29" s="43"/>
      <c r="AS29" s="4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</row>
    <row r="30" spans="1:77" s="223" customFormat="1" ht="27" customHeight="1" x14ac:dyDescent="0.3">
      <c r="A30" s="224" t="s">
        <v>278</v>
      </c>
      <c r="B30" s="225" t="s">
        <v>1384</v>
      </c>
      <c r="C30" s="228">
        <v>200</v>
      </c>
      <c r="D30" s="263">
        <f>C30*D5</f>
        <v>3918</v>
      </c>
      <c r="E30" s="228">
        <v>90</v>
      </c>
      <c r="F30" s="263">
        <f>E30*F5</f>
        <v>1763.1</v>
      </c>
      <c r="G30" s="227">
        <f t="shared" si="0"/>
        <v>5681.1</v>
      </c>
      <c r="H30" s="228">
        <v>1.1599999999999999</v>
      </c>
      <c r="I30" s="227">
        <f>H30*PARÂMETROS!$E$22</f>
        <v>49.149199999999993</v>
      </c>
      <c r="J30" s="228">
        <v>2E-3</v>
      </c>
      <c r="K30" s="227">
        <f>J30*PARÂMETROS!$E$22</f>
        <v>8.4739999999999996E-2</v>
      </c>
      <c r="L30" s="228">
        <f t="shared" si="1"/>
        <v>0.11599999999999999</v>
      </c>
      <c r="M30" s="230">
        <f>L30*PARÂMETROS!$E$8</f>
        <v>3.58324</v>
      </c>
      <c r="N30" s="229">
        <f t="shared" si="2"/>
        <v>2.0000000000000001E-4</v>
      </c>
      <c r="O30" s="230">
        <f>N30*PARÂMETROS!$E$8</f>
        <v>6.1780000000000003E-3</v>
      </c>
      <c r="P30" s="231">
        <v>2.7</v>
      </c>
      <c r="Q30" s="230">
        <f>P30*PARÂMETROS!$E$27</f>
        <v>8.1000000000000014</v>
      </c>
      <c r="R30" s="191"/>
      <c r="S30" s="232" t="s">
        <v>1408</v>
      </c>
      <c r="T30" s="264">
        <f t="shared" si="3"/>
        <v>5742.0233580000004</v>
      </c>
      <c r="U30" s="43"/>
      <c r="V30" s="265" t="s">
        <v>278</v>
      </c>
      <c r="W30" s="266">
        <f>PARÂMETROS!$H$3</f>
        <v>40</v>
      </c>
      <c r="X30" s="267">
        <v>8.3333333333333301E-2</v>
      </c>
      <c r="Y30" s="269">
        <v>6.9444444444444397E-3</v>
      </c>
      <c r="Z30" s="269">
        <v>2.0833333333333301E-2</v>
      </c>
      <c r="AA30" s="269">
        <v>6.9444444444444397E-3</v>
      </c>
      <c r="AB30" s="269">
        <v>3.125E-2</v>
      </c>
      <c r="AC30" s="270">
        <f t="shared" si="4"/>
        <v>0.14930555555555547</v>
      </c>
      <c r="AD30" s="271">
        <v>1</v>
      </c>
      <c r="AE30" s="266">
        <f t="shared" si="5"/>
        <v>143.33333333333326</v>
      </c>
      <c r="AF30" s="272">
        <f t="shared" si="6"/>
        <v>143.33333333333326</v>
      </c>
      <c r="AG30" s="43"/>
      <c r="AH30" s="273">
        <f t="shared" si="7"/>
        <v>5742.0233580000004</v>
      </c>
      <c r="AI30" s="274">
        <f t="shared" si="8"/>
        <v>143.33333333333326</v>
      </c>
      <c r="AJ30" s="275">
        <v>1</v>
      </c>
      <c r="AK30" s="276">
        <f t="shared" si="9"/>
        <v>143.33333333333326</v>
      </c>
      <c r="AL30" s="277">
        <f t="shared" si="10"/>
        <v>5885.3566913333334</v>
      </c>
      <c r="AM30" s="278">
        <v>80</v>
      </c>
      <c r="AN30" s="278">
        <f t="shared" si="11"/>
        <v>5965.3566913333334</v>
      </c>
      <c r="AO30" s="275">
        <v>1</v>
      </c>
      <c r="AP30" s="43"/>
      <c r="AQ30" s="43"/>
      <c r="AR30" s="43"/>
      <c r="AS30" s="4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</row>
    <row r="31" spans="1:77" s="223" customFormat="1" ht="28.5" customHeight="1" x14ac:dyDescent="0.3">
      <c r="A31" s="224" t="s">
        <v>196</v>
      </c>
      <c r="B31" s="225" t="s">
        <v>1409</v>
      </c>
      <c r="C31" s="228">
        <v>0.06</v>
      </c>
      <c r="D31" s="263">
        <f>C31*C5</f>
        <v>1.1754</v>
      </c>
      <c r="E31" s="228">
        <v>0.03</v>
      </c>
      <c r="F31" s="263">
        <f>E31*F5</f>
        <v>0.5877</v>
      </c>
      <c r="G31" s="227">
        <f t="shared" si="0"/>
        <v>1.7631000000000001</v>
      </c>
      <c r="H31" s="228">
        <v>3.0000000000000001E-3</v>
      </c>
      <c r="I31" s="227">
        <f>H31*PARÂMETROS!$E$22</f>
        <v>0.12711</v>
      </c>
      <c r="J31" s="228">
        <v>2E-3</v>
      </c>
      <c r="K31" s="227">
        <f>J31*PARÂMETROS!$E$22</f>
        <v>8.4739999999999996E-2</v>
      </c>
      <c r="L31" s="228">
        <f t="shared" si="1"/>
        <v>3.0000000000000003E-4</v>
      </c>
      <c r="M31" s="230">
        <f>L31*PARÂMETROS!$E$8</f>
        <v>9.2670000000000009E-3</v>
      </c>
      <c r="N31" s="229">
        <f t="shared" si="2"/>
        <v>2.0000000000000001E-4</v>
      </c>
      <c r="O31" s="230">
        <f>N31*PARÂMETROS!$E$8</f>
        <v>6.1780000000000003E-3</v>
      </c>
      <c r="P31" s="231">
        <v>0.3</v>
      </c>
      <c r="Q31" s="230">
        <f>P31*PARÂMETROS!$E$27</f>
        <v>0.89999999999999991</v>
      </c>
      <c r="R31" s="191"/>
      <c r="S31" s="232" t="s">
        <v>1410</v>
      </c>
      <c r="T31" s="264">
        <f t="shared" si="3"/>
        <v>2.8903949999999998</v>
      </c>
      <c r="U31" s="43"/>
      <c r="V31" s="265" t="s">
        <v>196</v>
      </c>
      <c r="W31" s="266">
        <f>PARÂMETROS!$H$3</f>
        <v>40</v>
      </c>
      <c r="X31" s="267">
        <v>4.1666666666666699E-2</v>
      </c>
      <c r="Y31" s="268"/>
      <c r="Z31" s="269">
        <v>2.0833333333333301E-2</v>
      </c>
      <c r="AA31" s="269">
        <v>6.9444444444444397E-3</v>
      </c>
      <c r="AB31" s="269">
        <v>3.125E-2</v>
      </c>
      <c r="AC31" s="270">
        <f t="shared" si="4"/>
        <v>0.10069444444444443</v>
      </c>
      <c r="AD31" s="271">
        <v>8</v>
      </c>
      <c r="AE31" s="266">
        <f t="shared" si="5"/>
        <v>96.666666666666657</v>
      </c>
      <c r="AF31" s="272">
        <f t="shared" si="6"/>
        <v>12.083333333333332</v>
      </c>
      <c r="AG31" s="43"/>
      <c r="AH31" s="273">
        <f t="shared" si="7"/>
        <v>2.8903949999999998</v>
      </c>
      <c r="AI31" s="274">
        <f t="shared" si="8"/>
        <v>96.666666666666657</v>
      </c>
      <c r="AJ31" s="275">
        <v>8</v>
      </c>
      <c r="AK31" s="276">
        <f t="shared" si="9"/>
        <v>12.083333333333332</v>
      </c>
      <c r="AL31" s="277">
        <f t="shared" si="10"/>
        <v>14.973728333333332</v>
      </c>
      <c r="AM31" s="278">
        <v>80</v>
      </c>
      <c r="AN31" s="278">
        <f t="shared" si="11"/>
        <v>94.973728333333327</v>
      </c>
      <c r="AO31" s="275">
        <v>8</v>
      </c>
      <c r="AP31" s="43"/>
      <c r="AQ31" s="43"/>
      <c r="AR31" s="43"/>
      <c r="AS31" s="4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</row>
    <row r="32" spans="1:77" s="223" customFormat="1" ht="28.5" customHeight="1" x14ac:dyDescent="0.3">
      <c r="A32" s="224" t="s">
        <v>200</v>
      </c>
      <c r="B32" s="225" t="s">
        <v>1409</v>
      </c>
      <c r="C32" s="228">
        <v>0.11</v>
      </c>
      <c r="D32" s="263">
        <f>C32*C5</f>
        <v>2.1549</v>
      </c>
      <c r="E32" s="228">
        <v>5.5E-2</v>
      </c>
      <c r="F32" s="263">
        <f>E32*F5</f>
        <v>1.07745</v>
      </c>
      <c r="G32" s="227">
        <f t="shared" si="0"/>
        <v>3.2323500000000003</v>
      </c>
      <c r="H32" s="228">
        <v>6.0000000000000001E-3</v>
      </c>
      <c r="I32" s="227">
        <f>H32*PARÂMETROS!$E$22</f>
        <v>0.25422</v>
      </c>
      <c r="J32" s="228">
        <v>2E-3</v>
      </c>
      <c r="K32" s="227">
        <f>J32*PARÂMETROS!$E$22</f>
        <v>8.4739999999999996E-2</v>
      </c>
      <c r="L32" s="228">
        <f t="shared" si="1"/>
        <v>6.0000000000000006E-4</v>
      </c>
      <c r="M32" s="230">
        <f>L32*PARÂMETROS!$E$8</f>
        <v>1.8534000000000002E-2</v>
      </c>
      <c r="N32" s="229">
        <f t="shared" si="2"/>
        <v>2.0000000000000001E-4</v>
      </c>
      <c r="O32" s="230">
        <f>N32*PARÂMETROS!$E$8</f>
        <v>6.1780000000000003E-3</v>
      </c>
      <c r="P32" s="231">
        <v>0.36</v>
      </c>
      <c r="Q32" s="230">
        <f>P32*PARÂMETROS!$E$27</f>
        <v>1.08</v>
      </c>
      <c r="R32" s="191"/>
      <c r="S32" s="232" t="s">
        <v>1411</v>
      </c>
      <c r="T32" s="264">
        <f t="shared" si="3"/>
        <v>4.6760219999999997</v>
      </c>
      <c r="U32" s="43"/>
      <c r="V32" s="265" t="s">
        <v>200</v>
      </c>
      <c r="W32" s="266">
        <f>PARÂMETROS!$H$3</f>
        <v>40</v>
      </c>
      <c r="X32" s="267">
        <v>4.1666666666666699E-2</v>
      </c>
      <c r="Y32" s="268"/>
      <c r="Z32" s="269">
        <v>2.0833333333333301E-2</v>
      </c>
      <c r="AA32" s="269">
        <v>6.9444444444444397E-3</v>
      </c>
      <c r="AB32" s="269">
        <v>3.125E-2</v>
      </c>
      <c r="AC32" s="270">
        <f t="shared" si="4"/>
        <v>0.10069444444444443</v>
      </c>
      <c r="AD32" s="271">
        <v>8</v>
      </c>
      <c r="AE32" s="266">
        <f t="shared" si="5"/>
        <v>96.666666666666657</v>
      </c>
      <c r="AF32" s="272">
        <f t="shared" si="6"/>
        <v>12.083333333333332</v>
      </c>
      <c r="AG32" s="43"/>
      <c r="AH32" s="273">
        <f t="shared" si="7"/>
        <v>4.6760219999999997</v>
      </c>
      <c r="AI32" s="274">
        <f t="shared" si="8"/>
        <v>96.666666666666657</v>
      </c>
      <c r="AJ32" s="275">
        <v>8</v>
      </c>
      <c r="AK32" s="276">
        <f t="shared" si="9"/>
        <v>12.083333333333332</v>
      </c>
      <c r="AL32" s="277">
        <f t="shared" si="10"/>
        <v>16.759355333333332</v>
      </c>
      <c r="AM32" s="278">
        <v>80</v>
      </c>
      <c r="AN32" s="278">
        <f t="shared" si="11"/>
        <v>96.759355333333332</v>
      </c>
      <c r="AO32" s="275">
        <v>8</v>
      </c>
      <c r="AP32" s="43"/>
      <c r="AQ32" s="43"/>
      <c r="AR32" s="43"/>
      <c r="AS32" s="4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</row>
    <row r="33" spans="1:77" s="223" customFormat="1" ht="28.5" customHeight="1" x14ac:dyDescent="0.3">
      <c r="A33" s="224" t="s">
        <v>185</v>
      </c>
      <c r="B33" s="225" t="s">
        <v>1409</v>
      </c>
      <c r="C33" s="228">
        <v>0.2</v>
      </c>
      <c r="D33" s="263">
        <f>C33*C5</f>
        <v>3.9180000000000001</v>
      </c>
      <c r="E33" s="228">
        <v>0.1</v>
      </c>
      <c r="F33" s="263">
        <f>E33*F5</f>
        <v>1.9590000000000001</v>
      </c>
      <c r="G33" s="227">
        <f t="shared" si="0"/>
        <v>5.8770000000000007</v>
      </c>
      <c r="H33" s="228">
        <v>1.0999999999999999E-2</v>
      </c>
      <c r="I33" s="227">
        <v>19</v>
      </c>
      <c r="J33" s="228">
        <v>2E-3</v>
      </c>
      <c r="K33" s="227">
        <f>J33*PARÂMETROS!$E$22</f>
        <v>8.4739999999999996E-2</v>
      </c>
      <c r="L33" s="228">
        <f t="shared" si="1"/>
        <v>1.1000000000000001E-3</v>
      </c>
      <c r="M33" s="230">
        <f>L33*PARÂMETROS!$E$8</f>
        <v>3.3979000000000002E-2</v>
      </c>
      <c r="N33" s="229">
        <f t="shared" si="2"/>
        <v>2.0000000000000001E-4</v>
      </c>
      <c r="O33" s="230">
        <f>N33*PARÂMETROS!$E$8</f>
        <v>6.1780000000000003E-3</v>
      </c>
      <c r="P33" s="231">
        <v>0.41</v>
      </c>
      <c r="Q33" s="230">
        <f>P33*PARÂMETROS!$E$27</f>
        <v>1.23</v>
      </c>
      <c r="R33" s="191"/>
      <c r="S33" s="232" t="s">
        <v>1412</v>
      </c>
      <c r="T33" s="264">
        <f t="shared" si="3"/>
        <v>26.231897</v>
      </c>
      <c r="U33" s="43"/>
      <c r="V33" s="265" t="s">
        <v>185</v>
      </c>
      <c r="W33" s="266">
        <f>PARÂMETROS!$H$3</f>
        <v>40</v>
      </c>
      <c r="X33" s="267">
        <v>4.1666666666666699E-2</v>
      </c>
      <c r="Y33" s="268"/>
      <c r="Z33" s="269">
        <v>2.0833333333333301E-2</v>
      </c>
      <c r="AA33" s="269">
        <v>6.9444444444444397E-3</v>
      </c>
      <c r="AB33" s="269">
        <v>3.125E-2</v>
      </c>
      <c r="AC33" s="270">
        <f t="shared" si="4"/>
        <v>0.10069444444444443</v>
      </c>
      <c r="AD33" s="271">
        <v>8</v>
      </c>
      <c r="AE33" s="266">
        <f t="shared" si="5"/>
        <v>96.666666666666657</v>
      </c>
      <c r="AF33" s="272">
        <f t="shared" si="6"/>
        <v>12.083333333333332</v>
      </c>
      <c r="AG33" s="43"/>
      <c r="AH33" s="273">
        <f t="shared" si="7"/>
        <v>26.231897</v>
      </c>
      <c r="AI33" s="274">
        <f t="shared" si="8"/>
        <v>96.666666666666657</v>
      </c>
      <c r="AJ33" s="275">
        <v>5</v>
      </c>
      <c r="AK33" s="276">
        <f t="shared" si="9"/>
        <v>19.333333333333332</v>
      </c>
      <c r="AL33" s="277">
        <f t="shared" si="10"/>
        <v>45.565230333333332</v>
      </c>
      <c r="AM33" s="278">
        <v>80</v>
      </c>
      <c r="AN33" s="278">
        <f t="shared" si="11"/>
        <v>125.56523033333333</v>
      </c>
      <c r="AO33" s="275">
        <v>5</v>
      </c>
      <c r="AP33" s="43"/>
      <c r="AQ33" s="43"/>
      <c r="AR33" s="43"/>
      <c r="AS33" s="4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</row>
    <row r="34" spans="1:77" s="223" customFormat="1" ht="28.5" customHeight="1" x14ac:dyDescent="0.3">
      <c r="A34" s="224" t="s">
        <v>39</v>
      </c>
      <c r="B34" s="225" t="s">
        <v>1409</v>
      </c>
      <c r="C34" s="228">
        <v>0.75</v>
      </c>
      <c r="D34" s="263">
        <f>C34*C5</f>
        <v>14.692499999999999</v>
      </c>
      <c r="E34" s="228">
        <v>0.375</v>
      </c>
      <c r="F34" s="263">
        <f>E34*F5</f>
        <v>7.3462499999999995</v>
      </c>
      <c r="G34" s="227">
        <f t="shared" si="0"/>
        <v>22.03875</v>
      </c>
      <c r="H34" s="228">
        <v>2.5000000000000001E-2</v>
      </c>
      <c r="I34" s="227">
        <f>H34*PARÂMETROS!$E$22</f>
        <v>1.05925</v>
      </c>
      <c r="J34" s="228">
        <v>2E-3</v>
      </c>
      <c r="K34" s="227">
        <f>J34*PARÂMETROS!$E$22</f>
        <v>8.4739999999999996E-2</v>
      </c>
      <c r="L34" s="228">
        <f t="shared" si="1"/>
        <v>2.5000000000000005E-3</v>
      </c>
      <c r="M34" s="230">
        <f>L34*PARÂMETROS!$E$8</f>
        <v>7.7225000000000016E-2</v>
      </c>
      <c r="N34" s="229">
        <f t="shared" si="2"/>
        <v>2.0000000000000001E-4</v>
      </c>
      <c r="O34" s="230">
        <f>N34*PARÂMETROS!$E$8</f>
        <v>6.1780000000000003E-3</v>
      </c>
      <c r="P34" s="231">
        <v>0.82</v>
      </c>
      <c r="Q34" s="230">
        <f>P34*PARÂMETROS!$E$27</f>
        <v>2.46</v>
      </c>
      <c r="R34" s="191"/>
      <c r="S34" s="232" t="s">
        <v>1413</v>
      </c>
      <c r="T34" s="264">
        <f t="shared" si="3"/>
        <v>25.726142999999997</v>
      </c>
      <c r="U34" s="43"/>
      <c r="V34" s="265" t="s">
        <v>39</v>
      </c>
      <c r="W34" s="266">
        <f>PARÂMETROS!$H$3</f>
        <v>40</v>
      </c>
      <c r="X34" s="267">
        <v>4.1666666666666699E-2</v>
      </c>
      <c r="Y34" s="268"/>
      <c r="Z34" s="269">
        <v>2.0833333333333301E-2</v>
      </c>
      <c r="AA34" s="269">
        <v>6.9444444444444397E-3</v>
      </c>
      <c r="AB34" s="269">
        <v>3.125E-2</v>
      </c>
      <c r="AC34" s="270">
        <f t="shared" si="4"/>
        <v>0.10069444444444443</v>
      </c>
      <c r="AD34" s="271">
        <v>8</v>
      </c>
      <c r="AE34" s="266">
        <f t="shared" si="5"/>
        <v>96.666666666666657</v>
      </c>
      <c r="AF34" s="272">
        <f t="shared" si="6"/>
        <v>12.083333333333332</v>
      </c>
      <c r="AG34" s="43"/>
      <c r="AH34" s="273">
        <f t="shared" si="7"/>
        <v>25.726142999999997</v>
      </c>
      <c r="AI34" s="274">
        <f t="shared" si="8"/>
        <v>96.666666666666657</v>
      </c>
      <c r="AJ34" s="275">
        <v>5</v>
      </c>
      <c r="AK34" s="276">
        <f t="shared" si="9"/>
        <v>19.333333333333332</v>
      </c>
      <c r="AL34" s="277">
        <f t="shared" si="10"/>
        <v>45.059476333333329</v>
      </c>
      <c r="AM34" s="278">
        <v>80</v>
      </c>
      <c r="AN34" s="278">
        <f t="shared" si="11"/>
        <v>125.05947633333332</v>
      </c>
      <c r="AO34" s="275">
        <v>5</v>
      </c>
      <c r="AP34" s="43"/>
      <c r="AQ34" s="43"/>
      <c r="AR34" s="43"/>
      <c r="AS34" s="4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</row>
    <row r="35" spans="1:77" s="223" customFormat="1" ht="28.5" customHeight="1" x14ac:dyDescent="0.3">
      <c r="A35" s="224" t="s">
        <v>300</v>
      </c>
      <c r="B35" s="225" t="s">
        <v>1409</v>
      </c>
      <c r="C35" s="228">
        <v>1.1100000000000001</v>
      </c>
      <c r="D35" s="263">
        <f>C35*C5</f>
        <v>21.744900000000001</v>
      </c>
      <c r="E35" s="228">
        <v>0.55000000000000004</v>
      </c>
      <c r="F35" s="263">
        <f>E35*F5</f>
        <v>10.774500000000002</v>
      </c>
      <c r="G35" s="227">
        <f t="shared" si="0"/>
        <v>32.519400000000005</v>
      </c>
      <c r="H35" s="228">
        <v>3.2000000000000001E-2</v>
      </c>
      <c r="I35" s="227">
        <f>H35*PARÂMETROS!$E$22</f>
        <v>1.3558399999999999</v>
      </c>
      <c r="J35" s="228">
        <v>2E-3</v>
      </c>
      <c r="K35" s="227">
        <f>J35*PARÂMETROS!$E$22</f>
        <v>8.4739999999999996E-2</v>
      </c>
      <c r="L35" s="228">
        <f t="shared" si="1"/>
        <v>3.2000000000000002E-3</v>
      </c>
      <c r="M35" s="230">
        <f>L35*PARÂMETROS!$E$8</f>
        <v>9.8848000000000005E-2</v>
      </c>
      <c r="N35" s="229">
        <f t="shared" si="2"/>
        <v>2.0000000000000001E-4</v>
      </c>
      <c r="O35" s="230">
        <f>N35*PARÂMETROS!$E$8</f>
        <v>6.1780000000000003E-3</v>
      </c>
      <c r="P35" s="231">
        <v>0.86</v>
      </c>
      <c r="Q35" s="230">
        <f>P35*PARÂMETROS!$E$27</f>
        <v>2.58</v>
      </c>
      <c r="R35" s="191"/>
      <c r="S35" s="232" t="s">
        <v>1414</v>
      </c>
      <c r="T35" s="264">
        <f t="shared" si="3"/>
        <v>36.645005999999995</v>
      </c>
      <c r="U35" s="43"/>
      <c r="V35" s="265" t="s">
        <v>300</v>
      </c>
      <c r="W35" s="266">
        <f>PARÂMETROS!$H$3</f>
        <v>40</v>
      </c>
      <c r="X35" s="267">
        <v>2.1527777777777798E-2</v>
      </c>
      <c r="Y35" s="268"/>
      <c r="Z35" s="269">
        <v>2.0833333333333301E-2</v>
      </c>
      <c r="AA35" s="269">
        <v>6.9444444444444397E-3</v>
      </c>
      <c r="AB35" s="269">
        <v>3.125E-2</v>
      </c>
      <c r="AC35" s="270">
        <f t="shared" si="4"/>
        <v>8.0555555555555547E-2</v>
      </c>
      <c r="AD35" s="271">
        <v>2</v>
      </c>
      <c r="AE35" s="266">
        <f t="shared" si="5"/>
        <v>77.333333333333329</v>
      </c>
      <c r="AF35" s="272">
        <f t="shared" si="6"/>
        <v>38.666666666666664</v>
      </c>
      <c r="AG35" s="43"/>
      <c r="AH35" s="273">
        <f t="shared" si="7"/>
        <v>36.645005999999995</v>
      </c>
      <c r="AI35" s="274">
        <f t="shared" si="8"/>
        <v>77.333333333333329</v>
      </c>
      <c r="AJ35" s="275">
        <v>5</v>
      </c>
      <c r="AK35" s="276">
        <f t="shared" si="9"/>
        <v>15.466666666666665</v>
      </c>
      <c r="AL35" s="277">
        <f t="shared" si="10"/>
        <v>52.111672666666664</v>
      </c>
      <c r="AM35" s="278">
        <v>80</v>
      </c>
      <c r="AN35" s="278">
        <f t="shared" si="11"/>
        <v>132.11167266666666</v>
      </c>
      <c r="AO35" s="275">
        <v>5</v>
      </c>
      <c r="AP35" s="43"/>
      <c r="AQ35" s="43"/>
      <c r="AR35" s="43"/>
      <c r="AS35" s="4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</row>
    <row r="36" spans="1:77" s="223" customFormat="1" ht="28.5" customHeight="1" x14ac:dyDescent="0.3">
      <c r="A36" s="224" t="s">
        <v>41</v>
      </c>
      <c r="B36" s="225" t="s">
        <v>1409</v>
      </c>
      <c r="C36" s="228">
        <v>1.55</v>
      </c>
      <c r="D36" s="263">
        <f>C36*C5</f>
        <v>30.3645</v>
      </c>
      <c r="E36" s="228">
        <v>0.77500000000000002</v>
      </c>
      <c r="F36" s="263">
        <f>E36*F5</f>
        <v>15.18225</v>
      </c>
      <c r="G36" s="227">
        <f t="shared" si="0"/>
        <v>45.546750000000003</v>
      </c>
      <c r="H36" s="228">
        <v>4.2000000000000003E-2</v>
      </c>
      <c r="I36" s="227">
        <f>H36*PARÂMETROS!$E$22</f>
        <v>1.7795399999999999</v>
      </c>
      <c r="J36" s="228">
        <v>2E-3</v>
      </c>
      <c r="K36" s="227">
        <f>J36*PARÂMETROS!$E$22</f>
        <v>8.4739999999999996E-2</v>
      </c>
      <c r="L36" s="228">
        <f t="shared" si="1"/>
        <v>4.2000000000000006E-3</v>
      </c>
      <c r="M36" s="230">
        <f>L36*PARÂMETROS!$E$8</f>
        <v>0.12973800000000002</v>
      </c>
      <c r="N36" s="229">
        <f t="shared" si="2"/>
        <v>2.0000000000000001E-4</v>
      </c>
      <c r="O36" s="230">
        <f>N36*PARÂMETROS!$E$8</f>
        <v>6.1780000000000003E-3</v>
      </c>
      <c r="P36" s="231">
        <v>0.92</v>
      </c>
      <c r="Q36" s="230">
        <f>P36*PARÂMETROS!$E$27</f>
        <v>2.7600000000000002</v>
      </c>
      <c r="R36" s="191"/>
      <c r="S36" s="232" t="s">
        <v>1415</v>
      </c>
      <c r="T36" s="264">
        <f t="shared" si="3"/>
        <v>50.306945999999996</v>
      </c>
      <c r="U36" s="43"/>
      <c r="V36" s="265" t="s">
        <v>41</v>
      </c>
      <c r="W36" s="266">
        <f>PARÂMETROS!$H$3</f>
        <v>40</v>
      </c>
      <c r="X36" s="267">
        <v>2.1527777777777798E-2</v>
      </c>
      <c r="Y36" s="268"/>
      <c r="Z36" s="269">
        <v>2.0833333333333301E-2</v>
      </c>
      <c r="AA36" s="269">
        <v>6.9444444444444397E-3</v>
      </c>
      <c r="AB36" s="269">
        <v>3.125E-2</v>
      </c>
      <c r="AC36" s="270">
        <f t="shared" si="4"/>
        <v>8.0555555555555547E-2</v>
      </c>
      <c r="AD36" s="271">
        <v>2</v>
      </c>
      <c r="AE36" s="266">
        <f t="shared" si="5"/>
        <v>77.333333333333329</v>
      </c>
      <c r="AF36" s="272">
        <f t="shared" si="6"/>
        <v>38.666666666666664</v>
      </c>
      <c r="AG36" s="43"/>
      <c r="AH36" s="273">
        <f t="shared" si="7"/>
        <v>50.306945999999996</v>
      </c>
      <c r="AI36" s="274">
        <f t="shared" si="8"/>
        <v>77.333333333333329</v>
      </c>
      <c r="AJ36" s="275">
        <v>2</v>
      </c>
      <c r="AK36" s="276">
        <f t="shared" si="9"/>
        <v>38.666666666666664</v>
      </c>
      <c r="AL36" s="277">
        <f t="shared" si="10"/>
        <v>88.973612666666668</v>
      </c>
      <c r="AM36" s="278">
        <v>80</v>
      </c>
      <c r="AN36" s="278">
        <f t="shared" si="11"/>
        <v>168.97361266666667</v>
      </c>
      <c r="AO36" s="275">
        <v>2</v>
      </c>
      <c r="AP36" s="43"/>
      <c r="AQ36" s="43"/>
      <c r="AR36" s="43"/>
      <c r="AS36" s="4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</row>
    <row r="37" spans="1:77" s="223" customFormat="1" ht="28.5" customHeight="1" x14ac:dyDescent="0.3">
      <c r="A37" s="224" t="s">
        <v>43</v>
      </c>
      <c r="B37" s="225" t="s">
        <v>1409</v>
      </c>
      <c r="C37" s="228">
        <v>3.22</v>
      </c>
      <c r="D37" s="263">
        <f>C37*C5</f>
        <v>63.079800000000006</v>
      </c>
      <c r="E37" s="228">
        <v>1.61</v>
      </c>
      <c r="F37" s="263">
        <f>E37*F5</f>
        <v>31.539900000000003</v>
      </c>
      <c r="G37" s="227">
        <f t="shared" si="0"/>
        <v>94.619700000000009</v>
      </c>
      <c r="H37" s="228">
        <v>6.5000000000000002E-2</v>
      </c>
      <c r="I37" s="227">
        <f>H37*PARÂMETROS!$E$22</f>
        <v>2.7540499999999999</v>
      </c>
      <c r="J37" s="228">
        <v>2E-3</v>
      </c>
      <c r="K37" s="227">
        <f>J37*PARÂMETROS!$E$22</f>
        <v>8.4739999999999996E-2</v>
      </c>
      <c r="L37" s="228">
        <f t="shared" si="1"/>
        <v>6.5000000000000006E-3</v>
      </c>
      <c r="M37" s="230">
        <f>L37*PARÂMETROS!$E$8</f>
        <v>0.20078500000000002</v>
      </c>
      <c r="N37" s="229">
        <f t="shared" si="2"/>
        <v>2.0000000000000001E-4</v>
      </c>
      <c r="O37" s="230">
        <f>N37*PARÂMETROS!$E$8</f>
        <v>6.1780000000000003E-3</v>
      </c>
      <c r="P37" s="231">
        <v>1.02</v>
      </c>
      <c r="Q37" s="230">
        <f>P37*PARÂMETROS!$E$27</f>
        <v>3.06</v>
      </c>
      <c r="R37" s="191"/>
      <c r="S37" s="232" t="s">
        <v>1416</v>
      </c>
      <c r="T37" s="264">
        <f t="shared" si="3"/>
        <v>100.72545300000002</v>
      </c>
      <c r="U37" s="43"/>
      <c r="V37" s="265" t="s">
        <v>43</v>
      </c>
      <c r="W37" s="266">
        <f>PARÂMETROS!$H$3</f>
        <v>40</v>
      </c>
      <c r="X37" s="267">
        <v>2.1527777777777798E-2</v>
      </c>
      <c r="Y37" s="269">
        <v>6.9444444444444397E-3</v>
      </c>
      <c r="Z37" s="269">
        <v>2.0833333333333301E-2</v>
      </c>
      <c r="AA37" s="269">
        <v>6.9444444444444397E-3</v>
      </c>
      <c r="AB37" s="269">
        <v>3.125E-2</v>
      </c>
      <c r="AC37" s="270">
        <f t="shared" si="4"/>
        <v>8.7499999999999981E-2</v>
      </c>
      <c r="AD37" s="271">
        <v>2</v>
      </c>
      <c r="AE37" s="266">
        <f t="shared" si="5"/>
        <v>83.999999999999972</v>
      </c>
      <c r="AF37" s="272">
        <f t="shared" si="6"/>
        <v>41.999999999999986</v>
      </c>
      <c r="AG37" s="43"/>
      <c r="AH37" s="273">
        <f t="shared" si="7"/>
        <v>100.72545300000002</v>
      </c>
      <c r="AI37" s="274">
        <f t="shared" si="8"/>
        <v>83.999999999999972</v>
      </c>
      <c r="AJ37" s="275">
        <v>2</v>
      </c>
      <c r="AK37" s="276">
        <f t="shared" si="9"/>
        <v>41.999999999999986</v>
      </c>
      <c r="AL37" s="277">
        <f t="shared" si="10"/>
        <v>142.72545300000002</v>
      </c>
      <c r="AM37" s="278">
        <v>80</v>
      </c>
      <c r="AN37" s="278">
        <f t="shared" si="11"/>
        <v>222.72545300000002</v>
      </c>
      <c r="AO37" s="275">
        <v>2</v>
      </c>
      <c r="AP37" s="43"/>
      <c r="AQ37" s="43"/>
      <c r="AR37" s="43"/>
      <c r="AS37" s="4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</row>
    <row r="38" spans="1:77" s="223" customFormat="1" ht="28.5" customHeight="1" x14ac:dyDescent="0.3">
      <c r="A38" s="224" t="s">
        <v>45</v>
      </c>
      <c r="B38" s="225" t="s">
        <v>1409</v>
      </c>
      <c r="C38" s="228">
        <v>5.3140000000000001</v>
      </c>
      <c r="D38" s="263">
        <f>C38*C5</f>
        <v>104.10126</v>
      </c>
      <c r="E38" s="228">
        <v>2.657</v>
      </c>
      <c r="F38" s="263">
        <f>E38*F5</f>
        <v>52.050629999999998</v>
      </c>
      <c r="G38" s="227">
        <f t="shared" si="0"/>
        <v>156.15188999999998</v>
      </c>
      <c r="H38" s="228">
        <v>9.1999999999999998E-2</v>
      </c>
      <c r="I38" s="227">
        <f>H38*PARÂMETROS!$E$22</f>
        <v>3.8980399999999995</v>
      </c>
      <c r="J38" s="228">
        <v>2E-3</v>
      </c>
      <c r="K38" s="227">
        <f>J38*PARÂMETROS!$E$22</f>
        <v>8.4739999999999996E-2</v>
      </c>
      <c r="L38" s="228">
        <f t="shared" si="1"/>
        <v>9.1999999999999998E-3</v>
      </c>
      <c r="M38" s="230">
        <f>L38*PARÂMETROS!$E$8</f>
        <v>0.284188</v>
      </c>
      <c r="N38" s="229">
        <f t="shared" si="2"/>
        <v>2.0000000000000001E-4</v>
      </c>
      <c r="O38" s="230">
        <f>N38*PARÂMETROS!$E$8</f>
        <v>6.1780000000000003E-3</v>
      </c>
      <c r="P38" s="231">
        <v>1.1200000000000001</v>
      </c>
      <c r="Q38" s="230">
        <f>P38*PARÂMETROS!$E$27</f>
        <v>3.3600000000000003</v>
      </c>
      <c r="R38" s="191"/>
      <c r="S38" s="232" t="s">
        <v>1417</v>
      </c>
      <c r="T38" s="264">
        <f t="shared" si="3"/>
        <v>163.78503600000002</v>
      </c>
      <c r="U38" s="43"/>
      <c r="V38" s="265" t="s">
        <v>45</v>
      </c>
      <c r="W38" s="266">
        <f>PARÂMETROS!$H$3</f>
        <v>40</v>
      </c>
      <c r="X38" s="267">
        <v>2.1527777777777798E-2</v>
      </c>
      <c r="Y38" s="269">
        <v>6.9444444444444397E-3</v>
      </c>
      <c r="Z38" s="269">
        <v>2.0833333333333301E-2</v>
      </c>
      <c r="AA38" s="269">
        <v>6.9444444444444397E-3</v>
      </c>
      <c r="AB38" s="269">
        <v>3.125E-2</v>
      </c>
      <c r="AC38" s="270">
        <f t="shared" si="4"/>
        <v>8.7499999999999981E-2</v>
      </c>
      <c r="AD38" s="271">
        <v>2</v>
      </c>
      <c r="AE38" s="266">
        <f t="shared" si="5"/>
        <v>83.999999999999972</v>
      </c>
      <c r="AF38" s="272">
        <f t="shared" si="6"/>
        <v>41.999999999999986</v>
      </c>
      <c r="AG38" s="43"/>
      <c r="AH38" s="273">
        <f t="shared" si="7"/>
        <v>163.78503600000002</v>
      </c>
      <c r="AI38" s="274">
        <f t="shared" si="8"/>
        <v>83.999999999999972</v>
      </c>
      <c r="AJ38" s="275">
        <v>2</v>
      </c>
      <c r="AK38" s="276">
        <f t="shared" si="9"/>
        <v>41.999999999999986</v>
      </c>
      <c r="AL38" s="277">
        <f t="shared" si="10"/>
        <v>205.78503599999999</v>
      </c>
      <c r="AM38" s="278">
        <v>80</v>
      </c>
      <c r="AN38" s="278">
        <f t="shared" si="11"/>
        <v>285.78503599999999</v>
      </c>
      <c r="AO38" s="275">
        <v>2</v>
      </c>
      <c r="AP38" s="43"/>
      <c r="AQ38" s="43"/>
      <c r="AR38" s="43"/>
      <c r="AS38" s="4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</row>
    <row r="39" spans="1:77" s="223" customFormat="1" ht="28.5" customHeight="1" x14ac:dyDescent="0.3">
      <c r="A39" s="224" t="s">
        <v>47</v>
      </c>
      <c r="B39" s="225" t="s">
        <v>1409</v>
      </c>
      <c r="C39" s="228">
        <v>7.8</v>
      </c>
      <c r="D39" s="263">
        <f>C39*C5</f>
        <v>152.80199999999999</v>
      </c>
      <c r="E39" s="228">
        <v>3.9</v>
      </c>
      <c r="F39" s="263">
        <f>E39*F5</f>
        <v>76.400999999999996</v>
      </c>
      <c r="G39" s="227">
        <f t="shared" si="0"/>
        <v>229.20299999999997</v>
      </c>
      <c r="H39" s="228">
        <v>0.124</v>
      </c>
      <c r="I39" s="227">
        <f>H39*PARÂMETROS!$E$22</f>
        <v>5.2538799999999997</v>
      </c>
      <c r="J39" s="228">
        <v>2E-3</v>
      </c>
      <c r="K39" s="227">
        <f>J39*PARÂMETROS!$E$22</f>
        <v>8.4739999999999996E-2</v>
      </c>
      <c r="L39" s="228">
        <f t="shared" si="1"/>
        <v>1.2400000000000001E-2</v>
      </c>
      <c r="M39" s="230">
        <f>L39*PARÂMETROS!$E$8</f>
        <v>0.38303600000000004</v>
      </c>
      <c r="N39" s="229">
        <f t="shared" si="2"/>
        <v>2.0000000000000001E-4</v>
      </c>
      <c r="O39" s="230">
        <f>N39*PARÂMETROS!$E$8</f>
        <v>6.1780000000000003E-3</v>
      </c>
      <c r="P39" s="231">
        <v>1.22</v>
      </c>
      <c r="Q39" s="230">
        <f>P39*PARÂMETROS!$E$27</f>
        <v>3.66</v>
      </c>
      <c r="R39" s="191"/>
      <c r="S39" s="232" t="s">
        <v>1418</v>
      </c>
      <c r="T39" s="264">
        <f t="shared" si="3"/>
        <v>238.590834</v>
      </c>
      <c r="U39" s="43"/>
      <c r="V39" s="265" t="s">
        <v>47</v>
      </c>
      <c r="W39" s="266">
        <f>PARÂMETROS!$H$3</f>
        <v>40</v>
      </c>
      <c r="X39" s="267">
        <v>2.1527777777777798E-2</v>
      </c>
      <c r="Y39" s="269">
        <v>6.9444444444444397E-3</v>
      </c>
      <c r="Z39" s="269">
        <v>2.0833333333333301E-2</v>
      </c>
      <c r="AA39" s="269">
        <v>6.9444444444444397E-3</v>
      </c>
      <c r="AB39" s="269">
        <v>3.125E-2</v>
      </c>
      <c r="AC39" s="270">
        <f t="shared" si="4"/>
        <v>8.7499999999999981E-2</v>
      </c>
      <c r="AD39" s="271">
        <v>1</v>
      </c>
      <c r="AE39" s="266">
        <f t="shared" si="5"/>
        <v>83.999999999999972</v>
      </c>
      <c r="AF39" s="272">
        <f t="shared" si="6"/>
        <v>83.999999999999972</v>
      </c>
      <c r="AG39" s="43"/>
      <c r="AH39" s="273">
        <f t="shared" si="7"/>
        <v>238.590834</v>
      </c>
      <c r="AI39" s="274">
        <f t="shared" si="8"/>
        <v>83.999999999999972</v>
      </c>
      <c r="AJ39" s="275">
        <v>2</v>
      </c>
      <c r="AK39" s="276">
        <f t="shared" si="9"/>
        <v>41.999999999999986</v>
      </c>
      <c r="AL39" s="277">
        <f t="shared" si="10"/>
        <v>280.59083399999997</v>
      </c>
      <c r="AM39" s="278">
        <v>80</v>
      </c>
      <c r="AN39" s="278">
        <f t="shared" si="11"/>
        <v>360.59083399999997</v>
      </c>
      <c r="AO39" s="275">
        <v>2</v>
      </c>
      <c r="AP39" s="43"/>
      <c r="AQ39" s="43"/>
      <c r="AR39" s="43"/>
      <c r="AS39" s="4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</row>
    <row r="40" spans="1:77" s="223" customFormat="1" ht="28.5" customHeight="1" x14ac:dyDescent="0.3">
      <c r="A40" s="224" t="s">
        <v>222</v>
      </c>
      <c r="B40" s="225" t="s">
        <v>1409</v>
      </c>
      <c r="C40" s="228">
        <v>10.4</v>
      </c>
      <c r="D40" s="263">
        <f>C40*C5</f>
        <v>203.73600000000002</v>
      </c>
      <c r="E40" s="228">
        <v>5.2</v>
      </c>
      <c r="F40" s="263">
        <f>E40*F5</f>
        <v>101.86800000000001</v>
      </c>
      <c r="G40" s="227">
        <f t="shared" si="0"/>
        <v>305.60400000000004</v>
      </c>
      <c r="H40" s="228">
        <v>0.161</v>
      </c>
      <c r="I40" s="227">
        <f>H40*PARÂMETROS!$E$22</f>
        <v>6.8215699999999995</v>
      </c>
      <c r="J40" s="228">
        <v>2E-3</v>
      </c>
      <c r="K40" s="227">
        <f>J40*PARÂMETROS!$E$22</f>
        <v>8.4739999999999996E-2</v>
      </c>
      <c r="L40" s="228">
        <f t="shared" si="1"/>
        <v>1.61E-2</v>
      </c>
      <c r="M40" s="230">
        <f>L40*PARÂMETROS!$E$8</f>
        <v>0.49732900000000002</v>
      </c>
      <c r="N40" s="229">
        <f t="shared" si="2"/>
        <v>2.0000000000000001E-4</v>
      </c>
      <c r="O40" s="230">
        <f>N40*PARÂMETROS!$E$8</f>
        <v>6.1780000000000003E-3</v>
      </c>
      <c r="P40" s="231">
        <v>1.31</v>
      </c>
      <c r="Q40" s="230">
        <f>P40*PARÂMETROS!$E$27</f>
        <v>3.93</v>
      </c>
      <c r="R40" s="191"/>
      <c r="S40" s="232" t="s">
        <v>1419</v>
      </c>
      <c r="T40" s="264">
        <f t="shared" si="3"/>
        <v>316.94381700000002</v>
      </c>
      <c r="U40" s="43"/>
      <c r="V40" s="265" t="s">
        <v>222</v>
      </c>
      <c r="W40" s="266">
        <f>PARÂMETROS!$H$3</f>
        <v>40</v>
      </c>
      <c r="X40" s="267">
        <v>2.1527777777777798E-2</v>
      </c>
      <c r="Y40" s="269">
        <v>6.9444444444444397E-3</v>
      </c>
      <c r="Z40" s="269">
        <v>2.0833333333333301E-2</v>
      </c>
      <c r="AA40" s="269">
        <v>6.9444444444444397E-3</v>
      </c>
      <c r="AB40" s="269">
        <v>3.125E-2</v>
      </c>
      <c r="AC40" s="270">
        <f t="shared" si="4"/>
        <v>8.7499999999999981E-2</v>
      </c>
      <c r="AD40" s="271">
        <v>1</v>
      </c>
      <c r="AE40" s="266">
        <f t="shared" si="5"/>
        <v>83.999999999999972</v>
      </c>
      <c r="AF40" s="272">
        <f t="shared" si="6"/>
        <v>83.999999999999972</v>
      </c>
      <c r="AG40" s="43"/>
      <c r="AH40" s="273">
        <f t="shared" si="7"/>
        <v>316.94381700000002</v>
      </c>
      <c r="AI40" s="274">
        <f t="shared" si="8"/>
        <v>83.999999999999972</v>
      </c>
      <c r="AJ40" s="275">
        <v>1</v>
      </c>
      <c r="AK40" s="276">
        <f t="shared" si="9"/>
        <v>83.999999999999972</v>
      </c>
      <c r="AL40" s="277">
        <f t="shared" si="10"/>
        <v>400.94381699999997</v>
      </c>
      <c r="AM40" s="278">
        <v>80</v>
      </c>
      <c r="AN40" s="278">
        <f t="shared" si="11"/>
        <v>480.94381699999997</v>
      </c>
      <c r="AO40" s="275">
        <v>1</v>
      </c>
      <c r="AP40" s="43"/>
      <c r="AQ40" s="43"/>
      <c r="AR40" s="43"/>
      <c r="AS40" s="4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</row>
    <row r="41" spans="1:77" s="223" customFormat="1" ht="28.5" customHeight="1" x14ac:dyDescent="0.3">
      <c r="A41" s="224" t="s">
        <v>226</v>
      </c>
      <c r="B41" s="225" t="s">
        <v>1409</v>
      </c>
      <c r="C41" s="228">
        <v>18</v>
      </c>
      <c r="D41" s="263">
        <f>C41*C5</f>
        <v>352.62</v>
      </c>
      <c r="E41" s="228">
        <v>9</v>
      </c>
      <c r="F41" s="263">
        <f>E41*F5</f>
        <v>176.31</v>
      </c>
      <c r="G41" s="227">
        <f t="shared" si="0"/>
        <v>528.93000000000006</v>
      </c>
      <c r="H41" s="228">
        <v>0.19400000000000001</v>
      </c>
      <c r="I41" s="227">
        <f>H41*PARÂMETROS!$E$22</f>
        <v>8.2197800000000001</v>
      </c>
      <c r="J41" s="228">
        <v>2E-3</v>
      </c>
      <c r="K41" s="227">
        <f>J41*PARÂMETROS!$E$22</f>
        <v>8.4739999999999996E-2</v>
      </c>
      <c r="L41" s="228">
        <f t="shared" si="1"/>
        <v>1.9400000000000001E-2</v>
      </c>
      <c r="M41" s="230">
        <f>L41*PARÂMETROS!$E$8</f>
        <v>0.59926600000000008</v>
      </c>
      <c r="N41" s="229">
        <f t="shared" si="2"/>
        <v>2.0000000000000001E-4</v>
      </c>
      <c r="O41" s="230">
        <f>N41*PARÂMETROS!$E$8</f>
        <v>6.1780000000000003E-3</v>
      </c>
      <c r="P41" s="231">
        <v>1.4</v>
      </c>
      <c r="Q41" s="230">
        <f>P41*PARÂMETROS!$E$27</f>
        <v>4.1999999999999993</v>
      </c>
      <c r="R41" s="191"/>
      <c r="S41" s="232" t="s">
        <v>1420</v>
      </c>
      <c r="T41" s="264">
        <f t="shared" si="3"/>
        <v>542.03996400000017</v>
      </c>
      <c r="U41" s="43"/>
      <c r="V41" s="265" t="s">
        <v>226</v>
      </c>
      <c r="W41" s="266">
        <f>PARÂMETROS!$H$3</f>
        <v>40</v>
      </c>
      <c r="X41" s="267">
        <v>2.1527777777777798E-2</v>
      </c>
      <c r="Y41" s="269">
        <v>6.9444444444444397E-3</v>
      </c>
      <c r="Z41" s="269">
        <v>2.0833333333333301E-2</v>
      </c>
      <c r="AA41" s="269">
        <v>6.9444444444444397E-3</v>
      </c>
      <c r="AB41" s="269">
        <v>3.125E-2</v>
      </c>
      <c r="AC41" s="270">
        <f t="shared" si="4"/>
        <v>8.7499999999999981E-2</v>
      </c>
      <c r="AD41" s="271">
        <v>1</v>
      </c>
      <c r="AE41" s="266">
        <f t="shared" si="5"/>
        <v>83.999999999999972</v>
      </c>
      <c r="AF41" s="272">
        <f t="shared" si="6"/>
        <v>83.999999999999972</v>
      </c>
      <c r="AG41" s="43"/>
      <c r="AH41" s="273">
        <f t="shared" si="7"/>
        <v>542.03996400000017</v>
      </c>
      <c r="AI41" s="274">
        <f t="shared" si="8"/>
        <v>83.999999999999972</v>
      </c>
      <c r="AJ41" s="275">
        <v>1</v>
      </c>
      <c r="AK41" s="276">
        <f t="shared" si="9"/>
        <v>83.999999999999972</v>
      </c>
      <c r="AL41" s="277">
        <f t="shared" si="10"/>
        <v>626.03996400000017</v>
      </c>
      <c r="AM41" s="278">
        <v>80</v>
      </c>
      <c r="AN41" s="278">
        <f t="shared" si="11"/>
        <v>706.03996400000017</v>
      </c>
      <c r="AO41" s="275">
        <v>1</v>
      </c>
      <c r="AP41" s="43"/>
      <c r="AQ41" s="43"/>
      <c r="AR41" s="43"/>
      <c r="AS41" s="4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</row>
    <row r="42" spans="1:77" s="223" customFormat="1" ht="28.5" customHeight="1" x14ac:dyDescent="0.3">
      <c r="A42" s="224" t="s">
        <v>230</v>
      </c>
      <c r="B42" s="225" t="s">
        <v>1409</v>
      </c>
      <c r="C42" s="228">
        <v>24</v>
      </c>
      <c r="D42" s="263">
        <f>C42*C5</f>
        <v>470.15999999999997</v>
      </c>
      <c r="E42" s="228">
        <v>12</v>
      </c>
      <c r="F42" s="263">
        <f>E42*F5</f>
        <v>235.07999999999998</v>
      </c>
      <c r="G42" s="227">
        <f t="shared" si="0"/>
        <v>705.24</v>
      </c>
      <c r="H42" s="228">
        <v>0.25</v>
      </c>
      <c r="I42" s="227">
        <f>H42*PARÂMETROS!$E$22</f>
        <v>10.592499999999999</v>
      </c>
      <c r="J42" s="228">
        <v>2E-3</v>
      </c>
      <c r="K42" s="227">
        <f>J42*PARÂMETROS!$E$22</f>
        <v>8.4739999999999996E-2</v>
      </c>
      <c r="L42" s="228">
        <f t="shared" si="1"/>
        <v>2.5000000000000001E-2</v>
      </c>
      <c r="M42" s="230">
        <f>L42*PARÂMETROS!$E$8</f>
        <v>0.7722500000000001</v>
      </c>
      <c r="N42" s="229">
        <f t="shared" si="2"/>
        <v>2.0000000000000001E-4</v>
      </c>
      <c r="O42" s="230">
        <f>N42*PARÂMETROS!$E$8</f>
        <v>6.1780000000000003E-3</v>
      </c>
      <c r="P42" s="231">
        <v>1.52</v>
      </c>
      <c r="Q42" s="230">
        <f>P42*PARÂMETROS!$E$27</f>
        <v>4.5600000000000005</v>
      </c>
      <c r="R42" s="191"/>
      <c r="S42" s="232" t="s">
        <v>1421</v>
      </c>
      <c r="T42" s="264">
        <f t="shared" si="3"/>
        <v>721.2556679999999</v>
      </c>
      <c r="U42" s="43"/>
      <c r="V42" s="265" t="s">
        <v>230</v>
      </c>
      <c r="W42" s="266">
        <f>PARÂMETROS!$H$3</f>
        <v>40</v>
      </c>
      <c r="X42" s="267">
        <v>2.1527777777777798E-2</v>
      </c>
      <c r="Y42" s="269">
        <v>6.9444444444444397E-3</v>
      </c>
      <c r="Z42" s="269">
        <v>2.0833333333333301E-2</v>
      </c>
      <c r="AA42" s="269">
        <v>6.9444444444444397E-3</v>
      </c>
      <c r="AB42" s="269">
        <v>3.125E-2</v>
      </c>
      <c r="AC42" s="270">
        <f t="shared" si="4"/>
        <v>8.7499999999999981E-2</v>
      </c>
      <c r="AD42" s="271">
        <v>1</v>
      </c>
      <c r="AE42" s="266">
        <f t="shared" si="5"/>
        <v>83.999999999999972</v>
      </c>
      <c r="AF42" s="272">
        <f t="shared" si="6"/>
        <v>83.999999999999972</v>
      </c>
      <c r="AG42" s="43"/>
      <c r="AH42" s="273">
        <f t="shared" si="7"/>
        <v>721.2556679999999</v>
      </c>
      <c r="AI42" s="274">
        <f t="shared" si="8"/>
        <v>83.999999999999972</v>
      </c>
      <c r="AJ42" s="275">
        <v>1</v>
      </c>
      <c r="AK42" s="276">
        <f t="shared" si="9"/>
        <v>83.999999999999972</v>
      </c>
      <c r="AL42" s="277">
        <f t="shared" si="10"/>
        <v>805.2556679999999</v>
      </c>
      <c r="AM42" s="278">
        <v>80</v>
      </c>
      <c r="AN42" s="278">
        <f t="shared" si="11"/>
        <v>885.2556679999999</v>
      </c>
      <c r="AO42" s="275">
        <v>1</v>
      </c>
      <c r="AP42" s="43"/>
      <c r="AQ42" s="43"/>
      <c r="AR42" s="43"/>
      <c r="AS42" s="4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</row>
    <row r="43" spans="1:77" s="223" customFormat="1" ht="28.5" customHeight="1" x14ac:dyDescent="0.3">
      <c r="A43" s="224" t="s">
        <v>234</v>
      </c>
      <c r="B43" s="225" t="s">
        <v>1409</v>
      </c>
      <c r="C43" s="228">
        <v>34</v>
      </c>
      <c r="D43" s="263">
        <f>C43*C5</f>
        <v>666.06</v>
      </c>
      <c r="E43" s="228">
        <v>17</v>
      </c>
      <c r="F43" s="263">
        <f>E43*F5</f>
        <v>333.03</v>
      </c>
      <c r="G43" s="227">
        <f t="shared" si="0"/>
        <v>999.08999999999992</v>
      </c>
      <c r="H43" s="228">
        <v>0.30099999999999999</v>
      </c>
      <c r="I43" s="227">
        <f>H43*PARÂMETROS!$E$22</f>
        <v>12.753369999999999</v>
      </c>
      <c r="J43" s="228">
        <v>2E-3</v>
      </c>
      <c r="K43" s="227">
        <f>J43*PARÂMETROS!$E$22</f>
        <v>8.4739999999999996E-2</v>
      </c>
      <c r="L43" s="228">
        <f t="shared" si="1"/>
        <v>3.0100000000000002E-2</v>
      </c>
      <c r="M43" s="230">
        <f>L43*PARÂMETROS!$E$8</f>
        <v>0.92978900000000009</v>
      </c>
      <c r="N43" s="229">
        <f t="shared" si="2"/>
        <v>2.0000000000000001E-4</v>
      </c>
      <c r="O43" s="230">
        <f>N43*PARÂMETROS!$E$8</f>
        <v>6.1780000000000003E-3</v>
      </c>
      <c r="P43" s="231">
        <v>1.62</v>
      </c>
      <c r="Q43" s="230">
        <f>P43*PARÂMETROS!$E$27</f>
        <v>4.8600000000000003</v>
      </c>
      <c r="R43" s="191"/>
      <c r="S43" s="232" t="s">
        <v>1422</v>
      </c>
      <c r="T43" s="264">
        <f t="shared" si="3"/>
        <v>1017.724077</v>
      </c>
      <c r="U43" s="43"/>
      <c r="V43" s="265" t="s">
        <v>234</v>
      </c>
      <c r="W43" s="266">
        <f>PARÂMETROS!$H$3</f>
        <v>40</v>
      </c>
      <c r="X43" s="267">
        <v>2.1527777777777798E-2</v>
      </c>
      <c r="Y43" s="269">
        <v>6.9444444444444397E-3</v>
      </c>
      <c r="Z43" s="269">
        <v>2.0833333333333301E-2</v>
      </c>
      <c r="AA43" s="269">
        <v>6.9444444444444397E-3</v>
      </c>
      <c r="AB43" s="269">
        <v>3.125E-2</v>
      </c>
      <c r="AC43" s="270">
        <f t="shared" si="4"/>
        <v>8.7499999999999981E-2</v>
      </c>
      <c r="AD43" s="271">
        <v>1</v>
      </c>
      <c r="AE43" s="266">
        <f t="shared" si="5"/>
        <v>83.999999999999972</v>
      </c>
      <c r="AF43" s="272">
        <f t="shared" si="6"/>
        <v>83.999999999999972</v>
      </c>
      <c r="AG43" s="43"/>
      <c r="AH43" s="273">
        <f t="shared" si="7"/>
        <v>1017.724077</v>
      </c>
      <c r="AI43" s="274">
        <f t="shared" si="8"/>
        <v>83.999999999999972</v>
      </c>
      <c r="AJ43" s="275">
        <v>1</v>
      </c>
      <c r="AK43" s="276">
        <f t="shared" si="9"/>
        <v>83.999999999999972</v>
      </c>
      <c r="AL43" s="277">
        <f t="shared" si="10"/>
        <v>1101.7240769999999</v>
      </c>
      <c r="AM43" s="278">
        <v>80</v>
      </c>
      <c r="AN43" s="278">
        <f t="shared" si="11"/>
        <v>1181.7240769999999</v>
      </c>
      <c r="AO43" s="275">
        <v>1</v>
      </c>
      <c r="AP43" s="43"/>
      <c r="AQ43" s="43"/>
      <c r="AR43" s="43"/>
      <c r="AS43" s="4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</row>
    <row r="44" spans="1:77" s="223" customFormat="1" ht="28.5" customHeight="1" x14ac:dyDescent="0.3">
      <c r="A44" s="224" t="s">
        <v>238</v>
      </c>
      <c r="B44" s="225" t="s">
        <v>1409</v>
      </c>
      <c r="C44" s="228">
        <v>40</v>
      </c>
      <c r="D44" s="263">
        <f>C44*C5</f>
        <v>783.6</v>
      </c>
      <c r="E44" s="228">
        <v>20</v>
      </c>
      <c r="F44" s="263">
        <f>E44*F5</f>
        <v>391.8</v>
      </c>
      <c r="G44" s="227">
        <f t="shared" si="0"/>
        <v>1175.4000000000001</v>
      </c>
      <c r="H44" s="228">
        <v>0.35699999999999998</v>
      </c>
      <c r="I44" s="227">
        <f>H44*PARÂMETROS!$E$22</f>
        <v>15.126089999999998</v>
      </c>
      <c r="J44" s="228">
        <v>2E-3</v>
      </c>
      <c r="K44" s="227">
        <f>J44*PARÂMETROS!$E$22</f>
        <v>8.4739999999999996E-2</v>
      </c>
      <c r="L44" s="228">
        <f t="shared" si="1"/>
        <v>3.5700000000000003E-2</v>
      </c>
      <c r="M44" s="230">
        <f>L44*PARÂMETROS!$E$8</f>
        <v>1.102773</v>
      </c>
      <c r="N44" s="229">
        <f t="shared" si="2"/>
        <v>2.0000000000000001E-4</v>
      </c>
      <c r="O44" s="230">
        <f>N44*PARÂMETROS!$E$8</f>
        <v>6.1780000000000003E-3</v>
      </c>
      <c r="P44" s="231">
        <v>1.72</v>
      </c>
      <c r="Q44" s="230">
        <f>P44*PARÂMETROS!$E$27</f>
        <v>5.16</v>
      </c>
      <c r="R44" s="191"/>
      <c r="S44" s="232" t="s">
        <v>1423</v>
      </c>
      <c r="T44" s="264">
        <f t="shared" si="3"/>
        <v>1196.8797810000003</v>
      </c>
      <c r="U44" s="43"/>
      <c r="V44" s="265" t="s">
        <v>238</v>
      </c>
      <c r="W44" s="266">
        <f>PARÂMETROS!$H$3</f>
        <v>40</v>
      </c>
      <c r="X44" s="267">
        <v>4.1666666666666699E-2</v>
      </c>
      <c r="Y44" s="269">
        <v>6.9444444444444397E-3</v>
      </c>
      <c r="Z44" s="269">
        <v>2.0833333333333301E-2</v>
      </c>
      <c r="AA44" s="269">
        <v>6.9444444444444397E-3</v>
      </c>
      <c r="AB44" s="269">
        <v>3.125E-2</v>
      </c>
      <c r="AC44" s="270">
        <f t="shared" si="4"/>
        <v>0.10763888888888888</v>
      </c>
      <c r="AD44" s="271">
        <v>1</v>
      </c>
      <c r="AE44" s="266">
        <f t="shared" si="5"/>
        <v>103.33333333333333</v>
      </c>
      <c r="AF44" s="272">
        <f t="shared" si="6"/>
        <v>103.33333333333333</v>
      </c>
      <c r="AG44" s="43"/>
      <c r="AH44" s="273">
        <f t="shared" si="7"/>
        <v>1196.8797810000003</v>
      </c>
      <c r="AI44" s="274">
        <f t="shared" si="8"/>
        <v>103.33333333333333</v>
      </c>
      <c r="AJ44" s="275">
        <v>1</v>
      </c>
      <c r="AK44" s="276">
        <f t="shared" si="9"/>
        <v>103.33333333333333</v>
      </c>
      <c r="AL44" s="277">
        <f t="shared" si="10"/>
        <v>1300.2131143333336</v>
      </c>
      <c r="AM44" s="278">
        <v>80</v>
      </c>
      <c r="AN44" s="278">
        <f t="shared" si="11"/>
        <v>1380.2131143333336</v>
      </c>
      <c r="AO44" s="275">
        <v>1</v>
      </c>
      <c r="AP44" s="43"/>
      <c r="AQ44" s="43"/>
      <c r="AR44" s="43"/>
      <c r="AS44" s="4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</row>
    <row r="45" spans="1:77" s="223" customFormat="1" ht="28.5" customHeight="1" x14ac:dyDescent="0.3">
      <c r="A45" s="224" t="s">
        <v>242</v>
      </c>
      <c r="B45" s="225" t="s">
        <v>1409</v>
      </c>
      <c r="C45" s="228">
        <v>52</v>
      </c>
      <c r="D45" s="263">
        <f>C45*C5</f>
        <v>1018.68</v>
      </c>
      <c r="E45" s="228">
        <v>26</v>
      </c>
      <c r="F45" s="263">
        <f>E45*F5</f>
        <v>509.34</v>
      </c>
      <c r="G45" s="227">
        <f t="shared" si="0"/>
        <v>1528.02</v>
      </c>
      <c r="H45" s="228">
        <v>0.41799999999999998</v>
      </c>
      <c r="I45" s="227">
        <f>H45*PARÂMETROS!$E$22</f>
        <v>17.710659999999997</v>
      </c>
      <c r="J45" s="228">
        <v>2E-3</v>
      </c>
      <c r="K45" s="227">
        <f>J45*PARÂMETROS!$E$22</f>
        <v>8.4739999999999996E-2</v>
      </c>
      <c r="L45" s="228">
        <f t="shared" si="1"/>
        <v>4.1800000000000004E-2</v>
      </c>
      <c r="M45" s="230">
        <f>L45*PARÂMETROS!$E$8</f>
        <v>1.2912020000000002</v>
      </c>
      <c r="N45" s="229">
        <f t="shared" si="2"/>
        <v>2.0000000000000001E-4</v>
      </c>
      <c r="O45" s="230">
        <f>N45*PARÂMETROS!$E$8</f>
        <v>6.1780000000000003E-3</v>
      </c>
      <c r="P45" s="231">
        <v>1.82</v>
      </c>
      <c r="Q45" s="230">
        <f>P45*PARÂMETROS!$E$27</f>
        <v>5.46</v>
      </c>
      <c r="R45" s="191"/>
      <c r="S45" s="232" t="s">
        <v>1424</v>
      </c>
      <c r="T45" s="264">
        <f t="shared" si="3"/>
        <v>1552.5727800000002</v>
      </c>
      <c r="U45" s="43"/>
      <c r="V45" s="265" t="s">
        <v>242</v>
      </c>
      <c r="W45" s="266">
        <f>PARÂMETROS!$H$3</f>
        <v>40</v>
      </c>
      <c r="X45" s="267">
        <v>4.1666666666666699E-2</v>
      </c>
      <c r="Y45" s="269">
        <v>6.9444444444444397E-3</v>
      </c>
      <c r="Z45" s="269">
        <v>2.0833333333333301E-2</v>
      </c>
      <c r="AA45" s="269">
        <v>6.9444444444444397E-3</v>
      </c>
      <c r="AB45" s="269">
        <v>3.125E-2</v>
      </c>
      <c r="AC45" s="270">
        <f t="shared" si="4"/>
        <v>0.10763888888888888</v>
      </c>
      <c r="AD45" s="271">
        <v>1</v>
      </c>
      <c r="AE45" s="266">
        <f t="shared" si="5"/>
        <v>103.33333333333333</v>
      </c>
      <c r="AF45" s="272">
        <f t="shared" si="6"/>
        <v>103.33333333333333</v>
      </c>
      <c r="AG45" s="43"/>
      <c r="AH45" s="273">
        <f t="shared" si="7"/>
        <v>1552.5727800000002</v>
      </c>
      <c r="AI45" s="274">
        <f t="shared" si="8"/>
        <v>103.33333333333333</v>
      </c>
      <c r="AJ45" s="275">
        <v>1</v>
      </c>
      <c r="AK45" s="276">
        <f t="shared" si="9"/>
        <v>103.33333333333333</v>
      </c>
      <c r="AL45" s="277">
        <f t="shared" si="10"/>
        <v>1655.9061133333335</v>
      </c>
      <c r="AM45" s="278">
        <v>80</v>
      </c>
      <c r="AN45" s="278">
        <f t="shared" si="11"/>
        <v>1735.9061133333335</v>
      </c>
      <c r="AO45" s="275">
        <v>1</v>
      </c>
      <c r="AP45" s="43"/>
      <c r="AQ45" s="43"/>
      <c r="AR45" s="43"/>
      <c r="AS45" s="4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</row>
    <row r="46" spans="1:77" s="223" customFormat="1" ht="28.5" customHeight="1" x14ac:dyDescent="0.3">
      <c r="A46" s="224" t="s">
        <v>246</v>
      </c>
      <c r="B46" s="225" t="s">
        <v>1409</v>
      </c>
      <c r="C46" s="228">
        <v>66</v>
      </c>
      <c r="D46" s="263">
        <f>C46*C5</f>
        <v>1292.94</v>
      </c>
      <c r="E46" s="228">
        <v>33</v>
      </c>
      <c r="F46" s="263">
        <f>E46*F5</f>
        <v>646.47</v>
      </c>
      <c r="G46" s="227">
        <f t="shared" si="0"/>
        <v>1939.41</v>
      </c>
      <c r="H46" s="228">
        <v>0.498</v>
      </c>
      <c r="I46" s="227">
        <f>H46*PARÂMETROS!$E$22</f>
        <v>21.100259999999999</v>
      </c>
      <c r="J46" s="228">
        <v>2E-3</v>
      </c>
      <c r="K46" s="227">
        <f>J46*PARÂMETROS!$E$22</f>
        <v>8.4739999999999996E-2</v>
      </c>
      <c r="L46" s="228">
        <f t="shared" si="1"/>
        <v>4.9800000000000004E-2</v>
      </c>
      <c r="M46" s="230">
        <f>L46*PARÂMETROS!$E$8</f>
        <v>1.5383220000000002</v>
      </c>
      <c r="N46" s="229">
        <f t="shared" si="2"/>
        <v>2.0000000000000001E-4</v>
      </c>
      <c r="O46" s="230">
        <f>N46*PARÂMETROS!$E$8</f>
        <v>6.1780000000000003E-3</v>
      </c>
      <c r="P46" s="231">
        <v>1.92</v>
      </c>
      <c r="Q46" s="230">
        <f>P46*PARÂMETROS!$E$27</f>
        <v>5.76</v>
      </c>
      <c r="R46" s="191"/>
      <c r="S46" s="232" t="s">
        <v>1425</v>
      </c>
      <c r="T46" s="264">
        <f t="shared" si="3"/>
        <v>1967.8995000000002</v>
      </c>
      <c r="U46" s="43"/>
      <c r="V46" s="265" t="s">
        <v>246</v>
      </c>
      <c r="W46" s="266">
        <f>PARÂMETROS!$H$3</f>
        <v>40</v>
      </c>
      <c r="X46" s="267">
        <v>4.1666666666666699E-2</v>
      </c>
      <c r="Y46" s="269">
        <v>6.9444444444444397E-3</v>
      </c>
      <c r="Z46" s="269">
        <v>2.0833333333333301E-2</v>
      </c>
      <c r="AA46" s="269">
        <v>6.9444444444444397E-3</v>
      </c>
      <c r="AB46" s="269">
        <v>3.125E-2</v>
      </c>
      <c r="AC46" s="270">
        <f t="shared" si="4"/>
        <v>0.10763888888888888</v>
      </c>
      <c r="AD46" s="271">
        <v>1</v>
      </c>
      <c r="AE46" s="266">
        <f t="shared" si="5"/>
        <v>103.33333333333333</v>
      </c>
      <c r="AF46" s="272">
        <f t="shared" si="6"/>
        <v>103.33333333333333</v>
      </c>
      <c r="AG46" s="43"/>
      <c r="AH46" s="273">
        <f t="shared" si="7"/>
        <v>1967.8995000000002</v>
      </c>
      <c r="AI46" s="274">
        <f t="shared" si="8"/>
        <v>103.33333333333333</v>
      </c>
      <c r="AJ46" s="275">
        <v>1</v>
      </c>
      <c r="AK46" s="276">
        <f t="shared" si="9"/>
        <v>103.33333333333333</v>
      </c>
      <c r="AL46" s="277">
        <f t="shared" si="10"/>
        <v>2071.2328333333335</v>
      </c>
      <c r="AM46" s="278">
        <v>80</v>
      </c>
      <c r="AN46" s="278">
        <f t="shared" si="11"/>
        <v>2151.2328333333335</v>
      </c>
      <c r="AO46" s="275">
        <v>1</v>
      </c>
      <c r="AP46" s="43"/>
      <c r="AQ46" s="43"/>
      <c r="AR46" s="43"/>
      <c r="AS46" s="4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</row>
    <row r="47" spans="1:77" s="223" customFormat="1" ht="28.5" customHeight="1" x14ac:dyDescent="0.3">
      <c r="A47" s="224" t="s">
        <v>250</v>
      </c>
      <c r="B47" s="225" t="s">
        <v>1409</v>
      </c>
      <c r="C47" s="228">
        <v>86</v>
      </c>
      <c r="D47" s="263">
        <f>C47*C5</f>
        <v>1684.74</v>
      </c>
      <c r="E47" s="228">
        <v>43</v>
      </c>
      <c r="F47" s="263">
        <f>E47*F5</f>
        <v>842.37</v>
      </c>
      <c r="G47" s="227">
        <f t="shared" si="0"/>
        <v>2527.11</v>
      </c>
      <c r="H47" s="228">
        <v>0.54</v>
      </c>
      <c r="I47" s="227">
        <f>H47*PARÂMETROS!$E$22</f>
        <v>22.879799999999999</v>
      </c>
      <c r="J47" s="228">
        <v>2E-3</v>
      </c>
      <c r="K47" s="227">
        <f>J47*PARÂMETROS!$E$22</f>
        <v>8.4739999999999996E-2</v>
      </c>
      <c r="L47" s="228">
        <f t="shared" si="1"/>
        <v>5.4000000000000006E-2</v>
      </c>
      <c r="M47" s="230">
        <f>L47*PARÂMETROS!$E$8</f>
        <v>1.6680600000000003</v>
      </c>
      <c r="N47" s="229">
        <f t="shared" si="2"/>
        <v>2.0000000000000001E-4</v>
      </c>
      <c r="O47" s="230">
        <f>N47*PARÂMETROS!$E$8</f>
        <v>6.1780000000000003E-3</v>
      </c>
      <c r="P47" s="231">
        <v>2</v>
      </c>
      <c r="Q47" s="230">
        <f>P47*PARÂMETROS!$E$27</f>
        <v>6</v>
      </c>
      <c r="R47" s="191"/>
      <c r="S47" s="232" t="s">
        <v>1426</v>
      </c>
      <c r="T47" s="264">
        <f t="shared" si="3"/>
        <v>2557.7487780000001</v>
      </c>
      <c r="U47" s="43"/>
      <c r="V47" s="265" t="s">
        <v>250</v>
      </c>
      <c r="W47" s="266">
        <f>PARÂMETROS!$H$3</f>
        <v>40</v>
      </c>
      <c r="X47" s="267">
        <v>4.1666666666666699E-2</v>
      </c>
      <c r="Y47" s="269">
        <v>6.9444444444444397E-3</v>
      </c>
      <c r="Z47" s="269">
        <v>2.0833333333333301E-2</v>
      </c>
      <c r="AA47" s="269">
        <v>6.9444444444444397E-3</v>
      </c>
      <c r="AB47" s="269">
        <v>3.125E-2</v>
      </c>
      <c r="AC47" s="270">
        <f t="shared" si="4"/>
        <v>0.10763888888888888</v>
      </c>
      <c r="AD47" s="271">
        <v>1</v>
      </c>
      <c r="AE47" s="266">
        <f t="shared" si="5"/>
        <v>103.33333333333333</v>
      </c>
      <c r="AF47" s="272">
        <f t="shared" si="6"/>
        <v>103.33333333333333</v>
      </c>
      <c r="AG47" s="43"/>
      <c r="AH47" s="273">
        <f t="shared" si="7"/>
        <v>2557.7487780000001</v>
      </c>
      <c r="AI47" s="274">
        <f t="shared" si="8"/>
        <v>103.33333333333333</v>
      </c>
      <c r="AJ47" s="275">
        <v>1</v>
      </c>
      <c r="AK47" s="276">
        <f t="shared" si="9"/>
        <v>103.33333333333333</v>
      </c>
      <c r="AL47" s="277">
        <f t="shared" si="10"/>
        <v>2661.0821113333336</v>
      </c>
      <c r="AM47" s="278">
        <v>80</v>
      </c>
      <c r="AN47" s="278">
        <f t="shared" si="11"/>
        <v>2741.0821113333336</v>
      </c>
      <c r="AO47" s="275">
        <v>1</v>
      </c>
      <c r="AP47" s="43"/>
      <c r="AQ47" s="43"/>
      <c r="AR47" s="43"/>
      <c r="AS47" s="4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</row>
    <row r="48" spans="1:77" s="223" customFormat="1" ht="28.5" customHeight="1" x14ac:dyDescent="0.3">
      <c r="A48" s="224" t="s">
        <v>254</v>
      </c>
      <c r="B48" s="225" t="s">
        <v>1409</v>
      </c>
      <c r="C48" s="228">
        <v>90</v>
      </c>
      <c r="D48" s="263">
        <f>C48*C5</f>
        <v>1763.1</v>
      </c>
      <c r="E48" s="228">
        <v>45</v>
      </c>
      <c r="F48" s="263">
        <f>E48*F5</f>
        <v>881.55</v>
      </c>
      <c r="G48" s="227">
        <f t="shared" si="0"/>
        <v>2644.6499999999996</v>
      </c>
      <c r="H48" s="228">
        <v>0.61499999999999999</v>
      </c>
      <c r="I48" s="227">
        <f>H48*PARÂMETROS!$E$22</f>
        <v>26.057549999999999</v>
      </c>
      <c r="J48" s="228">
        <v>2E-3</v>
      </c>
      <c r="K48" s="227">
        <f>J48*PARÂMETROS!$E$22</f>
        <v>8.4739999999999996E-2</v>
      </c>
      <c r="L48" s="228">
        <f t="shared" si="1"/>
        <v>6.1499999999999999E-2</v>
      </c>
      <c r="M48" s="230">
        <f>L48*PARÂMETROS!$E$8</f>
        <v>1.899735</v>
      </c>
      <c r="N48" s="229">
        <f t="shared" si="2"/>
        <v>2.0000000000000001E-4</v>
      </c>
      <c r="O48" s="230">
        <f>N48*PARÂMETROS!$E$8</f>
        <v>6.1780000000000003E-3</v>
      </c>
      <c r="P48" s="231">
        <v>2.1</v>
      </c>
      <c r="Q48" s="230">
        <f>P48*PARÂMETROS!$E$27</f>
        <v>6.3000000000000007</v>
      </c>
      <c r="R48" s="191"/>
      <c r="S48" s="232" t="s">
        <v>1427</v>
      </c>
      <c r="T48" s="264">
        <f t="shared" si="3"/>
        <v>2678.9982029999996</v>
      </c>
      <c r="U48" s="43"/>
      <c r="V48" s="265" t="s">
        <v>254</v>
      </c>
      <c r="W48" s="266">
        <f>PARÂMETROS!$H$3</f>
        <v>40</v>
      </c>
      <c r="X48" s="267">
        <v>4.1666666666666699E-2</v>
      </c>
      <c r="Y48" s="269">
        <v>6.9444444444444397E-3</v>
      </c>
      <c r="Z48" s="269">
        <v>2.0833333333333301E-2</v>
      </c>
      <c r="AA48" s="269">
        <v>6.9444444444444397E-3</v>
      </c>
      <c r="AB48" s="269">
        <v>3.125E-2</v>
      </c>
      <c r="AC48" s="270">
        <f t="shared" si="4"/>
        <v>0.10763888888888888</v>
      </c>
      <c r="AD48" s="271">
        <v>1</v>
      </c>
      <c r="AE48" s="266">
        <f t="shared" si="5"/>
        <v>103.33333333333333</v>
      </c>
      <c r="AF48" s="272">
        <f t="shared" si="6"/>
        <v>103.33333333333333</v>
      </c>
      <c r="AG48" s="43"/>
      <c r="AH48" s="273">
        <f t="shared" si="7"/>
        <v>2678.9982029999996</v>
      </c>
      <c r="AI48" s="274">
        <f t="shared" si="8"/>
        <v>103.33333333333333</v>
      </c>
      <c r="AJ48" s="275">
        <v>1</v>
      </c>
      <c r="AK48" s="276">
        <f t="shared" si="9"/>
        <v>103.33333333333333</v>
      </c>
      <c r="AL48" s="277">
        <f t="shared" si="10"/>
        <v>2782.3315363333331</v>
      </c>
      <c r="AM48" s="278">
        <v>80</v>
      </c>
      <c r="AN48" s="278">
        <f t="shared" si="11"/>
        <v>2862.3315363333331</v>
      </c>
      <c r="AO48" s="275">
        <v>1</v>
      </c>
      <c r="AP48" s="43"/>
      <c r="AQ48" s="43"/>
      <c r="AR48" s="43"/>
      <c r="AS48" s="4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</row>
    <row r="49" spans="1:77" s="223" customFormat="1" ht="28.5" customHeight="1" x14ac:dyDescent="0.3">
      <c r="A49" s="224" t="s">
        <v>258</v>
      </c>
      <c r="B49" s="225" t="s">
        <v>1409</v>
      </c>
      <c r="C49" s="228">
        <v>115</v>
      </c>
      <c r="D49" s="263">
        <f>C49*C5</f>
        <v>2252.85</v>
      </c>
      <c r="E49" s="228">
        <v>57</v>
      </c>
      <c r="F49" s="263">
        <f>E49*F5</f>
        <v>1116.6299999999999</v>
      </c>
      <c r="G49" s="227">
        <f t="shared" si="0"/>
        <v>3369.4799999999996</v>
      </c>
      <c r="H49" s="228">
        <v>0.71</v>
      </c>
      <c r="I49" s="227">
        <f>H49*PARÂMETROS!$E$22</f>
        <v>30.082699999999996</v>
      </c>
      <c r="J49" s="228">
        <v>2E-3</v>
      </c>
      <c r="K49" s="227">
        <f>J49*PARÂMETROS!$E$22</f>
        <v>8.4739999999999996E-2</v>
      </c>
      <c r="L49" s="228">
        <f t="shared" si="1"/>
        <v>7.0999999999999994E-2</v>
      </c>
      <c r="M49" s="230">
        <f>L49*PARÂMETROS!$E$8</f>
        <v>2.19319</v>
      </c>
      <c r="N49" s="229">
        <f t="shared" si="2"/>
        <v>2.0000000000000001E-4</v>
      </c>
      <c r="O49" s="230">
        <f>N49*PARÂMETROS!$E$8</f>
        <v>6.1780000000000003E-3</v>
      </c>
      <c r="P49" s="231">
        <v>2.2000000000000002</v>
      </c>
      <c r="Q49" s="230">
        <f>P49*PARÂMETROS!$E$27</f>
        <v>6.6000000000000005</v>
      </c>
      <c r="R49" s="191"/>
      <c r="S49" s="232" t="s">
        <v>1428</v>
      </c>
      <c r="T49" s="264">
        <f t="shared" si="3"/>
        <v>3408.4468079999992</v>
      </c>
      <c r="U49" s="43"/>
      <c r="V49" s="265" t="s">
        <v>258</v>
      </c>
      <c r="W49" s="266">
        <f>PARÂMETROS!$H$3</f>
        <v>40</v>
      </c>
      <c r="X49" s="267">
        <v>4.1666666666666699E-2</v>
      </c>
      <c r="Y49" s="269">
        <v>6.9444444444444397E-3</v>
      </c>
      <c r="Z49" s="269">
        <v>2.0833333333333301E-2</v>
      </c>
      <c r="AA49" s="269">
        <v>6.9444444444444397E-3</v>
      </c>
      <c r="AB49" s="269">
        <v>3.125E-2</v>
      </c>
      <c r="AC49" s="270">
        <f t="shared" si="4"/>
        <v>0.10763888888888888</v>
      </c>
      <c r="AD49" s="271">
        <v>1</v>
      </c>
      <c r="AE49" s="266">
        <f t="shared" si="5"/>
        <v>103.33333333333333</v>
      </c>
      <c r="AF49" s="272">
        <f t="shared" si="6"/>
        <v>103.33333333333333</v>
      </c>
      <c r="AG49" s="43"/>
      <c r="AH49" s="273">
        <f t="shared" si="7"/>
        <v>3408.4468079999992</v>
      </c>
      <c r="AI49" s="274">
        <f t="shared" si="8"/>
        <v>103.33333333333333</v>
      </c>
      <c r="AJ49" s="275">
        <v>1</v>
      </c>
      <c r="AK49" s="276">
        <f t="shared" si="9"/>
        <v>103.33333333333333</v>
      </c>
      <c r="AL49" s="277">
        <f t="shared" si="10"/>
        <v>3511.7801413333327</v>
      </c>
      <c r="AM49" s="278">
        <v>80</v>
      </c>
      <c r="AN49" s="278">
        <f t="shared" si="11"/>
        <v>3591.7801413333327</v>
      </c>
      <c r="AO49" s="275">
        <v>1</v>
      </c>
      <c r="AP49" s="43"/>
      <c r="AQ49" s="43"/>
      <c r="AR49" s="43"/>
      <c r="AS49" s="4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</row>
    <row r="50" spans="1:77" s="223" customFormat="1" ht="28.5" customHeight="1" x14ac:dyDescent="0.3">
      <c r="A50" s="224" t="s">
        <v>262</v>
      </c>
      <c r="B50" s="225" t="s">
        <v>1409</v>
      </c>
      <c r="C50" s="228">
        <v>140</v>
      </c>
      <c r="D50" s="263">
        <f>C50*C5</f>
        <v>2742.6</v>
      </c>
      <c r="E50" s="228">
        <v>70</v>
      </c>
      <c r="F50" s="263">
        <f>E50*F5</f>
        <v>1371.3</v>
      </c>
      <c r="G50" s="227">
        <f t="shared" si="0"/>
        <v>4113.8999999999996</v>
      </c>
      <c r="H50" s="228">
        <v>0.79500000000000004</v>
      </c>
      <c r="I50" s="227">
        <f>H50*PARÂMETROS!$E$22</f>
        <v>33.684150000000002</v>
      </c>
      <c r="J50" s="228">
        <v>2E-3</v>
      </c>
      <c r="K50" s="227">
        <f>J50*PARÂMETROS!$E$22</f>
        <v>8.4739999999999996E-2</v>
      </c>
      <c r="L50" s="228">
        <f t="shared" si="1"/>
        <v>7.9500000000000015E-2</v>
      </c>
      <c r="M50" s="230">
        <f>L50*PARÂMETROS!$E$8</f>
        <v>2.4557550000000004</v>
      </c>
      <c r="N50" s="229">
        <f t="shared" si="2"/>
        <v>2.0000000000000001E-4</v>
      </c>
      <c r="O50" s="230">
        <f>N50*PARÂMETROS!$E$8</f>
        <v>6.1780000000000003E-3</v>
      </c>
      <c r="P50" s="231">
        <v>2.2999999999999998</v>
      </c>
      <c r="Q50" s="230">
        <f>P50*PARÂMETROS!$E$27</f>
        <v>6.8999999999999995</v>
      </c>
      <c r="R50" s="191"/>
      <c r="S50" s="232" t="s">
        <v>1429</v>
      </c>
      <c r="T50" s="264">
        <f t="shared" si="3"/>
        <v>4157.0308229999991</v>
      </c>
      <c r="U50" s="43"/>
      <c r="V50" s="265" t="s">
        <v>262</v>
      </c>
      <c r="W50" s="266">
        <f>PARÂMETROS!$H$3</f>
        <v>40</v>
      </c>
      <c r="X50" s="267">
        <v>4.1666666666666699E-2</v>
      </c>
      <c r="Y50" s="269">
        <v>6.9444444444444397E-3</v>
      </c>
      <c r="Z50" s="269">
        <v>2.0833333333333301E-2</v>
      </c>
      <c r="AA50" s="269">
        <v>6.9444444444444397E-3</v>
      </c>
      <c r="AB50" s="269">
        <v>3.125E-2</v>
      </c>
      <c r="AC50" s="270">
        <f t="shared" si="4"/>
        <v>0.10763888888888888</v>
      </c>
      <c r="AD50" s="271">
        <v>1</v>
      </c>
      <c r="AE50" s="266">
        <f t="shared" si="5"/>
        <v>103.33333333333333</v>
      </c>
      <c r="AF50" s="272">
        <f t="shared" si="6"/>
        <v>103.33333333333333</v>
      </c>
      <c r="AG50" s="43"/>
      <c r="AH50" s="273">
        <f t="shared" si="7"/>
        <v>4157.0308229999991</v>
      </c>
      <c r="AI50" s="274">
        <f t="shared" si="8"/>
        <v>103.33333333333333</v>
      </c>
      <c r="AJ50" s="275">
        <v>1</v>
      </c>
      <c r="AK50" s="276">
        <f t="shared" si="9"/>
        <v>103.33333333333333</v>
      </c>
      <c r="AL50" s="277">
        <f t="shared" si="10"/>
        <v>4260.3641563333322</v>
      </c>
      <c r="AM50" s="278">
        <v>80</v>
      </c>
      <c r="AN50" s="278">
        <f t="shared" si="11"/>
        <v>4340.3641563333322</v>
      </c>
      <c r="AO50" s="275">
        <v>1</v>
      </c>
      <c r="AP50" s="43"/>
      <c r="AQ50" s="43"/>
      <c r="AR50" s="43"/>
      <c r="AS50" s="4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</row>
    <row r="51" spans="1:77" s="223" customFormat="1" ht="28.5" customHeight="1" x14ac:dyDescent="0.3">
      <c r="A51" s="224" t="s">
        <v>266</v>
      </c>
      <c r="B51" s="225" t="s">
        <v>1409</v>
      </c>
      <c r="C51" s="228">
        <v>170</v>
      </c>
      <c r="D51" s="263">
        <f>C51*C5</f>
        <v>3330.3</v>
      </c>
      <c r="E51" s="228">
        <v>85</v>
      </c>
      <c r="F51" s="263">
        <f>E51*F5</f>
        <v>1665.15</v>
      </c>
      <c r="G51" s="227">
        <f t="shared" si="0"/>
        <v>4995.4500000000007</v>
      </c>
      <c r="H51" s="228">
        <v>0.88500000000000001</v>
      </c>
      <c r="I51" s="227">
        <f>H51*PARÂMETROS!$E$22</f>
        <v>37.497450000000001</v>
      </c>
      <c r="J51" s="228">
        <v>2E-3</v>
      </c>
      <c r="K51" s="227">
        <f>J51*PARÂMETROS!$E$22</f>
        <v>8.4739999999999996E-2</v>
      </c>
      <c r="L51" s="228">
        <f t="shared" si="1"/>
        <v>8.8500000000000009E-2</v>
      </c>
      <c r="M51" s="230">
        <f>L51*PARÂMETROS!$E$8</f>
        <v>2.7337650000000004</v>
      </c>
      <c r="N51" s="229">
        <f t="shared" si="2"/>
        <v>2.0000000000000001E-4</v>
      </c>
      <c r="O51" s="230">
        <f>N51*PARÂMETROS!$E$8</f>
        <v>6.1780000000000003E-3</v>
      </c>
      <c r="P51" s="231">
        <v>2.4</v>
      </c>
      <c r="Q51" s="230">
        <f>P51*PARÂMETROS!$E$27</f>
        <v>7.1999999999999993</v>
      </c>
      <c r="R51" s="191"/>
      <c r="S51" s="232" t="s">
        <v>1430</v>
      </c>
      <c r="T51" s="264">
        <f t="shared" si="3"/>
        <v>5042.9721330000002</v>
      </c>
      <c r="U51" s="43"/>
      <c r="V51" s="265" t="s">
        <v>266</v>
      </c>
      <c r="W51" s="266">
        <f>PARÂMETROS!$H$3</f>
        <v>40</v>
      </c>
      <c r="X51" s="267">
        <v>8.3333333333333301E-2</v>
      </c>
      <c r="Y51" s="269">
        <v>6.9444444444444397E-3</v>
      </c>
      <c r="Z51" s="269">
        <v>2.0833333333333301E-2</v>
      </c>
      <c r="AA51" s="269">
        <v>6.9444444444444397E-3</v>
      </c>
      <c r="AB51" s="269">
        <v>3.125E-2</v>
      </c>
      <c r="AC51" s="270">
        <f t="shared" si="4"/>
        <v>0.14930555555555547</v>
      </c>
      <c r="AD51" s="271">
        <v>1</v>
      </c>
      <c r="AE51" s="266">
        <f t="shared" si="5"/>
        <v>143.33333333333326</v>
      </c>
      <c r="AF51" s="272">
        <f t="shared" si="6"/>
        <v>143.33333333333326</v>
      </c>
      <c r="AG51" s="43"/>
      <c r="AH51" s="273">
        <f t="shared" si="7"/>
        <v>5042.9721330000002</v>
      </c>
      <c r="AI51" s="274">
        <f t="shared" si="8"/>
        <v>143.33333333333326</v>
      </c>
      <c r="AJ51" s="275">
        <v>1</v>
      </c>
      <c r="AK51" s="276">
        <f t="shared" si="9"/>
        <v>143.33333333333326</v>
      </c>
      <c r="AL51" s="277">
        <f t="shared" si="10"/>
        <v>5186.3054663333332</v>
      </c>
      <c r="AM51" s="278">
        <v>80</v>
      </c>
      <c r="AN51" s="278">
        <f t="shared" si="11"/>
        <v>5266.3054663333332</v>
      </c>
      <c r="AO51" s="275">
        <v>1</v>
      </c>
      <c r="AP51" s="43"/>
      <c r="AQ51" s="43"/>
      <c r="AR51" s="43"/>
      <c r="AS51" s="4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</row>
    <row r="52" spans="1:77" s="223" customFormat="1" ht="28.5" customHeight="1" x14ac:dyDescent="0.3">
      <c r="A52" s="224" t="s">
        <v>270</v>
      </c>
      <c r="B52" s="225" t="s">
        <v>1409</v>
      </c>
      <c r="C52" s="228">
        <v>180</v>
      </c>
      <c r="D52" s="263">
        <f>C52*C5</f>
        <v>3526.2</v>
      </c>
      <c r="E52" s="228">
        <v>90</v>
      </c>
      <c r="F52" s="263">
        <f>E52*F5</f>
        <v>1763.1</v>
      </c>
      <c r="G52" s="227">
        <f t="shared" si="0"/>
        <v>5289.2999999999993</v>
      </c>
      <c r="H52" s="228">
        <v>0.96</v>
      </c>
      <c r="I52" s="227">
        <f>H52*PARÂMETROS!$E$22</f>
        <v>40.675199999999997</v>
      </c>
      <c r="J52" s="228">
        <v>2E-3</v>
      </c>
      <c r="K52" s="227">
        <f>J52*PARÂMETROS!$E$22</f>
        <v>8.4739999999999996E-2</v>
      </c>
      <c r="L52" s="228">
        <f t="shared" si="1"/>
        <v>9.6000000000000002E-2</v>
      </c>
      <c r="M52" s="230">
        <f>L52*PARÂMETROS!$E$8</f>
        <v>2.9654400000000001</v>
      </c>
      <c r="N52" s="229">
        <f t="shared" si="2"/>
        <v>2.0000000000000001E-4</v>
      </c>
      <c r="O52" s="230">
        <f>N52*PARÂMETROS!$E$8</f>
        <v>6.1780000000000003E-3</v>
      </c>
      <c r="P52" s="231">
        <v>2.5</v>
      </c>
      <c r="Q52" s="230">
        <f>P52*PARÂMETROS!$E$27</f>
        <v>7.5</v>
      </c>
      <c r="R52" s="191"/>
      <c r="S52" s="232" t="s">
        <v>1431</v>
      </c>
      <c r="T52" s="264">
        <f t="shared" si="3"/>
        <v>5340.5315579999988</v>
      </c>
      <c r="U52" s="43"/>
      <c r="V52" s="265" t="s">
        <v>270</v>
      </c>
      <c r="W52" s="266">
        <f>PARÂMETROS!$H$3</f>
        <v>40</v>
      </c>
      <c r="X52" s="267">
        <v>8.3333333333333301E-2</v>
      </c>
      <c r="Y52" s="269">
        <v>6.9444444444444397E-3</v>
      </c>
      <c r="Z52" s="269">
        <v>2.0833333333333301E-2</v>
      </c>
      <c r="AA52" s="269">
        <v>6.9444444444444397E-3</v>
      </c>
      <c r="AB52" s="269">
        <v>3.125E-2</v>
      </c>
      <c r="AC52" s="270">
        <f t="shared" si="4"/>
        <v>0.14930555555555547</v>
      </c>
      <c r="AD52" s="271">
        <v>1</v>
      </c>
      <c r="AE52" s="266">
        <f t="shared" si="5"/>
        <v>143.33333333333326</v>
      </c>
      <c r="AF52" s="272">
        <f t="shared" si="6"/>
        <v>143.33333333333326</v>
      </c>
      <c r="AG52" s="43"/>
      <c r="AH52" s="273">
        <f t="shared" si="7"/>
        <v>5340.5315579999988</v>
      </c>
      <c r="AI52" s="274">
        <f t="shared" si="8"/>
        <v>143.33333333333326</v>
      </c>
      <c r="AJ52" s="275">
        <v>1</v>
      </c>
      <c r="AK52" s="276">
        <f t="shared" si="9"/>
        <v>143.33333333333326</v>
      </c>
      <c r="AL52" s="277">
        <f t="shared" si="10"/>
        <v>5483.8648913333318</v>
      </c>
      <c r="AM52" s="278">
        <v>80</v>
      </c>
      <c r="AN52" s="278">
        <f t="shared" si="11"/>
        <v>5563.8648913333318</v>
      </c>
      <c r="AO52" s="275">
        <v>1</v>
      </c>
      <c r="AP52" s="43"/>
      <c r="AQ52" s="43"/>
      <c r="AR52" s="43"/>
      <c r="AS52" s="4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</row>
    <row r="53" spans="1:77" s="223" customFormat="1" ht="28.5" customHeight="1" x14ac:dyDescent="0.3">
      <c r="A53" s="224" t="s">
        <v>274</v>
      </c>
      <c r="B53" s="225" t="s">
        <v>1409</v>
      </c>
      <c r="C53" s="228">
        <v>200</v>
      </c>
      <c r="D53" s="263">
        <f>C53*C5</f>
        <v>3918</v>
      </c>
      <c r="E53" s="228">
        <v>100</v>
      </c>
      <c r="F53" s="263">
        <f>E53*F5</f>
        <v>1959</v>
      </c>
      <c r="G53" s="227">
        <f t="shared" si="0"/>
        <v>5877</v>
      </c>
      <c r="H53" s="228">
        <v>1.079</v>
      </c>
      <c r="I53" s="227">
        <f>H53*PARÂMETROS!$E$22</f>
        <v>45.717229999999994</v>
      </c>
      <c r="J53" s="228">
        <v>2E-3</v>
      </c>
      <c r="K53" s="227">
        <f>J53*PARÂMETROS!$E$22</f>
        <v>8.4739999999999996E-2</v>
      </c>
      <c r="L53" s="228">
        <f t="shared" si="1"/>
        <v>0.1079</v>
      </c>
      <c r="M53" s="230">
        <f>L53*PARÂMETROS!$E$8</f>
        <v>3.3330310000000001</v>
      </c>
      <c r="N53" s="229">
        <f t="shared" si="2"/>
        <v>2.0000000000000001E-4</v>
      </c>
      <c r="O53" s="230">
        <f>N53*PARÂMETROS!$E$8</f>
        <v>6.1780000000000003E-3</v>
      </c>
      <c r="P53" s="231">
        <v>2.6</v>
      </c>
      <c r="Q53" s="230">
        <f>P53*PARÂMETROS!$E$27</f>
        <v>7.8000000000000007</v>
      </c>
      <c r="R53" s="191"/>
      <c r="S53" s="232" t="s">
        <v>1432</v>
      </c>
      <c r="T53" s="264">
        <f t="shared" si="3"/>
        <v>5933.9411790000004</v>
      </c>
      <c r="U53" s="43"/>
      <c r="V53" s="265" t="s">
        <v>274</v>
      </c>
      <c r="W53" s="266">
        <f>PARÂMETROS!$H$3</f>
        <v>40</v>
      </c>
      <c r="X53" s="267">
        <v>8.3333333333333301E-2</v>
      </c>
      <c r="Y53" s="269">
        <v>6.9444444444444397E-3</v>
      </c>
      <c r="Z53" s="269">
        <v>2.0833333333333301E-2</v>
      </c>
      <c r="AA53" s="269">
        <v>6.9444444444444397E-3</v>
      </c>
      <c r="AB53" s="269">
        <v>3.125E-2</v>
      </c>
      <c r="AC53" s="270">
        <f t="shared" si="4"/>
        <v>0.14930555555555547</v>
      </c>
      <c r="AD53" s="271">
        <v>1</v>
      </c>
      <c r="AE53" s="266">
        <f t="shared" si="5"/>
        <v>143.33333333333326</v>
      </c>
      <c r="AF53" s="272">
        <f t="shared" si="6"/>
        <v>143.33333333333326</v>
      </c>
      <c r="AG53" s="43"/>
      <c r="AH53" s="273">
        <f t="shared" si="7"/>
        <v>5933.9411790000004</v>
      </c>
      <c r="AI53" s="274">
        <f t="shared" si="8"/>
        <v>143.33333333333326</v>
      </c>
      <c r="AJ53" s="275">
        <v>1</v>
      </c>
      <c r="AK53" s="276">
        <f t="shared" si="9"/>
        <v>143.33333333333326</v>
      </c>
      <c r="AL53" s="277">
        <f t="shared" si="10"/>
        <v>6077.2745123333334</v>
      </c>
      <c r="AM53" s="278">
        <v>80</v>
      </c>
      <c r="AN53" s="278">
        <f t="shared" si="11"/>
        <v>6157.2745123333334</v>
      </c>
      <c r="AO53" s="275">
        <v>1</v>
      </c>
      <c r="AP53" s="43"/>
      <c r="AQ53" s="43"/>
      <c r="AR53" s="43"/>
      <c r="AS53" s="4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</row>
    <row r="54" spans="1:77" s="223" customFormat="1" ht="28.5" customHeight="1" x14ac:dyDescent="0.3">
      <c r="A54" s="224" t="s">
        <v>278</v>
      </c>
      <c r="B54" s="225" t="s">
        <v>1409</v>
      </c>
      <c r="C54" s="228">
        <v>235</v>
      </c>
      <c r="D54" s="263">
        <f>C54*C5</f>
        <v>4603.6499999999996</v>
      </c>
      <c r="E54" s="228">
        <v>117.5</v>
      </c>
      <c r="F54" s="263">
        <f>E54*F5</f>
        <v>2301.8249999999998</v>
      </c>
      <c r="G54" s="227">
        <f t="shared" si="0"/>
        <v>6905.4749999999995</v>
      </c>
      <c r="H54" s="228">
        <v>1.1599999999999999</v>
      </c>
      <c r="I54" s="227">
        <f>H54*PARÂMETROS!$E$22</f>
        <v>49.149199999999993</v>
      </c>
      <c r="J54" s="228">
        <v>2E-3</v>
      </c>
      <c r="K54" s="227">
        <f>J54*PARÂMETROS!$E$22</f>
        <v>8.4739999999999996E-2</v>
      </c>
      <c r="L54" s="228">
        <f t="shared" si="1"/>
        <v>0.11599999999999999</v>
      </c>
      <c r="M54" s="230">
        <f>L54*PARÂMETROS!$E$8</f>
        <v>3.58324</v>
      </c>
      <c r="N54" s="229">
        <f t="shared" si="2"/>
        <v>2.0000000000000001E-4</v>
      </c>
      <c r="O54" s="230">
        <f>N54*PARÂMETROS!$E$8</f>
        <v>6.1780000000000003E-3</v>
      </c>
      <c r="P54" s="231">
        <v>2.7</v>
      </c>
      <c r="Q54" s="230">
        <f>P54*PARÂMETROS!$E$27</f>
        <v>8.1000000000000014</v>
      </c>
      <c r="R54" s="191"/>
      <c r="S54" s="232" t="s">
        <v>1433</v>
      </c>
      <c r="T54" s="264">
        <f t="shared" si="3"/>
        <v>6966.3983579999995</v>
      </c>
      <c r="U54" s="43"/>
      <c r="V54" s="265" t="s">
        <v>278</v>
      </c>
      <c r="W54" s="266">
        <f>PARÂMETROS!$H$3</f>
        <v>40</v>
      </c>
      <c r="X54" s="267">
        <v>8.3333333333333301E-2</v>
      </c>
      <c r="Y54" s="269">
        <v>6.9444444444444397E-3</v>
      </c>
      <c r="Z54" s="269">
        <v>2.0833333333333301E-2</v>
      </c>
      <c r="AA54" s="269">
        <v>6.9444444444444397E-3</v>
      </c>
      <c r="AB54" s="269">
        <v>3.125E-2</v>
      </c>
      <c r="AC54" s="270">
        <f t="shared" si="4"/>
        <v>0.14930555555555547</v>
      </c>
      <c r="AD54" s="271">
        <v>1</v>
      </c>
      <c r="AE54" s="266">
        <f t="shared" si="5"/>
        <v>143.33333333333326</v>
      </c>
      <c r="AF54" s="272">
        <f t="shared" si="6"/>
        <v>143.33333333333326</v>
      </c>
      <c r="AG54" s="43"/>
      <c r="AH54" s="273">
        <f t="shared" si="7"/>
        <v>6966.3983579999995</v>
      </c>
      <c r="AI54" s="274">
        <f t="shared" si="8"/>
        <v>143.33333333333326</v>
      </c>
      <c r="AJ54" s="275">
        <v>1</v>
      </c>
      <c r="AK54" s="276">
        <f t="shared" si="9"/>
        <v>143.33333333333326</v>
      </c>
      <c r="AL54" s="277">
        <f t="shared" si="10"/>
        <v>7109.7316913333325</v>
      </c>
      <c r="AM54" s="278">
        <v>80</v>
      </c>
      <c r="AN54" s="278">
        <f t="shared" si="11"/>
        <v>7189.7316913333325</v>
      </c>
      <c r="AO54" s="275">
        <v>1</v>
      </c>
      <c r="AP54" s="43"/>
      <c r="AQ54" s="43"/>
      <c r="AR54" s="43"/>
      <c r="AS54" s="4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</row>
    <row r="55" spans="1:77" s="223" customFormat="1" ht="28.5" customHeight="1" x14ac:dyDescent="0.3">
      <c r="A55" s="43"/>
      <c r="B55" s="43"/>
      <c r="C55" s="43"/>
      <c r="D55" s="246"/>
      <c r="E55" s="43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43"/>
      <c r="R55" s="191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248"/>
      <c r="AI55" s="248"/>
      <c r="AL55" s="248"/>
      <c r="AM55" s="248"/>
      <c r="AN55" s="248"/>
      <c r="AO55" s="248"/>
      <c r="AP55" s="43"/>
      <c r="AQ55" s="43"/>
      <c r="AR55" s="43"/>
      <c r="AS55" s="4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</row>
    <row r="56" spans="1:77" s="223" customFormat="1" ht="23.25" customHeight="1" x14ac:dyDescent="0.3">
      <c r="A56" s="43"/>
      <c r="B56" s="43"/>
      <c r="C56" s="43"/>
      <c r="D56" s="246"/>
      <c r="E56" s="43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248"/>
      <c r="AI56" s="248"/>
      <c r="AL56" s="248"/>
      <c r="AM56" s="248"/>
      <c r="AN56" s="248"/>
      <c r="AO56" s="248"/>
      <c r="AP56" s="43"/>
      <c r="AQ56" s="43"/>
      <c r="AR56" s="43"/>
      <c r="AS56" s="4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</row>
    <row r="57" spans="1:77" s="223" customFormat="1" ht="23.25" customHeight="1" x14ac:dyDescent="0.3">
      <c r="A57" s="43"/>
      <c r="B57" s="43"/>
      <c r="C57" s="43"/>
      <c r="D57" s="246"/>
      <c r="E57" s="43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248"/>
      <c r="AI57" s="248"/>
      <c r="AL57" s="248"/>
      <c r="AM57" s="248"/>
      <c r="AN57" s="248"/>
      <c r="AO57" s="248"/>
      <c r="AP57" s="43"/>
      <c r="AQ57" s="43"/>
      <c r="AR57" s="43"/>
      <c r="AS57" s="4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</row>
    <row r="58" spans="1:77" s="223" customFormat="1" ht="23.25" customHeight="1" x14ac:dyDescent="0.3">
      <c r="A58" s="43"/>
      <c r="B58" s="43"/>
      <c r="C58" s="43"/>
      <c r="D58" s="246"/>
      <c r="E58" s="43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248"/>
      <c r="AI58" s="248"/>
      <c r="AL58" s="248"/>
      <c r="AM58" s="248"/>
      <c r="AN58" s="248"/>
      <c r="AO58" s="248"/>
      <c r="AP58" s="43"/>
      <c r="AQ58" s="43"/>
      <c r="AR58" s="43"/>
      <c r="AS58" s="4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</row>
    <row r="59" spans="1:77" s="280" customFormat="1" ht="23.25" customHeight="1" x14ac:dyDescent="0.3">
      <c r="A59" s="43"/>
      <c r="B59" s="43"/>
      <c r="C59" s="43"/>
      <c r="D59" s="246"/>
      <c r="E59" s="43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248"/>
      <c r="AI59" s="248"/>
      <c r="AL59" s="248"/>
      <c r="AM59" s="248"/>
      <c r="AN59" s="248"/>
      <c r="AO59" s="248"/>
      <c r="AP59" s="43"/>
      <c r="AQ59" s="43"/>
      <c r="AR59" s="43"/>
      <c r="AS59" s="4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</row>
    <row r="60" spans="1:77" s="23" customFormat="1" ht="23.25" customHeight="1" x14ac:dyDescent="0.3">
      <c r="A60" s="43"/>
      <c r="B60" s="43"/>
      <c r="C60" s="43"/>
      <c r="D60" s="246"/>
      <c r="E60" s="43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248"/>
      <c r="AI60" s="248"/>
      <c r="AL60" s="248"/>
      <c r="AM60" s="248"/>
      <c r="AN60" s="248"/>
      <c r="AO60" s="248"/>
      <c r="AP60" s="43"/>
      <c r="AQ60" s="43"/>
      <c r="AR60" s="43"/>
      <c r="AS60" s="43"/>
    </row>
    <row r="61" spans="1:77" s="23" customFormat="1" ht="23.25" customHeight="1" x14ac:dyDescent="0.3">
      <c r="A61" s="245"/>
      <c r="B61" s="43"/>
      <c r="C61" s="43"/>
      <c r="D61" s="246"/>
      <c r="E61" s="43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248"/>
      <c r="AI61" s="248"/>
      <c r="AL61" s="248"/>
      <c r="AM61" s="248"/>
      <c r="AN61" s="248"/>
      <c r="AO61" s="248"/>
      <c r="AP61" s="43"/>
      <c r="AQ61" s="43"/>
      <c r="AR61" s="43"/>
      <c r="AS61" s="43"/>
    </row>
    <row r="62" spans="1:77" s="23" customFormat="1" ht="23.25" customHeight="1" x14ac:dyDescent="0.3">
      <c r="A62" s="245"/>
      <c r="B62" s="43"/>
      <c r="C62" s="43"/>
      <c r="D62" s="246"/>
      <c r="E62" s="43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248"/>
      <c r="AI62" s="248"/>
      <c r="AL62" s="248"/>
      <c r="AM62" s="248"/>
      <c r="AN62" s="248"/>
      <c r="AO62" s="248"/>
      <c r="AP62" s="43"/>
      <c r="AQ62" s="43"/>
      <c r="AR62" s="43"/>
      <c r="AS62" s="43"/>
    </row>
    <row r="63" spans="1:77" s="23" customFormat="1" ht="23.25" customHeight="1" x14ac:dyDescent="0.3">
      <c r="A63" s="245"/>
      <c r="B63" s="43"/>
      <c r="C63" s="43"/>
      <c r="D63" s="246"/>
      <c r="E63" s="43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248"/>
      <c r="AI63" s="248"/>
      <c r="AL63" s="248"/>
      <c r="AM63" s="248"/>
      <c r="AN63" s="248"/>
      <c r="AO63" s="248"/>
      <c r="AP63" s="43"/>
      <c r="AQ63" s="43"/>
      <c r="AR63" s="43"/>
      <c r="AS63" s="43"/>
    </row>
    <row r="64" spans="1:77" s="23" customFormat="1" ht="23.25" customHeight="1" x14ac:dyDescent="0.3">
      <c r="A64" s="245"/>
      <c r="B64" s="43"/>
      <c r="C64" s="43"/>
      <c r="D64" s="246"/>
      <c r="E64" s="43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248"/>
      <c r="AI64" s="248"/>
      <c r="AL64" s="248"/>
      <c r="AM64" s="248"/>
      <c r="AN64" s="248"/>
      <c r="AO64" s="248"/>
      <c r="AP64" s="43"/>
      <c r="AQ64" s="43"/>
      <c r="AR64" s="43"/>
      <c r="AS64" s="43"/>
    </row>
    <row r="65" spans="1:45" s="23" customFormat="1" ht="23.25" customHeight="1" x14ac:dyDescent="0.3">
      <c r="A65" s="245"/>
      <c r="B65" s="43"/>
      <c r="C65" s="43"/>
      <c r="D65" s="246"/>
      <c r="E65" s="43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248"/>
      <c r="AI65" s="248"/>
      <c r="AL65" s="248"/>
      <c r="AM65" s="248"/>
      <c r="AN65" s="248"/>
      <c r="AO65" s="248"/>
      <c r="AP65" s="43"/>
      <c r="AQ65" s="43"/>
      <c r="AR65" s="43"/>
      <c r="AS65" s="43"/>
    </row>
    <row r="66" spans="1:45" s="23" customFormat="1" ht="23.25" customHeight="1" x14ac:dyDescent="0.3">
      <c r="A66" s="245"/>
      <c r="B66" s="43"/>
      <c r="C66" s="43"/>
      <c r="D66" s="246"/>
      <c r="E66" s="43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248"/>
      <c r="AI66" s="248"/>
      <c r="AL66" s="248"/>
      <c r="AM66" s="248"/>
      <c r="AN66" s="248"/>
      <c r="AO66" s="248"/>
      <c r="AP66" s="43"/>
      <c r="AQ66" s="43"/>
      <c r="AR66" s="43"/>
      <c r="AS66" s="43"/>
    </row>
    <row r="67" spans="1:45" s="23" customFormat="1" ht="23.25" customHeight="1" x14ac:dyDescent="0.3">
      <c r="A67" s="245"/>
      <c r="B67" s="43"/>
      <c r="C67" s="43"/>
      <c r="D67" s="246"/>
      <c r="E67" s="43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248"/>
      <c r="AI67" s="248"/>
      <c r="AL67" s="248"/>
      <c r="AM67" s="248"/>
      <c r="AN67" s="248"/>
      <c r="AO67" s="248"/>
      <c r="AP67" s="43"/>
      <c r="AQ67" s="43"/>
      <c r="AR67" s="43"/>
      <c r="AS67" s="43"/>
    </row>
    <row r="68" spans="1:45" s="23" customFormat="1" ht="23.25" customHeight="1" x14ac:dyDescent="0.3">
      <c r="A68" s="245"/>
      <c r="B68" s="43"/>
      <c r="C68" s="43"/>
      <c r="D68" s="246"/>
      <c r="E68" s="43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248"/>
      <c r="AI68" s="248"/>
      <c r="AL68" s="248"/>
      <c r="AM68" s="248"/>
      <c r="AN68" s="248"/>
      <c r="AO68" s="248"/>
      <c r="AP68" s="43"/>
      <c r="AQ68" s="43"/>
      <c r="AR68" s="43"/>
      <c r="AS68" s="43"/>
    </row>
    <row r="69" spans="1:45" s="23" customFormat="1" ht="23.25" customHeight="1" x14ac:dyDescent="0.3">
      <c r="A69" s="245"/>
      <c r="B69" s="43"/>
      <c r="C69" s="43"/>
      <c r="D69" s="246"/>
      <c r="E69" s="43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248"/>
      <c r="AI69" s="248"/>
      <c r="AL69" s="248"/>
      <c r="AM69" s="248"/>
      <c r="AN69" s="248"/>
      <c r="AO69" s="248"/>
      <c r="AP69" s="43"/>
      <c r="AQ69" s="43"/>
      <c r="AR69" s="43"/>
      <c r="AS69" s="43"/>
    </row>
    <row r="70" spans="1:45" s="23" customFormat="1" ht="23.25" customHeight="1" x14ac:dyDescent="0.3">
      <c r="A70" s="245"/>
      <c r="B70" s="43"/>
      <c r="C70" s="43"/>
      <c r="D70" s="246"/>
      <c r="E70" s="43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248"/>
      <c r="AI70" s="248"/>
      <c r="AL70" s="248"/>
      <c r="AM70" s="248"/>
      <c r="AN70" s="248"/>
      <c r="AO70" s="248"/>
      <c r="AP70" s="43"/>
      <c r="AQ70" s="43"/>
      <c r="AR70" s="43"/>
      <c r="AS70" s="43"/>
    </row>
    <row r="71" spans="1:45" s="23" customFormat="1" ht="23.25" customHeight="1" x14ac:dyDescent="0.3">
      <c r="A71" s="245"/>
      <c r="B71" s="43"/>
      <c r="C71" s="43"/>
      <c r="D71" s="246"/>
      <c r="E71" s="43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248"/>
      <c r="AI71" s="248"/>
      <c r="AL71" s="248"/>
      <c r="AM71" s="248"/>
      <c r="AN71" s="248"/>
      <c r="AO71" s="248"/>
      <c r="AP71" s="43"/>
      <c r="AQ71" s="43"/>
      <c r="AR71" s="43"/>
      <c r="AS71" s="43"/>
    </row>
    <row r="72" spans="1:45" s="23" customFormat="1" ht="23.25" customHeight="1" x14ac:dyDescent="0.3">
      <c r="A72" s="245"/>
      <c r="B72" s="43"/>
      <c r="C72" s="43"/>
      <c r="D72" s="246"/>
      <c r="E72" s="43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248"/>
      <c r="AI72" s="248"/>
      <c r="AL72" s="248"/>
      <c r="AM72" s="248"/>
      <c r="AN72" s="248"/>
      <c r="AO72" s="248"/>
      <c r="AP72" s="43"/>
      <c r="AQ72" s="43"/>
      <c r="AR72" s="43"/>
      <c r="AS72" s="43"/>
    </row>
    <row r="73" spans="1:45" s="23" customFormat="1" ht="23.25" customHeight="1" x14ac:dyDescent="0.3">
      <c r="A73" s="245"/>
      <c r="B73" s="43"/>
      <c r="C73" s="43"/>
      <c r="D73" s="246"/>
      <c r="E73" s="43"/>
      <c r="F73" s="246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248"/>
      <c r="AI73" s="248"/>
      <c r="AL73" s="248"/>
      <c r="AM73" s="248"/>
      <c r="AN73" s="248"/>
      <c r="AO73" s="248"/>
      <c r="AP73" s="43"/>
      <c r="AQ73" s="43"/>
      <c r="AR73" s="43"/>
      <c r="AS73" s="43"/>
    </row>
    <row r="74" spans="1:45" s="23" customFormat="1" ht="23.25" customHeight="1" x14ac:dyDescent="0.3">
      <c r="A74" s="245"/>
      <c r="B74" s="43"/>
      <c r="C74" s="43"/>
      <c r="D74" s="246"/>
      <c r="E74" s="43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248"/>
      <c r="AI74" s="248"/>
      <c r="AL74" s="248"/>
      <c r="AM74" s="248"/>
      <c r="AN74" s="248"/>
      <c r="AO74" s="248"/>
      <c r="AP74" s="43"/>
      <c r="AQ74" s="43"/>
      <c r="AR74" s="43"/>
      <c r="AS74" s="43"/>
    </row>
    <row r="75" spans="1:45" s="23" customFormat="1" ht="23.25" customHeight="1" x14ac:dyDescent="0.3">
      <c r="A75" s="245"/>
      <c r="B75" s="43"/>
      <c r="C75" s="43"/>
      <c r="D75" s="246"/>
      <c r="E75" s="43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248"/>
      <c r="AI75" s="248"/>
      <c r="AL75" s="248"/>
      <c r="AM75" s="248"/>
      <c r="AN75" s="248"/>
      <c r="AO75" s="248"/>
      <c r="AP75" s="43"/>
      <c r="AQ75" s="43"/>
      <c r="AR75" s="43"/>
      <c r="AS75" s="43"/>
    </row>
    <row r="76" spans="1:45" s="23" customFormat="1" ht="23.25" customHeight="1" x14ac:dyDescent="0.3">
      <c r="A76" s="245"/>
      <c r="B76" s="43"/>
      <c r="C76" s="43"/>
      <c r="D76" s="246"/>
      <c r="E76" s="43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248"/>
      <c r="AI76" s="248"/>
      <c r="AL76" s="248"/>
      <c r="AM76" s="248"/>
      <c r="AN76" s="248"/>
      <c r="AO76" s="248"/>
      <c r="AP76" s="43"/>
      <c r="AQ76" s="43"/>
      <c r="AR76" s="43"/>
      <c r="AS76" s="43"/>
    </row>
    <row r="77" spans="1:45" s="23" customFormat="1" ht="23.25" customHeight="1" x14ac:dyDescent="0.3">
      <c r="A77" s="245"/>
      <c r="B77" s="43"/>
      <c r="C77" s="43"/>
      <c r="D77" s="246"/>
      <c r="E77" s="43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248"/>
      <c r="AI77" s="248"/>
      <c r="AL77" s="248"/>
      <c r="AM77" s="248"/>
      <c r="AN77" s="248"/>
      <c r="AO77" s="248"/>
      <c r="AP77" s="43"/>
      <c r="AQ77" s="43"/>
      <c r="AR77" s="43"/>
      <c r="AS77" s="43"/>
    </row>
    <row r="78" spans="1:45" s="23" customFormat="1" ht="23.25" customHeight="1" x14ac:dyDescent="0.3">
      <c r="A78" s="245"/>
      <c r="B78" s="43"/>
      <c r="C78" s="43"/>
      <c r="D78" s="246"/>
      <c r="E78" s="43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248"/>
      <c r="AI78" s="248"/>
      <c r="AL78" s="248"/>
      <c r="AM78" s="248"/>
      <c r="AN78" s="248"/>
      <c r="AO78" s="248"/>
      <c r="AP78" s="43"/>
      <c r="AQ78" s="43"/>
      <c r="AR78" s="43"/>
      <c r="AS78" s="43"/>
    </row>
    <row r="79" spans="1:45" s="23" customFormat="1" ht="23.25" customHeight="1" x14ac:dyDescent="0.3">
      <c r="A79" s="245"/>
      <c r="B79" s="43"/>
      <c r="C79" s="43"/>
      <c r="D79" s="246"/>
      <c r="E79" s="43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248"/>
      <c r="AI79" s="248"/>
      <c r="AL79" s="248"/>
      <c r="AM79" s="248"/>
      <c r="AN79" s="248"/>
      <c r="AO79" s="248"/>
      <c r="AP79" s="43"/>
      <c r="AQ79" s="43"/>
      <c r="AR79" s="43"/>
      <c r="AS79" s="43"/>
    </row>
    <row r="80" spans="1:45" s="23" customFormat="1" ht="23.25" customHeight="1" x14ac:dyDescent="0.3">
      <c r="A80" s="245"/>
      <c r="B80" s="43"/>
      <c r="C80" s="43"/>
      <c r="D80" s="246"/>
      <c r="E80" s="43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248"/>
      <c r="AI80" s="248"/>
      <c r="AL80" s="248"/>
      <c r="AM80" s="248"/>
      <c r="AN80" s="248"/>
      <c r="AO80" s="248"/>
      <c r="AP80" s="43"/>
      <c r="AQ80" s="43"/>
      <c r="AR80" s="43"/>
      <c r="AS80" s="43"/>
    </row>
    <row r="81" spans="1:45" s="23" customFormat="1" ht="23.25" customHeight="1" x14ac:dyDescent="0.3">
      <c r="A81" s="245"/>
      <c r="B81" s="43"/>
      <c r="C81" s="43"/>
      <c r="D81" s="246"/>
      <c r="E81" s="43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248"/>
      <c r="AI81" s="248"/>
      <c r="AL81" s="248"/>
      <c r="AM81" s="248"/>
      <c r="AN81" s="248"/>
      <c r="AO81" s="248"/>
      <c r="AP81" s="43"/>
      <c r="AQ81" s="43"/>
      <c r="AR81" s="43"/>
      <c r="AS81" s="43"/>
    </row>
    <row r="82" spans="1:45" s="23" customFormat="1" ht="23.25" customHeight="1" x14ac:dyDescent="0.3">
      <c r="A82" s="245"/>
      <c r="B82" s="43"/>
      <c r="C82" s="43"/>
      <c r="D82" s="246"/>
      <c r="E82" s="43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248"/>
      <c r="AI82" s="248"/>
      <c r="AL82" s="248"/>
      <c r="AM82" s="248"/>
      <c r="AN82" s="248"/>
      <c r="AO82" s="248"/>
      <c r="AP82" s="43"/>
      <c r="AQ82" s="43"/>
      <c r="AR82" s="43"/>
      <c r="AS82" s="43"/>
    </row>
    <row r="83" spans="1:45" s="23" customFormat="1" ht="23.25" customHeight="1" x14ac:dyDescent="0.3">
      <c r="A83" s="245"/>
      <c r="B83" s="43"/>
      <c r="C83" s="43"/>
      <c r="D83" s="246"/>
      <c r="E83" s="43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248"/>
      <c r="AI83" s="248"/>
      <c r="AL83" s="248"/>
      <c r="AM83" s="248"/>
      <c r="AN83" s="248"/>
      <c r="AO83" s="248"/>
      <c r="AP83" s="43"/>
      <c r="AQ83" s="43"/>
      <c r="AR83" s="43"/>
      <c r="AS83" s="43"/>
    </row>
    <row r="84" spans="1:45" s="23" customFormat="1" ht="23.25" customHeight="1" x14ac:dyDescent="0.3">
      <c r="A84" s="245"/>
      <c r="B84" s="43"/>
      <c r="C84" s="43"/>
      <c r="D84" s="246"/>
      <c r="E84" s="43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248"/>
      <c r="AI84" s="248"/>
      <c r="AL84" s="248"/>
      <c r="AM84" s="248"/>
      <c r="AN84" s="248"/>
      <c r="AO84" s="248"/>
      <c r="AP84" s="43"/>
      <c r="AQ84" s="43"/>
      <c r="AR84" s="43"/>
      <c r="AS84" s="43"/>
    </row>
    <row r="85" spans="1:45" s="23" customFormat="1" ht="23.25" customHeight="1" x14ac:dyDescent="0.3">
      <c r="A85" s="245"/>
      <c r="B85" s="43"/>
      <c r="C85" s="43"/>
      <c r="D85" s="246"/>
      <c r="E85" s="43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248"/>
      <c r="AI85" s="248"/>
      <c r="AL85" s="248"/>
      <c r="AM85" s="248"/>
      <c r="AN85" s="248"/>
      <c r="AO85" s="248"/>
      <c r="AP85" s="43"/>
      <c r="AQ85" s="43"/>
      <c r="AR85" s="43"/>
      <c r="AS85" s="43"/>
    </row>
    <row r="86" spans="1:45" s="23" customFormat="1" ht="23.25" customHeight="1" x14ac:dyDescent="0.3">
      <c r="A86" s="245"/>
      <c r="B86" s="43"/>
      <c r="C86" s="43"/>
      <c r="D86" s="246"/>
      <c r="E86" s="43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248"/>
      <c r="AI86" s="248"/>
      <c r="AL86" s="248"/>
      <c r="AM86" s="248"/>
      <c r="AN86" s="248"/>
      <c r="AO86" s="248"/>
      <c r="AP86" s="43"/>
      <c r="AQ86" s="43"/>
      <c r="AR86" s="43"/>
      <c r="AS86" s="43"/>
    </row>
    <row r="87" spans="1:45" s="23" customFormat="1" ht="23.25" customHeight="1" x14ac:dyDescent="0.3">
      <c r="A87" s="245"/>
      <c r="B87" s="43"/>
      <c r="C87" s="43"/>
      <c r="D87" s="246"/>
      <c r="E87" s="43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248"/>
      <c r="AI87" s="248"/>
      <c r="AL87" s="248"/>
      <c r="AM87" s="248"/>
      <c r="AN87" s="248"/>
      <c r="AO87" s="248"/>
      <c r="AP87" s="43"/>
      <c r="AQ87" s="43"/>
      <c r="AR87" s="43"/>
      <c r="AS87" s="43"/>
    </row>
    <row r="88" spans="1:45" s="23" customFormat="1" ht="23.25" customHeight="1" x14ac:dyDescent="0.3">
      <c r="A88" s="245"/>
      <c r="B88" s="43"/>
      <c r="C88" s="43"/>
      <c r="D88" s="246"/>
      <c r="E88" s="43"/>
      <c r="F88" s="246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248"/>
      <c r="AI88" s="248"/>
      <c r="AL88" s="248"/>
      <c r="AM88" s="248"/>
      <c r="AN88" s="248"/>
      <c r="AO88" s="248"/>
      <c r="AP88" s="43"/>
      <c r="AQ88" s="43"/>
      <c r="AR88" s="43"/>
      <c r="AS88" s="43"/>
    </row>
    <row r="89" spans="1:45" s="23" customFormat="1" ht="23.25" customHeight="1" x14ac:dyDescent="0.3">
      <c r="A89" s="245"/>
      <c r="B89" s="43"/>
      <c r="C89" s="43"/>
      <c r="D89" s="246"/>
      <c r="E89" s="43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248"/>
      <c r="AI89" s="248"/>
      <c r="AL89" s="248"/>
      <c r="AM89" s="248"/>
      <c r="AN89" s="248"/>
      <c r="AO89" s="248"/>
      <c r="AP89" s="43"/>
      <c r="AQ89" s="43"/>
      <c r="AR89" s="43"/>
      <c r="AS89" s="43"/>
    </row>
    <row r="90" spans="1:45" s="23" customFormat="1" ht="23.25" customHeight="1" x14ac:dyDescent="0.3">
      <c r="A90" s="245"/>
      <c r="B90" s="43"/>
      <c r="C90" s="43"/>
      <c r="D90" s="246"/>
      <c r="E90" s="43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248"/>
      <c r="AI90" s="248"/>
      <c r="AL90" s="248"/>
      <c r="AM90" s="248"/>
      <c r="AN90" s="248"/>
      <c r="AO90" s="248"/>
      <c r="AP90" s="43"/>
      <c r="AQ90" s="43"/>
      <c r="AR90" s="43"/>
      <c r="AS90" s="43"/>
    </row>
    <row r="91" spans="1:45" s="23" customFormat="1" ht="23.25" customHeight="1" x14ac:dyDescent="0.3">
      <c r="A91" s="245"/>
      <c r="B91" s="43"/>
      <c r="C91" s="43"/>
      <c r="D91" s="246"/>
      <c r="E91" s="43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248"/>
      <c r="AI91" s="248"/>
      <c r="AL91" s="248"/>
      <c r="AM91" s="248"/>
      <c r="AN91" s="248"/>
      <c r="AO91" s="248"/>
      <c r="AP91" s="43"/>
      <c r="AQ91" s="43"/>
      <c r="AR91" s="43"/>
      <c r="AS91" s="43"/>
    </row>
    <row r="92" spans="1:45" s="23" customFormat="1" ht="23.25" customHeight="1" x14ac:dyDescent="0.3">
      <c r="A92" s="245"/>
      <c r="B92" s="43"/>
      <c r="C92" s="43"/>
      <c r="D92" s="246"/>
      <c r="E92" s="43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248"/>
      <c r="AI92" s="248"/>
      <c r="AL92" s="248"/>
      <c r="AM92" s="248"/>
      <c r="AN92" s="248"/>
      <c r="AO92" s="248"/>
      <c r="AP92" s="43"/>
      <c r="AQ92" s="43"/>
      <c r="AR92" s="43"/>
      <c r="AS92" s="43"/>
    </row>
    <row r="93" spans="1:45" s="23" customFormat="1" ht="23.25" customHeight="1" x14ac:dyDescent="0.3">
      <c r="A93" s="245"/>
      <c r="B93" s="43"/>
      <c r="C93" s="43"/>
      <c r="D93" s="246"/>
      <c r="E93" s="43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248"/>
      <c r="AI93" s="248"/>
      <c r="AL93" s="248"/>
      <c r="AM93" s="248"/>
      <c r="AN93" s="248"/>
      <c r="AO93" s="248"/>
      <c r="AP93" s="43"/>
      <c r="AQ93" s="43"/>
      <c r="AR93" s="43"/>
      <c r="AS93" s="43"/>
    </row>
    <row r="94" spans="1:45" s="23" customFormat="1" ht="23.25" customHeight="1" x14ac:dyDescent="0.3">
      <c r="A94" s="245"/>
      <c r="B94" s="43"/>
      <c r="C94" s="43"/>
      <c r="D94" s="246"/>
      <c r="E94" s="43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248"/>
      <c r="AI94" s="248"/>
      <c r="AL94" s="248"/>
      <c r="AM94" s="248"/>
      <c r="AN94" s="248"/>
      <c r="AO94" s="248"/>
      <c r="AP94" s="43"/>
      <c r="AQ94" s="43"/>
      <c r="AR94" s="43"/>
      <c r="AS94" s="43"/>
    </row>
    <row r="95" spans="1:45" s="23" customFormat="1" ht="23.25" customHeight="1" x14ac:dyDescent="0.3">
      <c r="A95" s="245"/>
      <c r="B95" s="43"/>
      <c r="C95" s="43"/>
      <c r="D95" s="246"/>
      <c r="E95" s="43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248"/>
      <c r="AI95" s="248"/>
      <c r="AL95" s="248"/>
      <c r="AM95" s="248"/>
      <c r="AN95" s="248"/>
      <c r="AO95" s="248"/>
      <c r="AP95" s="43"/>
      <c r="AQ95" s="43"/>
      <c r="AR95" s="43"/>
      <c r="AS95" s="43"/>
    </row>
    <row r="96" spans="1:45" s="23" customFormat="1" ht="23.25" customHeight="1" x14ac:dyDescent="0.3">
      <c r="A96" s="245"/>
      <c r="B96" s="43"/>
      <c r="C96" s="43"/>
      <c r="D96" s="246"/>
      <c r="E96" s="43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248"/>
      <c r="AI96" s="248"/>
      <c r="AL96" s="248"/>
      <c r="AM96" s="248"/>
      <c r="AN96" s="248"/>
      <c r="AO96" s="248"/>
      <c r="AP96" s="43"/>
      <c r="AQ96" s="43"/>
      <c r="AR96" s="43"/>
      <c r="AS96" s="43"/>
    </row>
    <row r="97" spans="1:45" s="23" customFormat="1" ht="23.25" customHeight="1" x14ac:dyDescent="0.3">
      <c r="A97" s="245"/>
      <c r="B97" s="43"/>
      <c r="C97" s="43"/>
      <c r="D97" s="246"/>
      <c r="E97" s="43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248"/>
      <c r="AI97" s="248"/>
      <c r="AL97" s="248"/>
      <c r="AM97" s="248"/>
      <c r="AN97" s="248"/>
      <c r="AO97" s="248"/>
      <c r="AP97" s="43"/>
      <c r="AQ97" s="43"/>
      <c r="AR97" s="43"/>
      <c r="AS97" s="43"/>
    </row>
    <row r="98" spans="1:45" s="23" customFormat="1" ht="23.25" customHeight="1" x14ac:dyDescent="0.3">
      <c r="A98" s="245"/>
      <c r="B98" s="43"/>
      <c r="C98" s="43"/>
      <c r="D98" s="246"/>
      <c r="E98" s="43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248"/>
      <c r="AI98" s="248"/>
      <c r="AL98" s="248"/>
      <c r="AM98" s="248"/>
      <c r="AN98" s="248"/>
      <c r="AO98" s="248"/>
      <c r="AP98" s="43"/>
      <c r="AQ98" s="43"/>
      <c r="AR98" s="43"/>
      <c r="AS98" s="43"/>
    </row>
    <row r="99" spans="1:45" s="23" customFormat="1" ht="23.25" customHeight="1" x14ac:dyDescent="0.3">
      <c r="A99" s="245"/>
      <c r="B99" s="43"/>
      <c r="C99" s="43"/>
      <c r="D99" s="246"/>
      <c r="E99" s="43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248"/>
      <c r="AI99" s="248"/>
      <c r="AL99" s="248"/>
      <c r="AM99" s="248"/>
      <c r="AN99" s="248"/>
      <c r="AO99" s="248"/>
      <c r="AP99" s="43"/>
      <c r="AQ99" s="43"/>
      <c r="AR99" s="43"/>
      <c r="AS99" s="43"/>
    </row>
    <row r="100" spans="1:45" s="23" customFormat="1" ht="23.25" customHeight="1" x14ac:dyDescent="0.3">
      <c r="A100" s="245"/>
      <c r="B100" s="43"/>
      <c r="C100" s="43"/>
      <c r="D100" s="246"/>
      <c r="E100" s="43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248"/>
      <c r="AI100" s="248"/>
      <c r="AL100" s="248"/>
      <c r="AM100" s="248"/>
      <c r="AN100" s="248"/>
      <c r="AO100" s="248"/>
      <c r="AP100" s="43"/>
      <c r="AQ100" s="43"/>
      <c r="AR100" s="43"/>
      <c r="AS100" s="43"/>
    </row>
    <row r="101" spans="1:45" s="23" customFormat="1" ht="23.25" customHeight="1" x14ac:dyDescent="0.3">
      <c r="A101" s="245"/>
      <c r="B101" s="43"/>
      <c r="C101" s="43"/>
      <c r="D101" s="246"/>
      <c r="E101" s="43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248"/>
      <c r="AI101" s="248"/>
      <c r="AL101" s="248"/>
      <c r="AM101" s="248"/>
      <c r="AN101" s="248"/>
      <c r="AO101" s="248"/>
      <c r="AP101" s="43"/>
      <c r="AQ101" s="43"/>
      <c r="AR101" s="43"/>
      <c r="AS101" s="43"/>
    </row>
    <row r="102" spans="1:45" s="23" customFormat="1" ht="23.25" customHeight="1" x14ac:dyDescent="0.3">
      <c r="A102" s="245"/>
      <c r="B102" s="43"/>
      <c r="C102" s="43"/>
      <c r="D102" s="246"/>
      <c r="E102" s="43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248"/>
      <c r="AI102" s="248"/>
      <c r="AL102" s="248"/>
      <c r="AM102" s="248"/>
      <c r="AN102" s="248"/>
      <c r="AO102" s="248"/>
      <c r="AP102" s="43"/>
      <c r="AQ102" s="43"/>
      <c r="AR102" s="43"/>
      <c r="AS102" s="43"/>
    </row>
    <row r="103" spans="1:45" s="23" customFormat="1" ht="23.25" customHeight="1" x14ac:dyDescent="0.3">
      <c r="A103" s="245"/>
      <c r="B103" s="43"/>
      <c r="C103" s="43"/>
      <c r="D103" s="246"/>
      <c r="E103" s="43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248"/>
      <c r="AI103" s="248"/>
      <c r="AL103" s="248"/>
      <c r="AM103" s="248"/>
      <c r="AN103" s="248"/>
      <c r="AO103" s="248"/>
      <c r="AP103" s="43"/>
      <c r="AQ103" s="43"/>
      <c r="AR103" s="43"/>
      <c r="AS103" s="43"/>
    </row>
    <row r="104" spans="1:45" s="23" customFormat="1" ht="23.25" customHeight="1" x14ac:dyDescent="0.3">
      <c r="A104" s="245"/>
      <c r="B104" s="43"/>
      <c r="C104" s="43"/>
      <c r="D104" s="246"/>
      <c r="E104" s="43"/>
      <c r="F104" s="246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248"/>
      <c r="AI104" s="248"/>
      <c r="AL104" s="248"/>
      <c r="AM104" s="248"/>
      <c r="AN104" s="248"/>
      <c r="AO104" s="248"/>
      <c r="AP104" s="43"/>
      <c r="AQ104" s="43"/>
      <c r="AR104" s="43"/>
      <c r="AS104" s="43"/>
    </row>
    <row r="105" spans="1:45" s="23" customFormat="1" ht="23.25" customHeight="1" x14ac:dyDescent="0.3">
      <c r="A105" s="245"/>
      <c r="B105" s="43"/>
      <c r="C105" s="43"/>
      <c r="D105" s="246"/>
      <c r="E105" s="43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248"/>
      <c r="AI105" s="248"/>
      <c r="AL105" s="248"/>
      <c r="AM105" s="248"/>
      <c r="AN105" s="248"/>
      <c r="AO105" s="248"/>
      <c r="AP105" s="43"/>
      <c r="AQ105" s="43"/>
      <c r="AR105" s="43"/>
      <c r="AS105" s="43"/>
    </row>
    <row r="106" spans="1:45" s="23" customFormat="1" ht="23.25" customHeight="1" x14ac:dyDescent="0.3">
      <c r="A106" s="245"/>
      <c r="B106" s="43"/>
      <c r="C106" s="43"/>
      <c r="D106" s="246"/>
      <c r="E106" s="43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248"/>
      <c r="AI106" s="248"/>
      <c r="AL106" s="248"/>
      <c r="AM106" s="248"/>
      <c r="AN106" s="248"/>
      <c r="AO106" s="248"/>
      <c r="AP106" s="43"/>
      <c r="AQ106" s="43"/>
      <c r="AR106" s="43"/>
      <c r="AS106" s="43"/>
    </row>
    <row r="107" spans="1:45" s="23" customFormat="1" ht="23.25" customHeight="1" x14ac:dyDescent="0.3">
      <c r="A107" s="245"/>
      <c r="B107" s="43"/>
      <c r="C107" s="43"/>
      <c r="D107" s="246"/>
      <c r="E107" s="43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248"/>
      <c r="AI107" s="248"/>
      <c r="AL107" s="248"/>
      <c r="AM107" s="248"/>
      <c r="AN107" s="248"/>
      <c r="AO107" s="248"/>
      <c r="AP107" s="43"/>
      <c r="AQ107" s="43"/>
      <c r="AR107" s="43"/>
      <c r="AS107" s="43"/>
    </row>
    <row r="108" spans="1:45" s="23" customFormat="1" ht="23.25" customHeight="1" x14ac:dyDescent="0.3">
      <c r="A108" s="245"/>
      <c r="B108" s="43"/>
      <c r="C108" s="43"/>
      <c r="D108" s="246"/>
      <c r="E108" s="43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248"/>
      <c r="AI108" s="248"/>
      <c r="AL108" s="248"/>
      <c r="AM108" s="248"/>
      <c r="AN108" s="248"/>
      <c r="AO108" s="248"/>
      <c r="AP108" s="43"/>
      <c r="AQ108" s="43"/>
      <c r="AR108" s="43"/>
      <c r="AS108" s="43"/>
    </row>
    <row r="109" spans="1:45" s="23" customFormat="1" ht="23.25" customHeight="1" x14ac:dyDescent="0.3">
      <c r="A109" s="245"/>
      <c r="B109" s="43"/>
      <c r="C109" s="43"/>
      <c r="D109" s="246"/>
      <c r="E109" s="43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248"/>
      <c r="AI109" s="248"/>
      <c r="AL109" s="248"/>
      <c r="AM109" s="248"/>
      <c r="AN109" s="248"/>
      <c r="AO109" s="248"/>
      <c r="AP109" s="43"/>
      <c r="AQ109" s="43"/>
      <c r="AR109" s="43"/>
      <c r="AS109" s="43"/>
    </row>
    <row r="110" spans="1:45" s="23" customFormat="1" ht="23.25" customHeight="1" x14ac:dyDescent="0.3">
      <c r="A110" s="245"/>
      <c r="B110" s="43"/>
      <c r="C110" s="43"/>
      <c r="D110" s="246"/>
      <c r="E110" s="43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248"/>
      <c r="AI110" s="248"/>
      <c r="AL110" s="248"/>
      <c r="AM110" s="248"/>
      <c r="AN110" s="248"/>
      <c r="AO110" s="248"/>
      <c r="AP110" s="43"/>
      <c r="AQ110" s="43"/>
      <c r="AR110" s="43"/>
      <c r="AS110" s="43"/>
    </row>
    <row r="111" spans="1:45" s="23" customFormat="1" ht="23.25" customHeight="1" x14ac:dyDescent="0.3">
      <c r="A111" s="245"/>
      <c r="B111" s="43"/>
      <c r="C111" s="43"/>
      <c r="D111" s="246"/>
      <c r="E111" s="43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248"/>
      <c r="AI111" s="248"/>
      <c r="AL111" s="248"/>
      <c r="AM111" s="248"/>
      <c r="AN111" s="248"/>
      <c r="AO111" s="248"/>
      <c r="AP111" s="43"/>
      <c r="AQ111" s="43"/>
      <c r="AR111" s="43"/>
      <c r="AS111" s="43"/>
    </row>
    <row r="112" spans="1:45" s="23" customFormat="1" ht="23.25" customHeight="1" x14ac:dyDescent="0.3">
      <c r="A112" s="245"/>
      <c r="B112" s="43"/>
      <c r="C112" s="43"/>
      <c r="D112" s="246"/>
      <c r="E112" s="43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248"/>
      <c r="AI112" s="248"/>
      <c r="AL112" s="248"/>
      <c r="AM112" s="248"/>
      <c r="AN112" s="248"/>
      <c r="AO112" s="248"/>
      <c r="AP112" s="43"/>
      <c r="AQ112" s="43"/>
      <c r="AR112" s="43"/>
      <c r="AS112" s="43"/>
    </row>
    <row r="113" spans="1:45" s="23" customFormat="1" ht="23.25" customHeight="1" x14ac:dyDescent="0.3">
      <c r="A113" s="245"/>
      <c r="B113" s="43"/>
      <c r="C113" s="43"/>
      <c r="D113" s="246"/>
      <c r="E113" s="43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248"/>
      <c r="AI113" s="248"/>
      <c r="AL113" s="248"/>
      <c r="AM113" s="248"/>
      <c r="AN113" s="248"/>
      <c r="AO113" s="248"/>
      <c r="AP113" s="43"/>
      <c r="AQ113" s="43"/>
      <c r="AR113" s="43"/>
      <c r="AS113" s="43"/>
    </row>
    <row r="114" spans="1:45" s="23" customFormat="1" ht="23.25" customHeight="1" x14ac:dyDescent="0.3">
      <c r="A114" s="245"/>
      <c r="B114" s="43"/>
      <c r="C114" s="43"/>
      <c r="D114" s="246"/>
      <c r="E114" s="43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248"/>
      <c r="AI114" s="248"/>
      <c r="AL114" s="248"/>
      <c r="AM114" s="248"/>
      <c r="AN114" s="248"/>
      <c r="AO114" s="248"/>
      <c r="AP114" s="43"/>
      <c r="AQ114" s="43"/>
      <c r="AR114" s="43"/>
      <c r="AS114" s="43"/>
    </row>
    <row r="115" spans="1:45" s="23" customFormat="1" ht="23.25" customHeight="1" x14ac:dyDescent="0.3">
      <c r="A115" s="245"/>
      <c r="B115" s="43"/>
      <c r="C115" s="43"/>
      <c r="D115" s="246"/>
      <c r="E115" s="43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248"/>
      <c r="AI115" s="248"/>
      <c r="AL115" s="248"/>
      <c r="AM115" s="248"/>
      <c r="AN115" s="248"/>
      <c r="AO115" s="248"/>
      <c r="AP115" s="43"/>
      <c r="AQ115" s="43"/>
      <c r="AR115" s="43"/>
      <c r="AS115" s="43"/>
    </row>
    <row r="116" spans="1:45" s="23" customFormat="1" ht="23.25" customHeight="1" x14ac:dyDescent="0.3">
      <c r="A116" s="245"/>
      <c r="B116" s="43"/>
      <c r="C116" s="43"/>
      <c r="D116" s="246"/>
      <c r="E116" s="43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248"/>
      <c r="AI116" s="248"/>
      <c r="AL116" s="248"/>
      <c r="AM116" s="248"/>
      <c r="AN116" s="248"/>
      <c r="AO116" s="248"/>
      <c r="AP116" s="43"/>
      <c r="AQ116" s="43"/>
      <c r="AR116" s="43"/>
      <c r="AS116" s="43"/>
    </row>
    <row r="117" spans="1:45" s="23" customFormat="1" ht="23.25" customHeight="1" x14ac:dyDescent="0.3">
      <c r="A117" s="245"/>
      <c r="B117" s="43"/>
      <c r="C117" s="43"/>
      <c r="D117" s="246"/>
      <c r="E117" s="43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248"/>
      <c r="AI117" s="248"/>
      <c r="AL117" s="248"/>
      <c r="AM117" s="248"/>
      <c r="AN117" s="248"/>
      <c r="AO117" s="248"/>
      <c r="AP117" s="43"/>
      <c r="AQ117" s="43"/>
      <c r="AR117" s="43"/>
      <c r="AS117" s="43"/>
    </row>
    <row r="118" spans="1:45" s="23" customFormat="1" ht="23.25" customHeight="1" x14ac:dyDescent="0.3">
      <c r="A118" s="245"/>
      <c r="B118" s="43"/>
      <c r="C118" s="43"/>
      <c r="D118" s="246"/>
      <c r="E118" s="43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248"/>
      <c r="AI118" s="248"/>
      <c r="AL118" s="248"/>
      <c r="AM118" s="248"/>
      <c r="AN118" s="248"/>
      <c r="AO118" s="248"/>
      <c r="AP118" s="43"/>
      <c r="AQ118" s="43"/>
      <c r="AR118" s="43"/>
      <c r="AS118" s="43"/>
    </row>
    <row r="119" spans="1:45" s="23" customFormat="1" ht="23.25" customHeight="1" x14ac:dyDescent="0.3">
      <c r="A119" s="245"/>
      <c r="B119" s="43"/>
      <c r="C119" s="43"/>
      <c r="D119" s="246"/>
      <c r="E119" s="43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248"/>
      <c r="AI119" s="248"/>
      <c r="AL119" s="248"/>
      <c r="AM119" s="248"/>
      <c r="AN119" s="248"/>
      <c r="AO119" s="248"/>
      <c r="AP119" s="43"/>
      <c r="AQ119" s="43"/>
      <c r="AR119" s="43"/>
      <c r="AS119" s="43"/>
    </row>
    <row r="120" spans="1:45" s="23" customFormat="1" ht="23.25" customHeight="1" x14ac:dyDescent="0.3">
      <c r="A120" s="245"/>
      <c r="B120" s="43"/>
      <c r="C120" s="43"/>
      <c r="D120" s="246"/>
      <c r="E120" s="43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248"/>
      <c r="AI120" s="248"/>
      <c r="AL120" s="248"/>
      <c r="AM120" s="248"/>
      <c r="AN120" s="248"/>
      <c r="AO120" s="248"/>
      <c r="AP120" s="43"/>
      <c r="AQ120" s="43"/>
      <c r="AR120" s="43"/>
      <c r="AS120" s="43"/>
    </row>
    <row r="121" spans="1:45" s="23" customFormat="1" ht="23.25" customHeight="1" x14ac:dyDescent="0.3">
      <c r="A121" s="245"/>
      <c r="B121" s="43"/>
      <c r="C121" s="43"/>
      <c r="D121" s="246"/>
      <c r="E121" s="43"/>
      <c r="F121" s="246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248"/>
      <c r="AI121" s="248"/>
      <c r="AL121" s="248"/>
      <c r="AM121" s="248"/>
      <c r="AN121" s="248"/>
      <c r="AO121" s="248"/>
      <c r="AP121" s="43"/>
      <c r="AQ121" s="43"/>
      <c r="AR121" s="43"/>
      <c r="AS121" s="43"/>
    </row>
    <row r="122" spans="1:45" s="23" customFormat="1" ht="23.25" customHeight="1" x14ac:dyDescent="0.3">
      <c r="A122" s="245"/>
      <c r="B122" s="43"/>
      <c r="C122" s="43"/>
      <c r="D122" s="246"/>
      <c r="E122" s="43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248"/>
      <c r="AI122" s="248"/>
      <c r="AL122" s="248"/>
      <c r="AM122" s="248"/>
      <c r="AN122" s="248"/>
      <c r="AO122" s="248"/>
      <c r="AP122" s="43"/>
      <c r="AQ122" s="43"/>
      <c r="AR122" s="43"/>
      <c r="AS122" s="43"/>
    </row>
    <row r="123" spans="1:45" s="23" customFormat="1" ht="23.25" customHeight="1" x14ac:dyDescent="0.3">
      <c r="A123" s="245"/>
      <c r="B123" s="43"/>
      <c r="C123" s="43"/>
      <c r="D123" s="246"/>
      <c r="E123" s="43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248"/>
      <c r="AI123" s="248"/>
      <c r="AL123" s="248"/>
      <c r="AM123" s="248"/>
      <c r="AN123" s="248"/>
      <c r="AO123" s="248"/>
      <c r="AP123" s="43"/>
      <c r="AQ123" s="43"/>
      <c r="AR123" s="43"/>
      <c r="AS123" s="43"/>
    </row>
    <row r="124" spans="1:45" s="23" customFormat="1" ht="23.25" customHeight="1" x14ac:dyDescent="0.3">
      <c r="A124" s="245"/>
      <c r="B124" s="43"/>
      <c r="C124" s="43"/>
      <c r="D124" s="246"/>
      <c r="E124" s="43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248"/>
      <c r="AI124" s="248"/>
      <c r="AL124" s="248"/>
      <c r="AM124" s="248"/>
      <c r="AN124" s="248"/>
      <c r="AO124" s="248"/>
      <c r="AP124" s="43"/>
      <c r="AQ124" s="43"/>
      <c r="AR124" s="43"/>
      <c r="AS124" s="43"/>
    </row>
    <row r="125" spans="1:45" s="23" customFormat="1" ht="23.25" customHeight="1" x14ac:dyDescent="0.3">
      <c r="A125" s="245"/>
      <c r="B125" s="43"/>
      <c r="C125" s="43"/>
      <c r="D125" s="246"/>
      <c r="E125" s="43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248"/>
      <c r="AI125" s="248"/>
      <c r="AL125" s="248"/>
      <c r="AM125" s="248"/>
      <c r="AN125" s="248"/>
      <c r="AO125" s="248"/>
      <c r="AP125" s="43"/>
      <c r="AQ125" s="43"/>
      <c r="AR125" s="43"/>
      <c r="AS125" s="43"/>
    </row>
    <row r="126" spans="1:45" s="23" customFormat="1" ht="23.25" customHeight="1" x14ac:dyDescent="0.3">
      <c r="A126" s="245"/>
      <c r="B126" s="43"/>
      <c r="C126" s="43"/>
      <c r="D126" s="246"/>
      <c r="E126" s="43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248"/>
      <c r="AI126" s="248"/>
      <c r="AL126" s="248"/>
      <c r="AM126" s="248"/>
      <c r="AN126" s="248"/>
      <c r="AO126" s="248"/>
      <c r="AP126" s="43"/>
      <c r="AQ126" s="43"/>
      <c r="AR126" s="43"/>
      <c r="AS126" s="43"/>
    </row>
    <row r="127" spans="1:45" s="23" customFormat="1" ht="23.25" customHeight="1" x14ac:dyDescent="0.3">
      <c r="A127" s="245"/>
      <c r="B127" s="43"/>
      <c r="C127" s="43"/>
      <c r="D127" s="246"/>
      <c r="E127" s="43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248"/>
      <c r="AI127" s="248"/>
      <c r="AL127" s="248"/>
      <c r="AM127" s="248"/>
      <c r="AN127" s="248"/>
      <c r="AO127" s="248"/>
      <c r="AP127" s="43"/>
      <c r="AQ127" s="43"/>
      <c r="AR127" s="43"/>
      <c r="AS127" s="43"/>
    </row>
    <row r="128" spans="1:45" s="23" customFormat="1" ht="23.25" customHeight="1" x14ac:dyDescent="0.3">
      <c r="A128" s="245"/>
      <c r="B128" s="43"/>
      <c r="C128" s="43"/>
      <c r="D128" s="246"/>
      <c r="E128" s="43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248"/>
      <c r="AI128" s="248"/>
      <c r="AL128" s="248"/>
      <c r="AM128" s="248"/>
      <c r="AN128" s="248"/>
      <c r="AO128" s="248"/>
      <c r="AP128" s="43"/>
      <c r="AQ128" s="43"/>
      <c r="AR128" s="43"/>
      <c r="AS128" s="43"/>
    </row>
    <row r="129" spans="1:45" s="23" customFormat="1" ht="23.25" customHeight="1" x14ac:dyDescent="0.3">
      <c r="A129" s="245"/>
      <c r="B129" s="43"/>
      <c r="C129" s="43"/>
      <c r="D129" s="246"/>
      <c r="E129" s="43"/>
      <c r="F129" s="246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248"/>
      <c r="AI129" s="248"/>
      <c r="AL129" s="248"/>
      <c r="AM129" s="248"/>
      <c r="AN129" s="248"/>
      <c r="AO129" s="248"/>
      <c r="AP129" s="43"/>
      <c r="AQ129" s="43"/>
      <c r="AR129" s="43"/>
      <c r="AS129" s="43"/>
    </row>
    <row r="130" spans="1:45" s="23" customFormat="1" ht="23.25" customHeight="1" x14ac:dyDescent="0.3">
      <c r="A130" s="245"/>
      <c r="B130" s="43"/>
      <c r="C130" s="43"/>
      <c r="D130" s="246"/>
      <c r="E130" s="43"/>
      <c r="F130" s="246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248"/>
      <c r="AI130" s="248"/>
      <c r="AL130" s="248"/>
      <c r="AM130" s="248"/>
      <c r="AN130" s="248"/>
      <c r="AO130" s="248"/>
      <c r="AP130" s="43"/>
      <c r="AQ130" s="43"/>
      <c r="AR130" s="43"/>
      <c r="AS130" s="43"/>
    </row>
    <row r="131" spans="1:45" s="23" customFormat="1" ht="23.25" customHeight="1" x14ac:dyDescent="0.3">
      <c r="A131" s="245"/>
      <c r="B131" s="43"/>
      <c r="C131" s="43"/>
      <c r="D131" s="246"/>
      <c r="E131" s="43"/>
      <c r="F131" s="246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248"/>
      <c r="AI131" s="248"/>
      <c r="AL131" s="248"/>
      <c r="AM131" s="248"/>
      <c r="AN131" s="248"/>
      <c r="AO131" s="248"/>
      <c r="AP131" s="43"/>
      <c r="AQ131" s="43"/>
      <c r="AR131" s="43"/>
      <c r="AS131" s="43"/>
    </row>
    <row r="132" spans="1:45" s="23" customFormat="1" ht="23.25" customHeight="1" x14ac:dyDescent="0.3">
      <c r="A132" s="245"/>
      <c r="B132" s="43"/>
      <c r="C132" s="43"/>
      <c r="D132" s="246"/>
      <c r="E132" s="43"/>
      <c r="F132" s="246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248"/>
      <c r="AI132" s="248"/>
      <c r="AL132" s="248"/>
      <c r="AM132" s="248"/>
      <c r="AN132" s="248"/>
      <c r="AO132" s="248"/>
      <c r="AP132" s="43"/>
      <c r="AQ132" s="43"/>
      <c r="AR132" s="43"/>
      <c r="AS132" s="43"/>
    </row>
    <row r="133" spans="1:45" s="23" customFormat="1" ht="23.25" customHeight="1" x14ac:dyDescent="0.3">
      <c r="A133" s="245"/>
      <c r="B133" s="43"/>
      <c r="C133" s="43"/>
      <c r="D133" s="246"/>
      <c r="E133" s="43"/>
      <c r="F133" s="246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248"/>
      <c r="AI133" s="248"/>
      <c r="AL133" s="248"/>
      <c r="AM133" s="248"/>
      <c r="AN133" s="248"/>
      <c r="AO133" s="248"/>
      <c r="AP133" s="43"/>
      <c r="AQ133" s="43"/>
      <c r="AR133" s="43"/>
      <c r="AS133" s="43"/>
    </row>
    <row r="134" spans="1:45" s="23" customFormat="1" ht="23.25" customHeight="1" x14ac:dyDescent="0.3">
      <c r="A134" s="245"/>
      <c r="B134" s="43"/>
      <c r="C134" s="43"/>
      <c r="D134" s="246"/>
      <c r="E134" s="43"/>
      <c r="F134" s="246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248"/>
      <c r="AI134" s="248"/>
      <c r="AL134" s="248"/>
      <c r="AM134" s="248"/>
      <c r="AN134" s="248"/>
      <c r="AO134" s="248"/>
      <c r="AP134" s="43"/>
      <c r="AQ134" s="43"/>
      <c r="AR134" s="43"/>
      <c r="AS134" s="43"/>
    </row>
    <row r="135" spans="1:45" s="23" customFormat="1" ht="23.25" customHeight="1" x14ac:dyDescent="0.3">
      <c r="A135" s="245"/>
      <c r="B135" s="43"/>
      <c r="C135" s="43"/>
      <c r="D135" s="246"/>
      <c r="E135" s="43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248"/>
      <c r="AI135" s="248"/>
      <c r="AL135" s="248"/>
      <c r="AM135" s="248"/>
      <c r="AN135" s="248"/>
      <c r="AO135" s="248"/>
      <c r="AP135" s="43"/>
      <c r="AQ135" s="43"/>
      <c r="AR135" s="43"/>
      <c r="AS135" s="43"/>
    </row>
    <row r="136" spans="1:45" s="23" customFormat="1" ht="23.25" customHeight="1" x14ac:dyDescent="0.3">
      <c r="A136" s="245"/>
      <c r="B136" s="43"/>
      <c r="C136" s="43"/>
      <c r="D136" s="246"/>
      <c r="E136" s="43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248"/>
      <c r="AI136" s="248"/>
      <c r="AL136" s="248"/>
      <c r="AM136" s="248"/>
      <c r="AN136" s="248"/>
      <c r="AO136" s="248"/>
      <c r="AP136" s="43"/>
      <c r="AQ136" s="43"/>
      <c r="AR136" s="43"/>
      <c r="AS136" s="43"/>
    </row>
    <row r="137" spans="1:45" s="23" customFormat="1" ht="23.25" customHeight="1" x14ac:dyDescent="0.3">
      <c r="A137" s="245"/>
      <c r="B137" s="43"/>
      <c r="C137" s="43"/>
      <c r="D137" s="246"/>
      <c r="E137" s="43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248"/>
      <c r="AI137" s="248"/>
      <c r="AL137" s="248"/>
      <c r="AM137" s="248"/>
      <c r="AN137" s="248"/>
      <c r="AO137" s="248"/>
      <c r="AP137" s="43"/>
      <c r="AQ137" s="43"/>
      <c r="AR137" s="43"/>
      <c r="AS137" s="43"/>
    </row>
    <row r="138" spans="1:45" s="23" customFormat="1" ht="23.25" customHeight="1" x14ac:dyDescent="0.3">
      <c r="A138" s="245"/>
      <c r="B138" s="43"/>
      <c r="C138" s="43"/>
      <c r="D138" s="246"/>
      <c r="E138" s="43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248"/>
      <c r="AI138" s="248"/>
      <c r="AL138" s="248"/>
      <c r="AM138" s="248"/>
      <c r="AN138" s="248"/>
      <c r="AO138" s="248"/>
      <c r="AP138" s="43"/>
      <c r="AQ138" s="43"/>
      <c r="AR138" s="43"/>
      <c r="AS138" s="43"/>
    </row>
    <row r="139" spans="1:45" s="23" customFormat="1" ht="23.25" customHeight="1" x14ac:dyDescent="0.3">
      <c r="A139" s="245"/>
      <c r="B139" s="43"/>
      <c r="C139" s="43"/>
      <c r="D139" s="246"/>
      <c r="E139" s="43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248"/>
      <c r="AI139" s="248"/>
      <c r="AL139" s="248"/>
      <c r="AM139" s="248"/>
      <c r="AN139" s="248"/>
      <c r="AO139" s="248"/>
      <c r="AP139" s="43"/>
      <c r="AQ139" s="43"/>
      <c r="AR139" s="43"/>
      <c r="AS139" s="43"/>
    </row>
    <row r="140" spans="1:45" s="23" customFormat="1" ht="23.25" customHeight="1" x14ac:dyDescent="0.3">
      <c r="A140" s="245"/>
      <c r="B140" s="43"/>
      <c r="C140" s="43"/>
      <c r="D140" s="246"/>
      <c r="E140" s="43"/>
      <c r="F140" s="246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248"/>
      <c r="AI140" s="248"/>
      <c r="AL140" s="248"/>
      <c r="AM140" s="248"/>
      <c r="AN140" s="248"/>
      <c r="AO140" s="248"/>
      <c r="AP140" s="43"/>
      <c r="AQ140" s="43"/>
      <c r="AR140" s="43"/>
      <c r="AS140" s="43"/>
    </row>
    <row r="141" spans="1:45" s="23" customFormat="1" ht="23.25" customHeight="1" x14ac:dyDescent="0.3">
      <c r="A141" s="245"/>
      <c r="B141" s="43"/>
      <c r="C141" s="43"/>
      <c r="D141" s="246"/>
      <c r="E141" s="43"/>
      <c r="F141" s="246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248"/>
      <c r="AI141" s="248"/>
      <c r="AL141" s="248"/>
      <c r="AM141" s="248"/>
      <c r="AN141" s="248"/>
      <c r="AO141" s="248"/>
      <c r="AP141" s="43"/>
      <c r="AQ141" s="43"/>
      <c r="AR141" s="43"/>
      <c r="AS141" s="43"/>
    </row>
    <row r="142" spans="1:45" s="23" customFormat="1" ht="23.25" customHeight="1" x14ac:dyDescent="0.3">
      <c r="A142" s="245"/>
      <c r="B142" s="43"/>
      <c r="C142" s="43"/>
      <c r="D142" s="246"/>
      <c r="E142" s="43"/>
      <c r="F142" s="246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248"/>
      <c r="AI142" s="248"/>
      <c r="AL142" s="248"/>
      <c r="AM142" s="248"/>
      <c r="AN142" s="248"/>
      <c r="AO142" s="248"/>
      <c r="AP142" s="43"/>
      <c r="AQ142" s="43"/>
      <c r="AR142" s="43"/>
      <c r="AS142" s="43"/>
    </row>
    <row r="143" spans="1:45" s="23" customFormat="1" ht="23.25" customHeight="1" x14ac:dyDescent="0.3">
      <c r="A143" s="245"/>
      <c r="B143" s="43"/>
      <c r="C143" s="43"/>
      <c r="D143" s="246"/>
      <c r="E143" s="43"/>
      <c r="F143" s="246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248"/>
      <c r="AI143" s="248"/>
      <c r="AL143" s="248"/>
      <c r="AM143" s="248"/>
      <c r="AN143" s="248"/>
      <c r="AO143" s="248"/>
      <c r="AP143" s="43"/>
      <c r="AQ143" s="43"/>
      <c r="AR143" s="43"/>
      <c r="AS143" s="43"/>
    </row>
    <row r="144" spans="1:45" s="23" customFormat="1" ht="23.25" customHeight="1" x14ac:dyDescent="0.3">
      <c r="A144" s="245"/>
      <c r="B144" s="43"/>
      <c r="C144" s="43"/>
      <c r="D144" s="246"/>
      <c r="E144" s="43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248"/>
      <c r="AI144" s="248"/>
      <c r="AL144" s="248"/>
      <c r="AM144" s="248"/>
      <c r="AN144" s="248"/>
      <c r="AO144" s="248"/>
      <c r="AP144" s="43"/>
      <c r="AQ144" s="43"/>
      <c r="AR144" s="43"/>
      <c r="AS144" s="43"/>
    </row>
    <row r="145" spans="1:45" s="23" customFormat="1" ht="23.25" customHeight="1" x14ac:dyDescent="0.3">
      <c r="A145" s="245"/>
      <c r="B145" s="43"/>
      <c r="C145" s="43"/>
      <c r="D145" s="246"/>
      <c r="E145" s="43"/>
      <c r="F145" s="246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248"/>
      <c r="AI145" s="248"/>
      <c r="AL145" s="248"/>
      <c r="AM145" s="248"/>
      <c r="AN145" s="248"/>
      <c r="AO145" s="248"/>
      <c r="AP145" s="43"/>
      <c r="AQ145" s="43"/>
      <c r="AR145" s="43"/>
      <c r="AS145" s="43"/>
    </row>
    <row r="146" spans="1:45" s="23" customFormat="1" ht="23.25" customHeight="1" x14ac:dyDescent="0.3">
      <c r="A146" s="245"/>
      <c r="B146" s="43"/>
      <c r="C146" s="43"/>
      <c r="D146" s="246"/>
      <c r="E146" s="43"/>
      <c r="F146" s="246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248"/>
      <c r="AI146" s="248"/>
      <c r="AL146" s="248"/>
      <c r="AM146" s="248"/>
      <c r="AN146" s="248"/>
      <c r="AO146" s="248"/>
      <c r="AP146" s="43"/>
      <c r="AQ146" s="43"/>
      <c r="AR146" s="43"/>
      <c r="AS146" s="43"/>
    </row>
    <row r="147" spans="1:45" s="23" customFormat="1" ht="23.25" customHeight="1" x14ac:dyDescent="0.3">
      <c r="A147" s="245"/>
      <c r="B147" s="43"/>
      <c r="C147" s="43"/>
      <c r="D147" s="246"/>
      <c r="E147" s="43"/>
      <c r="F147" s="246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248"/>
      <c r="AI147" s="248"/>
      <c r="AL147" s="248"/>
      <c r="AM147" s="248"/>
      <c r="AN147" s="248"/>
      <c r="AO147" s="248"/>
      <c r="AP147" s="43"/>
      <c r="AQ147" s="43"/>
      <c r="AR147" s="43"/>
      <c r="AS147" s="43"/>
    </row>
    <row r="148" spans="1:45" s="23" customFormat="1" ht="23.25" customHeight="1" x14ac:dyDescent="0.3">
      <c r="A148" s="245"/>
      <c r="B148" s="43"/>
      <c r="C148" s="43"/>
      <c r="D148" s="246"/>
      <c r="E148" s="43"/>
      <c r="F148" s="246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248"/>
      <c r="AI148" s="248"/>
      <c r="AL148" s="248"/>
      <c r="AM148" s="248"/>
      <c r="AN148" s="248"/>
      <c r="AO148" s="248"/>
      <c r="AP148" s="43"/>
      <c r="AQ148" s="43"/>
      <c r="AR148" s="43"/>
      <c r="AS148" s="43"/>
    </row>
    <row r="149" spans="1:45" s="23" customFormat="1" ht="23.25" customHeight="1" x14ac:dyDescent="0.3">
      <c r="A149" s="245"/>
      <c r="B149" s="43"/>
      <c r="C149" s="43"/>
      <c r="D149" s="246"/>
      <c r="E149" s="43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248"/>
      <c r="AI149" s="248"/>
      <c r="AL149" s="248"/>
      <c r="AM149" s="248"/>
      <c r="AN149" s="248"/>
      <c r="AO149" s="248"/>
      <c r="AP149" s="43"/>
      <c r="AQ149" s="43"/>
      <c r="AR149" s="43"/>
      <c r="AS149" s="43"/>
    </row>
    <row r="150" spans="1:45" s="23" customFormat="1" ht="23.25" customHeight="1" x14ac:dyDescent="0.3">
      <c r="A150" s="245"/>
      <c r="B150" s="43"/>
      <c r="C150" s="43"/>
      <c r="D150" s="246"/>
      <c r="E150" s="43"/>
      <c r="F150" s="246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248"/>
      <c r="AI150" s="248"/>
      <c r="AL150" s="248"/>
      <c r="AM150" s="248"/>
      <c r="AN150" s="248"/>
      <c r="AO150" s="248"/>
      <c r="AP150" s="43"/>
      <c r="AQ150" s="43"/>
      <c r="AR150" s="43"/>
      <c r="AS150" s="43"/>
    </row>
    <row r="151" spans="1:45" s="23" customFormat="1" ht="23.25" customHeight="1" x14ac:dyDescent="0.3">
      <c r="A151" s="245"/>
      <c r="B151" s="43"/>
      <c r="C151" s="43"/>
      <c r="D151" s="246"/>
      <c r="E151" s="43"/>
      <c r="F151" s="246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248"/>
      <c r="AI151" s="248"/>
      <c r="AL151" s="248"/>
      <c r="AM151" s="248"/>
      <c r="AN151" s="248"/>
      <c r="AO151" s="248"/>
      <c r="AP151" s="43"/>
      <c r="AQ151" s="43"/>
      <c r="AR151" s="43"/>
      <c r="AS151" s="43"/>
    </row>
    <row r="152" spans="1:45" s="23" customFormat="1" ht="23.25" customHeight="1" x14ac:dyDescent="0.3">
      <c r="A152" s="245"/>
      <c r="B152" s="43"/>
      <c r="C152" s="43"/>
      <c r="D152" s="246"/>
      <c r="E152" s="43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248"/>
      <c r="AI152" s="248"/>
      <c r="AL152" s="248"/>
      <c r="AM152" s="248"/>
      <c r="AN152" s="248"/>
      <c r="AO152" s="248"/>
      <c r="AP152" s="43"/>
      <c r="AQ152" s="43"/>
      <c r="AR152" s="43"/>
      <c r="AS152" s="43"/>
    </row>
    <row r="153" spans="1:45" s="23" customFormat="1" ht="23.25" customHeight="1" x14ac:dyDescent="0.3">
      <c r="A153" s="245"/>
      <c r="B153" s="43"/>
      <c r="C153" s="43"/>
      <c r="D153" s="246"/>
      <c r="E153" s="43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248"/>
      <c r="AI153" s="248"/>
      <c r="AL153" s="248"/>
      <c r="AM153" s="248"/>
      <c r="AN153" s="248"/>
      <c r="AO153" s="248"/>
      <c r="AP153" s="43"/>
      <c r="AQ153" s="43"/>
      <c r="AR153" s="43"/>
      <c r="AS153" s="43"/>
    </row>
    <row r="154" spans="1:45" s="23" customFormat="1" ht="23.25" customHeight="1" x14ac:dyDescent="0.3">
      <c r="A154" s="245"/>
      <c r="B154" s="43"/>
      <c r="C154" s="43"/>
      <c r="D154" s="246"/>
      <c r="E154" s="43"/>
      <c r="F154" s="246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248"/>
      <c r="AI154" s="248"/>
      <c r="AL154" s="248"/>
      <c r="AM154" s="248"/>
      <c r="AN154" s="248"/>
      <c r="AO154" s="248"/>
      <c r="AP154" s="43"/>
      <c r="AQ154" s="43"/>
      <c r="AR154" s="43"/>
      <c r="AS154" s="43"/>
    </row>
    <row r="155" spans="1:45" s="23" customFormat="1" ht="23.25" customHeight="1" x14ac:dyDescent="0.3">
      <c r="A155" s="245"/>
      <c r="B155" s="43"/>
      <c r="C155" s="43"/>
      <c r="D155" s="246"/>
      <c r="E155" s="43"/>
      <c r="F155" s="246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248"/>
      <c r="AI155" s="248"/>
      <c r="AL155" s="248"/>
      <c r="AM155" s="248"/>
      <c r="AN155" s="248"/>
      <c r="AO155" s="248"/>
      <c r="AP155" s="43"/>
      <c r="AQ155" s="43"/>
      <c r="AR155" s="43"/>
      <c r="AS155" s="43"/>
    </row>
    <row r="156" spans="1:45" s="23" customFormat="1" ht="23.25" customHeight="1" x14ac:dyDescent="0.3">
      <c r="A156" s="245"/>
      <c r="B156" s="43"/>
      <c r="C156" s="43"/>
      <c r="D156" s="246"/>
      <c r="E156" s="43"/>
      <c r="F156" s="246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248"/>
      <c r="AI156" s="248"/>
      <c r="AL156" s="248"/>
      <c r="AM156" s="248"/>
      <c r="AN156" s="248"/>
      <c r="AO156" s="248"/>
      <c r="AP156" s="43"/>
      <c r="AQ156" s="43"/>
      <c r="AR156" s="43"/>
      <c r="AS156" s="43"/>
    </row>
    <row r="157" spans="1:45" s="23" customFormat="1" ht="23.25" customHeight="1" x14ac:dyDescent="0.3">
      <c r="A157" s="245"/>
      <c r="B157" s="43"/>
      <c r="C157" s="43"/>
      <c r="D157" s="246"/>
      <c r="E157" s="43"/>
      <c r="F157" s="246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248"/>
      <c r="AI157" s="248"/>
      <c r="AL157" s="248"/>
      <c r="AM157" s="248"/>
      <c r="AN157" s="248"/>
      <c r="AO157" s="248"/>
      <c r="AP157" s="43"/>
      <c r="AQ157" s="43"/>
      <c r="AR157" s="43"/>
      <c r="AS157" s="43"/>
    </row>
    <row r="158" spans="1:45" s="23" customFormat="1" ht="23.25" customHeight="1" x14ac:dyDescent="0.3">
      <c r="A158" s="245"/>
      <c r="B158" s="43"/>
      <c r="C158" s="43"/>
      <c r="D158" s="246"/>
      <c r="E158" s="43"/>
      <c r="F158" s="246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248"/>
      <c r="AI158" s="248"/>
      <c r="AL158" s="248"/>
      <c r="AM158" s="248"/>
      <c r="AN158" s="248"/>
      <c r="AO158" s="248"/>
      <c r="AP158" s="43"/>
      <c r="AQ158" s="43"/>
      <c r="AR158" s="43"/>
      <c r="AS158" s="43"/>
    </row>
    <row r="159" spans="1:45" s="23" customFormat="1" ht="23.25" customHeight="1" x14ac:dyDescent="0.3">
      <c r="A159" s="245"/>
      <c r="B159" s="43"/>
      <c r="C159" s="43"/>
      <c r="D159" s="246"/>
      <c r="E159" s="43"/>
      <c r="F159" s="246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248"/>
      <c r="AI159" s="248"/>
      <c r="AL159" s="248"/>
      <c r="AM159" s="248"/>
      <c r="AN159" s="248"/>
      <c r="AO159" s="248"/>
      <c r="AP159" s="43"/>
      <c r="AQ159" s="43"/>
      <c r="AR159" s="43"/>
      <c r="AS159" s="43"/>
    </row>
    <row r="160" spans="1:45" s="23" customFormat="1" ht="23.25" customHeight="1" x14ac:dyDescent="0.3">
      <c r="A160" s="245"/>
      <c r="B160" s="43"/>
      <c r="C160" s="43"/>
      <c r="D160" s="246"/>
      <c r="E160" s="43"/>
      <c r="F160" s="246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248"/>
      <c r="AI160" s="248"/>
      <c r="AL160" s="248"/>
      <c r="AM160" s="248"/>
      <c r="AN160" s="248"/>
      <c r="AO160" s="248"/>
      <c r="AP160" s="43"/>
      <c r="AQ160" s="43"/>
      <c r="AR160" s="43"/>
      <c r="AS160" s="43"/>
    </row>
    <row r="161" spans="1:45" s="23" customFormat="1" ht="23.25" customHeight="1" x14ac:dyDescent="0.3">
      <c r="A161" s="245"/>
      <c r="B161" s="43"/>
      <c r="C161" s="43"/>
      <c r="D161" s="246"/>
      <c r="E161" s="43"/>
      <c r="F161" s="246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248"/>
      <c r="AI161" s="248"/>
      <c r="AL161" s="248"/>
      <c r="AM161" s="248"/>
      <c r="AN161" s="248"/>
      <c r="AO161" s="248"/>
      <c r="AP161" s="43"/>
      <c r="AQ161" s="43"/>
      <c r="AR161" s="43"/>
      <c r="AS161" s="43"/>
    </row>
    <row r="162" spans="1:45" s="23" customFormat="1" ht="23.25" customHeight="1" x14ac:dyDescent="0.3">
      <c r="A162" s="245"/>
      <c r="B162" s="43"/>
      <c r="C162" s="43"/>
      <c r="D162" s="246"/>
      <c r="E162" s="43"/>
      <c r="F162" s="246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248"/>
      <c r="AI162" s="248"/>
      <c r="AL162" s="248"/>
      <c r="AM162" s="248"/>
      <c r="AN162" s="248"/>
      <c r="AO162" s="248"/>
      <c r="AP162" s="43"/>
      <c r="AQ162" s="43"/>
      <c r="AR162" s="43"/>
      <c r="AS162" s="43"/>
    </row>
    <row r="163" spans="1:45" s="23" customFormat="1" ht="23.25" customHeight="1" x14ac:dyDescent="0.3">
      <c r="A163" s="245"/>
      <c r="B163" s="43"/>
      <c r="C163" s="43"/>
      <c r="D163" s="246"/>
      <c r="E163" s="43"/>
      <c r="F163" s="246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248"/>
      <c r="AI163" s="248"/>
      <c r="AL163" s="248"/>
      <c r="AM163" s="248"/>
      <c r="AN163" s="248"/>
      <c r="AO163" s="248"/>
      <c r="AP163" s="43"/>
      <c r="AQ163" s="43"/>
      <c r="AR163" s="43"/>
      <c r="AS163" s="43"/>
    </row>
    <row r="164" spans="1:45" s="23" customFormat="1" ht="23.25" customHeight="1" x14ac:dyDescent="0.3">
      <c r="A164" s="245"/>
      <c r="B164" s="43"/>
      <c r="C164" s="43"/>
      <c r="D164" s="246"/>
      <c r="E164" s="43"/>
      <c r="F164" s="246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248"/>
      <c r="AI164" s="248"/>
      <c r="AL164" s="248"/>
      <c r="AM164" s="248"/>
      <c r="AN164" s="248"/>
      <c r="AO164" s="248"/>
      <c r="AP164" s="43"/>
      <c r="AQ164" s="43"/>
      <c r="AR164" s="43"/>
      <c r="AS164" s="43"/>
    </row>
    <row r="165" spans="1:45" s="23" customFormat="1" ht="23.25" customHeight="1" x14ac:dyDescent="0.3">
      <c r="A165" s="245"/>
      <c r="B165" s="43"/>
      <c r="C165" s="43"/>
      <c r="D165" s="246"/>
      <c r="E165" s="43"/>
      <c r="F165" s="246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248"/>
      <c r="AI165" s="248"/>
      <c r="AL165" s="248"/>
      <c r="AM165" s="248"/>
      <c r="AN165" s="248"/>
      <c r="AO165" s="248"/>
      <c r="AP165" s="43"/>
      <c r="AQ165" s="43"/>
      <c r="AR165" s="43"/>
      <c r="AS165" s="43"/>
    </row>
    <row r="166" spans="1:45" s="23" customFormat="1" ht="23.25" customHeight="1" x14ac:dyDescent="0.3">
      <c r="A166" s="245"/>
      <c r="B166" s="43"/>
      <c r="C166" s="43"/>
      <c r="D166" s="246"/>
      <c r="E166" s="43"/>
      <c r="F166" s="246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248"/>
      <c r="AI166" s="248"/>
      <c r="AL166" s="248"/>
      <c r="AM166" s="248"/>
      <c r="AN166" s="248"/>
      <c r="AO166" s="248"/>
      <c r="AP166" s="43"/>
      <c r="AQ166" s="43"/>
      <c r="AR166" s="43"/>
      <c r="AS166" s="43"/>
    </row>
    <row r="167" spans="1:45" s="23" customFormat="1" ht="23.25" customHeight="1" x14ac:dyDescent="0.3">
      <c r="A167" s="245"/>
      <c r="B167" s="43"/>
      <c r="C167" s="43"/>
      <c r="D167" s="246"/>
      <c r="E167" s="43"/>
      <c r="F167" s="246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248"/>
      <c r="AI167" s="248"/>
      <c r="AL167" s="248"/>
      <c r="AM167" s="248"/>
      <c r="AN167" s="248"/>
      <c r="AO167" s="248"/>
      <c r="AP167" s="43"/>
      <c r="AQ167" s="43"/>
      <c r="AR167" s="43"/>
      <c r="AS167" s="43"/>
    </row>
    <row r="168" spans="1:45" s="23" customFormat="1" ht="23.25" customHeight="1" x14ac:dyDescent="0.3">
      <c r="A168" s="245"/>
      <c r="B168" s="43"/>
      <c r="C168" s="43"/>
      <c r="D168" s="246"/>
      <c r="E168" s="43"/>
      <c r="F168" s="246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248"/>
      <c r="AI168" s="248"/>
      <c r="AL168" s="248"/>
      <c r="AM168" s="248"/>
      <c r="AN168" s="248"/>
      <c r="AO168" s="248"/>
      <c r="AP168" s="43"/>
      <c r="AQ168" s="43"/>
      <c r="AR168" s="43"/>
      <c r="AS168" s="43"/>
    </row>
    <row r="169" spans="1:45" s="23" customFormat="1" ht="23.25" customHeight="1" x14ac:dyDescent="0.3">
      <c r="A169" s="245"/>
      <c r="B169" s="43"/>
      <c r="C169" s="43"/>
      <c r="D169" s="246"/>
      <c r="E169" s="43"/>
      <c r="F169" s="246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248"/>
      <c r="AI169" s="248"/>
      <c r="AL169" s="248"/>
      <c r="AM169" s="248"/>
      <c r="AN169" s="248"/>
      <c r="AO169" s="248"/>
      <c r="AP169" s="43"/>
      <c r="AQ169" s="43"/>
      <c r="AR169" s="43"/>
      <c r="AS169" s="43"/>
    </row>
    <row r="170" spans="1:45" s="23" customFormat="1" ht="23.25" customHeight="1" x14ac:dyDescent="0.3">
      <c r="A170" s="245"/>
      <c r="B170" s="43"/>
      <c r="C170" s="43"/>
      <c r="D170" s="246"/>
      <c r="E170" s="43"/>
      <c r="F170" s="246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248"/>
      <c r="AI170" s="248"/>
      <c r="AL170" s="248"/>
      <c r="AM170" s="248"/>
      <c r="AN170" s="248"/>
      <c r="AO170" s="248"/>
      <c r="AP170" s="43"/>
      <c r="AQ170" s="43"/>
      <c r="AR170" s="43"/>
      <c r="AS170" s="43"/>
    </row>
    <row r="171" spans="1:45" s="23" customFormat="1" ht="23.25" customHeight="1" x14ac:dyDescent="0.3">
      <c r="A171" s="245"/>
      <c r="B171" s="43"/>
      <c r="C171" s="43"/>
      <c r="D171" s="246"/>
      <c r="E171" s="43"/>
      <c r="F171" s="246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248"/>
      <c r="AI171" s="248"/>
      <c r="AL171" s="248"/>
      <c r="AM171" s="248"/>
      <c r="AN171" s="248"/>
      <c r="AO171" s="248"/>
      <c r="AP171" s="43"/>
      <c r="AQ171" s="43"/>
      <c r="AR171" s="43"/>
      <c r="AS171" s="43"/>
    </row>
    <row r="172" spans="1:45" s="23" customFormat="1" ht="23.25" customHeight="1" x14ac:dyDescent="0.3">
      <c r="A172" s="245"/>
      <c r="B172" s="43"/>
      <c r="C172" s="43"/>
      <c r="D172" s="246"/>
      <c r="E172" s="43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248"/>
      <c r="AI172" s="248"/>
      <c r="AL172" s="248"/>
      <c r="AM172" s="248"/>
      <c r="AN172" s="248"/>
      <c r="AO172" s="248"/>
      <c r="AP172" s="43"/>
      <c r="AQ172" s="43"/>
      <c r="AR172" s="43"/>
      <c r="AS172" s="43"/>
    </row>
    <row r="173" spans="1:45" s="23" customFormat="1" ht="23.25" customHeight="1" x14ac:dyDescent="0.3">
      <c r="A173" s="245"/>
      <c r="B173" s="43"/>
      <c r="C173" s="43"/>
      <c r="D173" s="246"/>
      <c r="E173" s="43"/>
      <c r="F173" s="246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248"/>
      <c r="AI173" s="248"/>
      <c r="AL173" s="248"/>
      <c r="AM173" s="248"/>
      <c r="AN173" s="248"/>
      <c r="AO173" s="248"/>
      <c r="AP173" s="43"/>
      <c r="AQ173" s="43"/>
      <c r="AR173" s="43"/>
      <c r="AS173" s="43"/>
    </row>
    <row r="174" spans="1:45" s="23" customFormat="1" ht="23.25" customHeight="1" x14ac:dyDescent="0.3">
      <c r="A174" s="245"/>
      <c r="B174" s="43"/>
      <c r="C174" s="43"/>
      <c r="D174" s="246"/>
      <c r="E174" s="43"/>
      <c r="F174" s="246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248"/>
      <c r="AI174" s="248"/>
      <c r="AL174" s="248"/>
      <c r="AM174" s="248"/>
      <c r="AN174" s="248"/>
      <c r="AO174" s="248"/>
      <c r="AP174" s="43"/>
      <c r="AQ174" s="43"/>
      <c r="AR174" s="43"/>
      <c r="AS174" s="43"/>
    </row>
    <row r="175" spans="1:45" s="23" customFormat="1" ht="23.25" customHeight="1" x14ac:dyDescent="0.3">
      <c r="A175" s="245"/>
      <c r="B175" s="43"/>
      <c r="C175" s="43"/>
      <c r="D175" s="246"/>
      <c r="E175" s="43"/>
      <c r="F175" s="246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248"/>
      <c r="AI175" s="248"/>
      <c r="AL175" s="248"/>
      <c r="AM175" s="248"/>
      <c r="AN175" s="248"/>
      <c r="AO175" s="248"/>
      <c r="AP175" s="43"/>
      <c r="AQ175" s="43"/>
      <c r="AR175" s="43"/>
      <c r="AS175" s="43"/>
    </row>
    <row r="176" spans="1:45" s="23" customFormat="1" ht="23.25" customHeight="1" x14ac:dyDescent="0.3">
      <c r="A176" s="245"/>
      <c r="B176" s="43"/>
      <c r="C176" s="43"/>
      <c r="D176" s="246"/>
      <c r="E176" s="43"/>
      <c r="F176" s="246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248"/>
      <c r="AI176" s="248"/>
      <c r="AL176" s="248"/>
      <c r="AM176" s="248"/>
      <c r="AN176" s="248"/>
      <c r="AO176" s="248"/>
      <c r="AP176" s="43"/>
      <c r="AQ176" s="43"/>
      <c r="AR176" s="43"/>
      <c r="AS176" s="43"/>
    </row>
    <row r="177" spans="1:45" s="23" customFormat="1" ht="23.25" customHeight="1" x14ac:dyDescent="0.3">
      <c r="A177" s="245"/>
      <c r="B177" s="43"/>
      <c r="C177" s="43"/>
      <c r="D177" s="246"/>
      <c r="E177" s="43"/>
      <c r="F177" s="246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248"/>
      <c r="AI177" s="248"/>
      <c r="AL177" s="248"/>
      <c r="AM177" s="248"/>
      <c r="AN177" s="248"/>
      <c r="AO177" s="248"/>
      <c r="AP177" s="43"/>
      <c r="AQ177" s="43"/>
      <c r="AR177" s="43"/>
      <c r="AS177" s="43"/>
    </row>
    <row r="178" spans="1:45" s="23" customFormat="1" ht="23.25" customHeight="1" x14ac:dyDescent="0.3">
      <c r="A178" s="245"/>
      <c r="B178" s="43"/>
      <c r="C178" s="43"/>
      <c r="D178" s="246"/>
      <c r="E178" s="43"/>
      <c r="F178" s="246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248"/>
      <c r="AI178" s="248"/>
      <c r="AL178" s="248"/>
      <c r="AM178" s="248"/>
      <c r="AN178" s="248"/>
      <c r="AO178" s="248"/>
      <c r="AP178" s="43"/>
      <c r="AQ178" s="43"/>
      <c r="AR178" s="43"/>
      <c r="AS178" s="43"/>
    </row>
    <row r="179" spans="1:45" s="23" customFormat="1" ht="23.25" customHeight="1" x14ac:dyDescent="0.3">
      <c r="A179" s="245"/>
      <c r="B179" s="43"/>
      <c r="C179" s="43"/>
      <c r="D179" s="246"/>
      <c r="E179" s="43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248"/>
      <c r="AI179" s="248"/>
      <c r="AL179" s="248"/>
      <c r="AM179" s="248"/>
      <c r="AN179" s="248"/>
      <c r="AO179" s="248"/>
      <c r="AP179" s="43"/>
      <c r="AQ179" s="43"/>
      <c r="AR179" s="43"/>
      <c r="AS179" s="43"/>
    </row>
    <row r="180" spans="1:45" s="23" customFormat="1" ht="23.25" customHeight="1" x14ac:dyDescent="0.3">
      <c r="A180" s="245"/>
      <c r="B180" s="43"/>
      <c r="C180" s="43"/>
      <c r="D180" s="246"/>
      <c r="E180" s="43"/>
      <c r="F180" s="246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248"/>
      <c r="AI180" s="248"/>
      <c r="AL180" s="248"/>
      <c r="AM180" s="248"/>
      <c r="AN180" s="248"/>
      <c r="AO180" s="248"/>
      <c r="AP180" s="43"/>
      <c r="AQ180" s="43"/>
      <c r="AR180" s="43"/>
      <c r="AS180" s="43"/>
    </row>
    <row r="181" spans="1:45" s="23" customFormat="1" ht="23.25" customHeight="1" x14ac:dyDescent="0.3">
      <c r="A181" s="245"/>
      <c r="B181" s="43"/>
      <c r="C181" s="43"/>
      <c r="D181" s="246"/>
      <c r="E181" s="43"/>
      <c r="F181" s="246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248"/>
      <c r="AI181" s="248"/>
      <c r="AL181" s="248"/>
      <c r="AM181" s="248"/>
      <c r="AN181" s="248"/>
      <c r="AO181" s="248"/>
      <c r="AP181" s="43"/>
      <c r="AQ181" s="43"/>
      <c r="AR181" s="43"/>
      <c r="AS181" s="43"/>
    </row>
    <row r="182" spans="1:45" s="23" customFormat="1" ht="23.25" customHeight="1" x14ac:dyDescent="0.3">
      <c r="A182" s="245"/>
      <c r="B182" s="43"/>
      <c r="C182" s="43"/>
      <c r="D182" s="246"/>
      <c r="E182" s="43"/>
      <c r="F182" s="246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248"/>
      <c r="AI182" s="248"/>
      <c r="AL182" s="248"/>
      <c r="AM182" s="248"/>
      <c r="AN182" s="248"/>
      <c r="AO182" s="248"/>
      <c r="AP182" s="43"/>
      <c r="AQ182" s="43"/>
      <c r="AR182" s="43"/>
      <c r="AS182" s="43"/>
    </row>
    <row r="183" spans="1:45" s="23" customFormat="1" ht="23.25" customHeight="1" x14ac:dyDescent="0.3">
      <c r="A183" s="245"/>
      <c r="B183" s="43"/>
      <c r="C183" s="43"/>
      <c r="D183" s="246"/>
      <c r="E183" s="43"/>
      <c r="F183" s="246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248"/>
      <c r="AI183" s="248"/>
      <c r="AL183" s="248"/>
      <c r="AM183" s="248"/>
      <c r="AN183" s="248"/>
      <c r="AO183" s="248"/>
      <c r="AP183" s="43"/>
      <c r="AQ183" s="43"/>
      <c r="AR183" s="43"/>
      <c r="AS183" s="43"/>
    </row>
    <row r="184" spans="1:45" s="23" customFormat="1" ht="23.25" customHeight="1" x14ac:dyDescent="0.3">
      <c r="A184" s="245"/>
      <c r="B184" s="43"/>
      <c r="C184" s="43"/>
      <c r="D184" s="246"/>
      <c r="E184" s="43"/>
      <c r="F184" s="246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248"/>
      <c r="AI184" s="248"/>
      <c r="AL184" s="248"/>
      <c r="AM184" s="248"/>
      <c r="AN184" s="248"/>
      <c r="AO184" s="248"/>
      <c r="AP184" s="43"/>
      <c r="AQ184" s="43"/>
      <c r="AR184" s="43"/>
      <c r="AS184" s="43"/>
    </row>
    <row r="185" spans="1:45" s="23" customFormat="1" ht="23.25" customHeight="1" x14ac:dyDescent="0.3">
      <c r="A185" s="245"/>
      <c r="B185" s="43"/>
      <c r="C185" s="43"/>
      <c r="D185" s="246"/>
      <c r="E185" s="43"/>
      <c r="F185" s="246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248"/>
      <c r="AI185" s="248"/>
      <c r="AL185" s="248"/>
      <c r="AM185" s="248"/>
      <c r="AN185" s="248"/>
      <c r="AO185" s="248"/>
      <c r="AP185" s="43"/>
      <c r="AQ185" s="43"/>
      <c r="AR185" s="43"/>
      <c r="AS185" s="43"/>
    </row>
    <row r="186" spans="1:45" s="23" customFormat="1" ht="23.25" customHeight="1" x14ac:dyDescent="0.3">
      <c r="A186" s="245"/>
      <c r="B186" s="43"/>
      <c r="C186" s="43"/>
      <c r="D186" s="246"/>
      <c r="E186" s="43"/>
      <c r="F186" s="246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248"/>
      <c r="AI186" s="248"/>
      <c r="AL186" s="248"/>
      <c r="AM186" s="248"/>
      <c r="AN186" s="248"/>
      <c r="AO186" s="248"/>
      <c r="AP186" s="43"/>
      <c r="AQ186" s="43"/>
      <c r="AR186" s="43"/>
      <c r="AS186" s="43"/>
    </row>
    <row r="187" spans="1:45" s="23" customFormat="1" ht="23.25" customHeight="1" x14ac:dyDescent="0.3">
      <c r="A187" s="245"/>
      <c r="B187" s="43"/>
      <c r="C187" s="43"/>
      <c r="D187" s="246"/>
      <c r="E187" s="43"/>
      <c r="F187" s="246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248"/>
      <c r="AI187" s="248"/>
      <c r="AL187" s="248"/>
      <c r="AM187" s="248"/>
      <c r="AN187" s="248"/>
      <c r="AO187" s="248"/>
      <c r="AP187" s="43"/>
      <c r="AQ187" s="43"/>
      <c r="AR187" s="43"/>
      <c r="AS187" s="43"/>
    </row>
    <row r="188" spans="1:45" s="23" customFormat="1" ht="23.25" customHeight="1" x14ac:dyDescent="0.3">
      <c r="A188" s="245"/>
      <c r="B188" s="43"/>
      <c r="C188" s="43"/>
      <c r="D188" s="246"/>
      <c r="E188" s="43"/>
      <c r="F188" s="246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248"/>
      <c r="AI188" s="248"/>
      <c r="AL188" s="248"/>
      <c r="AM188" s="248"/>
      <c r="AN188" s="248"/>
      <c r="AO188" s="248"/>
      <c r="AP188" s="43"/>
      <c r="AQ188" s="43"/>
      <c r="AR188" s="43"/>
      <c r="AS188" s="43"/>
    </row>
    <row r="189" spans="1:45" s="23" customFormat="1" ht="23.25" customHeight="1" x14ac:dyDescent="0.3">
      <c r="A189" s="245"/>
      <c r="B189" s="43"/>
      <c r="C189" s="43"/>
      <c r="D189" s="246"/>
      <c r="E189" s="43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248"/>
      <c r="AI189" s="248"/>
      <c r="AL189" s="248"/>
      <c r="AM189" s="248"/>
      <c r="AN189" s="248"/>
      <c r="AO189" s="248"/>
      <c r="AP189" s="43"/>
      <c r="AQ189" s="43"/>
      <c r="AR189" s="43"/>
      <c r="AS189" s="43"/>
    </row>
    <row r="190" spans="1:45" s="23" customFormat="1" ht="23.25" customHeight="1" x14ac:dyDescent="0.3">
      <c r="A190" s="245"/>
      <c r="B190" s="43"/>
      <c r="C190" s="43"/>
      <c r="D190" s="246"/>
      <c r="E190" s="43"/>
      <c r="F190" s="246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248"/>
      <c r="AI190" s="248"/>
      <c r="AL190" s="248"/>
      <c r="AM190" s="248"/>
      <c r="AN190" s="248"/>
      <c r="AO190" s="248"/>
      <c r="AP190" s="43"/>
      <c r="AQ190" s="43"/>
      <c r="AR190" s="43"/>
      <c r="AS190" s="43"/>
    </row>
    <row r="191" spans="1:45" s="23" customFormat="1" ht="23.25" customHeight="1" x14ac:dyDescent="0.3">
      <c r="A191" s="245"/>
      <c r="B191" s="43"/>
      <c r="C191" s="43"/>
      <c r="D191" s="246"/>
      <c r="E191" s="43"/>
      <c r="F191" s="246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248"/>
      <c r="AI191" s="248"/>
      <c r="AL191" s="248"/>
      <c r="AM191" s="248"/>
      <c r="AN191" s="248"/>
      <c r="AO191" s="248"/>
      <c r="AP191" s="43"/>
      <c r="AQ191" s="43"/>
      <c r="AR191" s="43"/>
      <c r="AS191" s="43"/>
    </row>
    <row r="192" spans="1:45" s="23" customFormat="1" ht="23.25" customHeight="1" x14ac:dyDescent="0.3">
      <c r="A192" s="245"/>
      <c r="B192" s="43"/>
      <c r="C192" s="43"/>
      <c r="D192" s="246"/>
      <c r="E192" s="43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248"/>
      <c r="AI192" s="248"/>
      <c r="AL192" s="248"/>
      <c r="AM192" s="248"/>
      <c r="AN192" s="248"/>
      <c r="AO192" s="248"/>
      <c r="AP192" s="43"/>
      <c r="AQ192" s="43"/>
      <c r="AR192" s="43"/>
      <c r="AS192" s="43"/>
    </row>
    <row r="193" spans="1:45" s="23" customFormat="1" ht="23.25" customHeight="1" x14ac:dyDescent="0.3">
      <c r="A193" s="245"/>
      <c r="B193" s="43"/>
      <c r="C193" s="43"/>
      <c r="D193" s="246"/>
      <c r="E193" s="43"/>
      <c r="F193" s="246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248"/>
      <c r="AI193" s="248"/>
      <c r="AL193" s="248"/>
      <c r="AM193" s="248"/>
      <c r="AN193" s="248"/>
      <c r="AO193" s="248"/>
      <c r="AP193" s="43"/>
      <c r="AQ193" s="43"/>
      <c r="AR193" s="43"/>
      <c r="AS193" s="43"/>
    </row>
    <row r="194" spans="1:45" s="23" customFormat="1" ht="23.25" customHeight="1" x14ac:dyDescent="0.3">
      <c r="A194" s="245"/>
      <c r="B194" s="43"/>
      <c r="C194" s="43"/>
      <c r="D194" s="246"/>
      <c r="E194" s="43"/>
      <c r="F194" s="246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248"/>
      <c r="AI194" s="248"/>
      <c r="AL194" s="248"/>
      <c r="AM194" s="248"/>
      <c r="AN194" s="248"/>
      <c r="AO194" s="248"/>
      <c r="AP194" s="43"/>
      <c r="AQ194" s="43"/>
      <c r="AR194" s="43"/>
      <c r="AS194" s="43"/>
    </row>
    <row r="195" spans="1:45" s="23" customFormat="1" ht="23.25" customHeight="1" x14ac:dyDescent="0.3">
      <c r="A195" s="245"/>
      <c r="B195" s="43"/>
      <c r="C195" s="43"/>
      <c r="D195" s="246"/>
      <c r="E195" s="43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248"/>
      <c r="AI195" s="248"/>
      <c r="AL195" s="248"/>
      <c r="AM195" s="248"/>
      <c r="AN195" s="248"/>
      <c r="AO195" s="248"/>
      <c r="AP195" s="43"/>
      <c r="AQ195" s="43"/>
      <c r="AR195" s="43"/>
      <c r="AS195" s="43"/>
    </row>
    <row r="196" spans="1:45" s="23" customFormat="1" ht="23.25" customHeight="1" x14ac:dyDescent="0.3">
      <c r="A196" s="245"/>
      <c r="B196" s="43"/>
      <c r="C196" s="43"/>
      <c r="D196" s="246"/>
      <c r="E196" s="43"/>
      <c r="F196" s="246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248"/>
      <c r="AI196" s="248"/>
      <c r="AL196" s="248"/>
      <c r="AM196" s="248"/>
      <c r="AN196" s="248"/>
      <c r="AO196" s="248"/>
      <c r="AP196" s="43"/>
      <c r="AQ196" s="43"/>
      <c r="AR196" s="43"/>
      <c r="AS196" s="43"/>
    </row>
    <row r="197" spans="1:45" s="23" customFormat="1" ht="23.25" customHeight="1" x14ac:dyDescent="0.3">
      <c r="A197" s="245"/>
      <c r="B197" s="43"/>
      <c r="C197" s="43"/>
      <c r="D197" s="246"/>
      <c r="E197" s="43"/>
      <c r="F197" s="246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248"/>
      <c r="AI197" s="248"/>
      <c r="AL197" s="248"/>
      <c r="AM197" s="248"/>
      <c r="AN197" s="248"/>
      <c r="AO197" s="248"/>
      <c r="AP197" s="43"/>
      <c r="AQ197" s="43"/>
      <c r="AR197" s="43"/>
      <c r="AS197" s="43"/>
    </row>
    <row r="198" spans="1:45" s="23" customFormat="1" ht="23.25" customHeight="1" x14ac:dyDescent="0.3">
      <c r="A198" s="245"/>
      <c r="B198" s="43"/>
      <c r="C198" s="43"/>
      <c r="D198" s="246"/>
      <c r="E198" s="43"/>
      <c r="F198" s="246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248"/>
      <c r="AI198" s="248"/>
      <c r="AL198" s="248"/>
      <c r="AM198" s="248"/>
      <c r="AN198" s="248"/>
      <c r="AO198" s="248"/>
      <c r="AP198" s="43"/>
      <c r="AQ198" s="43"/>
      <c r="AR198" s="43"/>
      <c r="AS198" s="43"/>
    </row>
    <row r="199" spans="1:45" s="23" customFormat="1" ht="23.25" customHeight="1" x14ac:dyDescent="0.3">
      <c r="A199" s="245"/>
      <c r="B199" s="43"/>
      <c r="C199" s="43"/>
      <c r="D199" s="246"/>
      <c r="E199" s="43"/>
      <c r="F199" s="246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248"/>
      <c r="AI199" s="248"/>
      <c r="AL199" s="248"/>
      <c r="AM199" s="248"/>
      <c r="AN199" s="248"/>
      <c r="AO199" s="248"/>
      <c r="AP199" s="43"/>
      <c r="AQ199" s="43"/>
      <c r="AR199" s="43"/>
      <c r="AS199" s="43"/>
    </row>
    <row r="200" spans="1:45" s="23" customFormat="1" ht="23.25" customHeight="1" x14ac:dyDescent="0.3">
      <c r="A200" s="245"/>
      <c r="B200" s="43"/>
      <c r="C200" s="43"/>
      <c r="D200" s="246"/>
      <c r="E200" s="43"/>
      <c r="F200" s="246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248"/>
      <c r="AI200" s="248"/>
      <c r="AL200" s="248"/>
      <c r="AM200" s="248"/>
      <c r="AN200" s="248"/>
      <c r="AO200" s="248"/>
      <c r="AP200" s="43"/>
      <c r="AQ200" s="43"/>
      <c r="AR200" s="43"/>
      <c r="AS200" s="43"/>
    </row>
    <row r="201" spans="1:45" s="23" customFormat="1" ht="23.25" customHeight="1" x14ac:dyDescent="0.3">
      <c r="A201" s="245"/>
      <c r="B201" s="43"/>
      <c r="C201" s="43"/>
      <c r="D201" s="246"/>
      <c r="E201" s="43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248"/>
      <c r="AI201" s="248"/>
      <c r="AL201" s="248"/>
      <c r="AM201" s="248"/>
      <c r="AN201" s="248"/>
      <c r="AO201" s="248"/>
      <c r="AP201" s="43"/>
      <c r="AQ201" s="43"/>
      <c r="AR201" s="43"/>
      <c r="AS201" s="43"/>
    </row>
    <row r="202" spans="1:45" s="23" customFormat="1" ht="23.25" customHeight="1" x14ac:dyDescent="0.3">
      <c r="A202" s="245"/>
      <c r="B202" s="43"/>
      <c r="C202" s="43"/>
      <c r="D202" s="246"/>
      <c r="E202" s="43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248"/>
      <c r="AI202" s="248"/>
      <c r="AL202" s="248"/>
      <c r="AM202" s="248"/>
      <c r="AN202" s="248"/>
      <c r="AO202" s="248"/>
      <c r="AP202" s="43"/>
      <c r="AQ202" s="43"/>
      <c r="AR202" s="43"/>
      <c r="AS202" s="43"/>
    </row>
    <row r="203" spans="1:45" s="23" customFormat="1" ht="23.25" customHeight="1" x14ac:dyDescent="0.3">
      <c r="A203" s="245"/>
      <c r="B203" s="43"/>
      <c r="C203" s="43"/>
      <c r="D203" s="246"/>
      <c r="E203" s="43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248"/>
      <c r="AI203" s="248"/>
      <c r="AL203" s="248"/>
      <c r="AM203" s="248"/>
      <c r="AN203" s="248"/>
      <c r="AO203" s="248"/>
      <c r="AP203" s="43"/>
      <c r="AQ203" s="43"/>
      <c r="AR203" s="43"/>
      <c r="AS203" s="43"/>
    </row>
    <row r="204" spans="1:45" s="23" customFormat="1" ht="23.25" customHeight="1" x14ac:dyDescent="0.3">
      <c r="A204" s="245"/>
      <c r="B204" s="43"/>
      <c r="C204" s="43"/>
      <c r="D204" s="246"/>
      <c r="E204" s="43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248"/>
      <c r="AI204" s="248"/>
      <c r="AL204" s="248"/>
      <c r="AM204" s="248"/>
      <c r="AN204" s="248"/>
      <c r="AO204" s="248"/>
      <c r="AP204" s="43"/>
      <c r="AQ204" s="43"/>
      <c r="AR204" s="43"/>
      <c r="AS204" s="43"/>
    </row>
    <row r="205" spans="1:45" s="23" customFormat="1" ht="23.25" customHeight="1" x14ac:dyDescent="0.3">
      <c r="A205" s="245"/>
      <c r="B205" s="43"/>
      <c r="C205" s="43"/>
      <c r="D205" s="246"/>
      <c r="E205" s="43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248"/>
      <c r="AI205" s="248"/>
      <c r="AL205" s="248"/>
      <c r="AM205" s="248"/>
      <c r="AN205" s="248"/>
      <c r="AO205" s="248"/>
      <c r="AP205" s="43"/>
      <c r="AQ205" s="43"/>
      <c r="AR205" s="43"/>
      <c r="AS205" s="43"/>
    </row>
    <row r="206" spans="1:45" s="23" customFormat="1" ht="23.25" customHeight="1" x14ac:dyDescent="0.3">
      <c r="A206" s="245"/>
      <c r="B206" s="43"/>
      <c r="C206" s="43"/>
      <c r="D206" s="246"/>
      <c r="E206" s="43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248"/>
      <c r="AI206" s="248"/>
      <c r="AL206" s="248"/>
      <c r="AM206" s="248"/>
      <c r="AN206" s="248"/>
      <c r="AO206" s="248"/>
      <c r="AP206" s="43"/>
      <c r="AQ206" s="43"/>
      <c r="AR206" s="43"/>
      <c r="AS206" s="43"/>
    </row>
    <row r="207" spans="1:45" s="23" customFormat="1" ht="23.25" customHeight="1" x14ac:dyDescent="0.3">
      <c r="A207" s="245"/>
      <c r="B207" s="43"/>
      <c r="C207" s="43"/>
      <c r="D207" s="246"/>
      <c r="E207" s="43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248"/>
      <c r="AI207" s="248"/>
      <c r="AL207" s="248"/>
      <c r="AM207" s="248"/>
      <c r="AN207" s="248"/>
      <c r="AO207" s="248"/>
      <c r="AP207" s="43"/>
      <c r="AQ207" s="43"/>
      <c r="AR207" s="43"/>
      <c r="AS207" s="43"/>
    </row>
    <row r="208" spans="1:45" s="23" customFormat="1" ht="23.25" customHeight="1" x14ac:dyDescent="0.3">
      <c r="A208" s="245"/>
      <c r="B208" s="43"/>
      <c r="C208" s="43"/>
      <c r="D208" s="246"/>
      <c r="E208" s="43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248"/>
      <c r="AI208" s="248"/>
      <c r="AL208" s="248"/>
      <c r="AM208" s="248"/>
      <c r="AN208" s="248"/>
      <c r="AO208" s="248"/>
      <c r="AP208" s="43"/>
      <c r="AQ208" s="43"/>
      <c r="AR208" s="43"/>
      <c r="AS208" s="43"/>
    </row>
    <row r="209" spans="1:45" s="23" customFormat="1" ht="23.25" customHeight="1" x14ac:dyDescent="0.3">
      <c r="A209" s="245"/>
      <c r="B209" s="43"/>
      <c r="C209" s="43"/>
      <c r="D209" s="246"/>
      <c r="E209" s="43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248"/>
      <c r="AI209" s="248"/>
      <c r="AL209" s="248"/>
      <c r="AM209" s="248"/>
      <c r="AN209" s="248"/>
      <c r="AO209" s="248"/>
      <c r="AP209" s="43"/>
      <c r="AQ209" s="43"/>
      <c r="AR209" s="43"/>
      <c r="AS209" s="43"/>
    </row>
    <row r="210" spans="1:45" s="23" customFormat="1" ht="23.25" customHeight="1" x14ac:dyDescent="0.3">
      <c r="A210" s="245"/>
      <c r="B210" s="43"/>
      <c r="C210" s="43"/>
      <c r="D210" s="246"/>
      <c r="E210" s="43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248"/>
      <c r="AI210" s="248"/>
      <c r="AL210" s="248"/>
      <c r="AM210" s="248"/>
      <c r="AN210" s="248"/>
      <c r="AO210" s="248"/>
      <c r="AP210" s="43"/>
      <c r="AQ210" s="43"/>
      <c r="AR210" s="43"/>
      <c r="AS210" s="43"/>
    </row>
    <row r="211" spans="1:45" s="23" customFormat="1" ht="23.25" customHeight="1" x14ac:dyDescent="0.3">
      <c r="A211" s="245"/>
      <c r="B211" s="43"/>
      <c r="C211" s="43"/>
      <c r="D211" s="246"/>
      <c r="E211" s="43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248"/>
      <c r="AI211" s="248"/>
      <c r="AL211" s="248"/>
      <c r="AM211" s="248"/>
      <c r="AN211" s="248"/>
      <c r="AO211" s="248"/>
      <c r="AP211" s="43"/>
      <c r="AQ211" s="43"/>
      <c r="AR211" s="43"/>
      <c r="AS211" s="43"/>
    </row>
    <row r="212" spans="1:45" s="23" customFormat="1" ht="23.25" customHeight="1" x14ac:dyDescent="0.3">
      <c r="A212" s="245"/>
      <c r="B212" s="43"/>
      <c r="C212" s="43"/>
      <c r="D212" s="246"/>
      <c r="E212" s="43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248"/>
      <c r="AI212" s="248"/>
      <c r="AL212" s="248"/>
      <c r="AM212" s="248"/>
      <c r="AN212" s="248"/>
      <c r="AO212" s="248"/>
      <c r="AP212" s="43"/>
      <c r="AQ212" s="43"/>
      <c r="AR212" s="43"/>
      <c r="AS212" s="43"/>
    </row>
    <row r="213" spans="1:45" s="23" customFormat="1" ht="23.25" customHeight="1" x14ac:dyDescent="0.3">
      <c r="A213" s="245"/>
      <c r="B213" s="43"/>
      <c r="C213" s="43"/>
      <c r="D213" s="246"/>
      <c r="E213" s="43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248"/>
      <c r="AI213" s="248"/>
      <c r="AL213" s="248"/>
      <c r="AM213" s="248"/>
      <c r="AN213" s="248"/>
      <c r="AO213" s="248"/>
      <c r="AP213" s="43"/>
      <c r="AQ213" s="43"/>
      <c r="AR213" s="43"/>
      <c r="AS213" s="43"/>
    </row>
    <row r="214" spans="1:45" s="23" customFormat="1" ht="23.25" customHeight="1" x14ac:dyDescent="0.3">
      <c r="A214" s="245"/>
      <c r="B214" s="43"/>
      <c r="C214" s="43"/>
      <c r="D214" s="246"/>
      <c r="E214" s="43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248"/>
      <c r="AI214" s="248"/>
      <c r="AL214" s="248"/>
      <c r="AM214" s="248"/>
      <c r="AN214" s="248"/>
      <c r="AO214" s="248"/>
      <c r="AP214" s="43"/>
      <c r="AQ214" s="43"/>
      <c r="AR214" s="43"/>
      <c r="AS214" s="43"/>
    </row>
    <row r="215" spans="1:45" s="23" customFormat="1" ht="23.25" customHeight="1" x14ac:dyDescent="0.3">
      <c r="A215" s="245"/>
      <c r="B215" s="43"/>
      <c r="C215" s="43"/>
      <c r="D215" s="246"/>
      <c r="E215" s="43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248"/>
      <c r="AI215" s="248"/>
      <c r="AL215" s="248"/>
      <c r="AM215" s="248"/>
      <c r="AN215" s="248"/>
      <c r="AO215" s="248"/>
      <c r="AP215" s="43"/>
      <c r="AQ215" s="43"/>
      <c r="AR215" s="43"/>
      <c r="AS215" s="43"/>
    </row>
    <row r="216" spans="1:45" s="23" customFormat="1" ht="23.25" customHeight="1" x14ac:dyDescent="0.3">
      <c r="A216" s="245"/>
      <c r="B216" s="43"/>
      <c r="C216" s="43"/>
      <c r="D216" s="246"/>
      <c r="E216" s="43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248"/>
      <c r="AI216" s="248"/>
      <c r="AL216" s="248"/>
      <c r="AM216" s="248"/>
      <c r="AN216" s="248"/>
      <c r="AO216" s="248"/>
      <c r="AP216" s="43"/>
      <c r="AQ216" s="43"/>
      <c r="AR216" s="43"/>
      <c r="AS216" s="43"/>
    </row>
    <row r="217" spans="1:45" s="23" customFormat="1" ht="23.25" customHeight="1" x14ac:dyDescent="0.3">
      <c r="A217" s="245"/>
      <c r="B217" s="43"/>
      <c r="C217" s="43"/>
      <c r="D217" s="246"/>
      <c r="E217" s="43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248"/>
      <c r="AI217" s="248"/>
      <c r="AL217" s="248"/>
      <c r="AM217" s="248"/>
      <c r="AN217" s="248"/>
      <c r="AO217" s="248"/>
      <c r="AP217" s="43"/>
      <c r="AQ217" s="43"/>
      <c r="AR217" s="43"/>
      <c r="AS217" s="43"/>
    </row>
    <row r="218" spans="1:45" s="23" customFormat="1" ht="23.25" customHeight="1" x14ac:dyDescent="0.3">
      <c r="A218" s="245"/>
      <c r="B218" s="43"/>
      <c r="C218" s="43"/>
      <c r="D218" s="246"/>
      <c r="E218" s="43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248"/>
      <c r="AI218" s="248"/>
      <c r="AL218" s="248"/>
      <c r="AM218" s="248"/>
      <c r="AN218" s="248"/>
      <c r="AO218" s="248"/>
      <c r="AP218" s="43"/>
      <c r="AQ218" s="43"/>
      <c r="AR218" s="43"/>
      <c r="AS218" s="43"/>
    </row>
    <row r="219" spans="1:45" s="23" customFormat="1" ht="23.25" customHeight="1" x14ac:dyDescent="0.3">
      <c r="A219" s="245"/>
      <c r="B219" s="43"/>
      <c r="C219" s="43"/>
      <c r="D219" s="246"/>
      <c r="E219" s="43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248"/>
      <c r="AI219" s="248"/>
      <c r="AL219" s="248"/>
      <c r="AM219" s="248"/>
      <c r="AN219" s="248"/>
      <c r="AO219" s="248"/>
      <c r="AP219" s="43"/>
      <c r="AQ219" s="43"/>
      <c r="AR219" s="43"/>
      <c r="AS219" s="43"/>
    </row>
    <row r="220" spans="1:45" s="23" customFormat="1" ht="23.25" customHeight="1" x14ac:dyDescent="0.3">
      <c r="A220" s="245"/>
      <c r="B220" s="43"/>
      <c r="C220" s="43"/>
      <c r="D220" s="246"/>
      <c r="E220" s="43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248"/>
      <c r="AI220" s="248"/>
      <c r="AL220" s="248"/>
      <c r="AM220" s="248"/>
      <c r="AN220" s="248"/>
      <c r="AO220" s="248"/>
      <c r="AP220" s="43"/>
      <c r="AQ220" s="43"/>
      <c r="AR220" s="43"/>
      <c r="AS220" s="43"/>
    </row>
    <row r="221" spans="1:45" s="23" customFormat="1" ht="23.25" customHeight="1" x14ac:dyDescent="0.3">
      <c r="A221" s="245"/>
      <c r="B221" s="43"/>
      <c r="C221" s="43"/>
      <c r="D221" s="246"/>
      <c r="E221" s="43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248"/>
      <c r="AI221" s="248"/>
      <c r="AL221" s="248"/>
      <c r="AM221" s="248"/>
      <c r="AN221" s="248"/>
      <c r="AO221" s="248"/>
      <c r="AP221" s="43"/>
      <c r="AQ221" s="43"/>
      <c r="AR221" s="43"/>
      <c r="AS221" s="43"/>
    </row>
    <row r="222" spans="1:45" s="23" customFormat="1" ht="23.25" customHeight="1" x14ac:dyDescent="0.3">
      <c r="A222" s="245"/>
      <c r="B222" s="43"/>
      <c r="C222" s="43"/>
      <c r="D222" s="246"/>
      <c r="E222" s="43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248"/>
      <c r="AI222" s="248"/>
      <c r="AL222" s="248"/>
      <c r="AM222" s="248"/>
      <c r="AN222" s="248"/>
      <c r="AO222" s="248"/>
      <c r="AP222" s="43"/>
      <c r="AQ222" s="43"/>
      <c r="AR222" s="43"/>
      <c r="AS222" s="43"/>
    </row>
    <row r="223" spans="1:45" s="23" customFormat="1" ht="23.25" customHeight="1" x14ac:dyDescent="0.3">
      <c r="A223" s="245"/>
      <c r="B223" s="43"/>
      <c r="C223" s="43"/>
      <c r="D223" s="246"/>
      <c r="E223" s="43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248"/>
      <c r="AI223" s="248"/>
      <c r="AL223" s="248"/>
      <c r="AM223" s="248"/>
      <c r="AN223" s="248"/>
      <c r="AO223" s="248"/>
      <c r="AP223" s="43"/>
      <c r="AQ223" s="43"/>
      <c r="AR223" s="43"/>
      <c r="AS223" s="43"/>
    </row>
    <row r="224" spans="1:45" s="23" customFormat="1" ht="23.25" customHeight="1" x14ac:dyDescent="0.3">
      <c r="A224" s="245"/>
      <c r="B224" s="43"/>
      <c r="C224" s="43"/>
      <c r="D224" s="246"/>
      <c r="E224" s="43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248"/>
      <c r="AI224" s="248"/>
      <c r="AL224" s="248"/>
      <c r="AM224" s="248"/>
      <c r="AN224" s="248"/>
      <c r="AO224" s="248"/>
      <c r="AP224" s="43"/>
      <c r="AQ224" s="43"/>
      <c r="AR224" s="43"/>
      <c r="AS224" s="43"/>
    </row>
    <row r="225" spans="1:45" s="23" customFormat="1" ht="23.25" customHeight="1" x14ac:dyDescent="0.3">
      <c r="A225" s="245"/>
      <c r="B225" s="43"/>
      <c r="C225" s="43"/>
      <c r="D225" s="246"/>
      <c r="E225" s="43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248"/>
      <c r="AI225" s="248"/>
      <c r="AL225" s="248"/>
      <c r="AM225" s="248"/>
      <c r="AN225" s="248"/>
      <c r="AO225" s="248"/>
      <c r="AP225" s="43"/>
      <c r="AQ225" s="43"/>
      <c r="AR225" s="43"/>
      <c r="AS225" s="43"/>
    </row>
    <row r="226" spans="1:45" s="23" customFormat="1" ht="23.25" customHeight="1" x14ac:dyDescent="0.3">
      <c r="A226" s="245"/>
      <c r="B226" s="43"/>
      <c r="C226" s="43"/>
      <c r="D226" s="246"/>
      <c r="E226" s="43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248"/>
      <c r="AI226" s="248"/>
      <c r="AL226" s="248"/>
      <c r="AM226" s="248"/>
      <c r="AN226" s="248"/>
      <c r="AO226" s="248"/>
      <c r="AP226" s="43"/>
      <c r="AQ226" s="43"/>
      <c r="AR226" s="43"/>
      <c r="AS226" s="43"/>
    </row>
    <row r="227" spans="1:45" s="23" customFormat="1" ht="23.25" customHeight="1" x14ac:dyDescent="0.3">
      <c r="A227" s="245"/>
      <c r="B227" s="43"/>
      <c r="C227" s="43"/>
      <c r="D227" s="246"/>
      <c r="E227" s="43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248"/>
      <c r="AI227" s="248"/>
      <c r="AL227" s="248"/>
      <c r="AM227" s="248"/>
      <c r="AN227" s="248"/>
      <c r="AO227" s="248"/>
      <c r="AP227" s="43"/>
      <c r="AQ227" s="43"/>
      <c r="AR227" s="43"/>
      <c r="AS227" s="43"/>
    </row>
    <row r="228" spans="1:45" s="23" customFormat="1" ht="23.25" customHeight="1" x14ac:dyDescent="0.3">
      <c r="A228" s="245"/>
      <c r="B228" s="43"/>
      <c r="C228" s="43"/>
      <c r="D228" s="246"/>
      <c r="E228" s="43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248"/>
      <c r="AI228" s="248"/>
      <c r="AL228" s="248"/>
      <c r="AM228" s="248"/>
      <c r="AN228" s="248"/>
      <c r="AO228" s="248"/>
      <c r="AP228" s="43"/>
      <c r="AQ228" s="43"/>
      <c r="AR228" s="43"/>
      <c r="AS228" s="43"/>
    </row>
    <row r="229" spans="1:45" s="23" customFormat="1" ht="23.25" customHeight="1" x14ac:dyDescent="0.3">
      <c r="A229" s="245"/>
      <c r="B229" s="43"/>
      <c r="C229" s="43"/>
      <c r="D229" s="246"/>
      <c r="E229" s="43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248"/>
      <c r="AI229" s="248"/>
      <c r="AL229" s="248"/>
      <c r="AM229" s="248"/>
      <c r="AN229" s="248"/>
      <c r="AO229" s="248"/>
      <c r="AP229" s="43"/>
      <c r="AQ229" s="43"/>
      <c r="AR229" s="43"/>
      <c r="AS229" s="43"/>
    </row>
    <row r="230" spans="1:45" s="23" customFormat="1" ht="23.25" customHeight="1" x14ac:dyDescent="0.3">
      <c r="A230" s="245"/>
      <c r="B230" s="43"/>
      <c r="C230" s="43"/>
      <c r="D230" s="246"/>
      <c r="E230" s="43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248"/>
      <c r="AI230" s="248"/>
      <c r="AL230" s="248"/>
      <c r="AM230" s="248"/>
      <c r="AN230" s="248"/>
      <c r="AO230" s="248"/>
      <c r="AP230" s="43"/>
      <c r="AQ230" s="43"/>
      <c r="AR230" s="43"/>
      <c r="AS230" s="43"/>
    </row>
    <row r="231" spans="1:45" s="23" customFormat="1" ht="23.25" customHeight="1" x14ac:dyDescent="0.3">
      <c r="A231" s="245"/>
      <c r="B231" s="43"/>
      <c r="C231" s="43"/>
      <c r="D231" s="246"/>
      <c r="E231" s="43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248"/>
      <c r="AI231" s="248"/>
      <c r="AL231" s="248"/>
      <c r="AM231" s="248"/>
      <c r="AN231" s="248"/>
      <c r="AO231" s="248"/>
      <c r="AP231" s="43"/>
      <c r="AQ231" s="43"/>
      <c r="AR231" s="43"/>
      <c r="AS231" s="43"/>
    </row>
    <row r="232" spans="1:45" s="23" customFormat="1" ht="23.25" customHeight="1" x14ac:dyDescent="0.3">
      <c r="A232" s="245"/>
      <c r="B232" s="43"/>
      <c r="C232" s="43"/>
      <c r="D232" s="246"/>
      <c r="E232" s="43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248"/>
      <c r="AI232" s="248"/>
      <c r="AL232" s="248"/>
      <c r="AM232" s="248"/>
      <c r="AN232" s="248"/>
      <c r="AO232" s="248"/>
      <c r="AP232" s="43"/>
      <c r="AQ232" s="43"/>
      <c r="AR232" s="43"/>
      <c r="AS232" s="43"/>
    </row>
    <row r="233" spans="1:45" s="23" customFormat="1" ht="23.25" customHeight="1" x14ac:dyDescent="0.3">
      <c r="A233" s="245"/>
      <c r="B233" s="43"/>
      <c r="C233" s="43"/>
      <c r="D233" s="246"/>
      <c r="E233" s="43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248"/>
      <c r="AI233" s="248"/>
      <c r="AL233" s="248"/>
      <c r="AM233" s="248"/>
      <c r="AN233" s="248"/>
      <c r="AO233" s="248"/>
      <c r="AP233" s="43"/>
      <c r="AQ233" s="43"/>
      <c r="AR233" s="43"/>
      <c r="AS233" s="43"/>
    </row>
    <row r="234" spans="1:45" s="23" customFormat="1" ht="23.25" customHeight="1" x14ac:dyDescent="0.3">
      <c r="A234" s="245"/>
      <c r="B234" s="43"/>
      <c r="C234" s="43"/>
      <c r="D234" s="246"/>
      <c r="E234" s="43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248"/>
      <c r="AI234" s="248"/>
      <c r="AL234" s="248"/>
      <c r="AM234" s="248"/>
      <c r="AN234" s="248"/>
      <c r="AO234" s="248"/>
      <c r="AP234" s="43"/>
      <c r="AQ234" s="43"/>
      <c r="AR234" s="43"/>
      <c r="AS234" s="43"/>
    </row>
    <row r="235" spans="1:45" s="23" customFormat="1" ht="23.25" customHeight="1" x14ac:dyDescent="0.3">
      <c r="A235" s="245"/>
      <c r="B235" s="43"/>
      <c r="C235" s="43"/>
      <c r="D235" s="246"/>
      <c r="E235" s="43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248"/>
      <c r="AI235" s="248"/>
      <c r="AL235" s="248"/>
      <c r="AM235" s="248"/>
      <c r="AN235" s="248"/>
      <c r="AO235" s="248"/>
      <c r="AP235" s="43"/>
      <c r="AQ235" s="43"/>
      <c r="AR235" s="43"/>
      <c r="AS235" s="43"/>
    </row>
    <row r="236" spans="1:45" s="23" customFormat="1" ht="23.25" customHeight="1" x14ac:dyDescent="0.3">
      <c r="A236" s="245"/>
      <c r="B236" s="43"/>
      <c r="C236" s="43"/>
      <c r="D236" s="246"/>
      <c r="E236" s="43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248"/>
      <c r="AI236" s="248"/>
      <c r="AL236" s="248"/>
      <c r="AM236" s="248"/>
      <c r="AN236" s="248"/>
      <c r="AO236" s="248"/>
      <c r="AP236" s="43"/>
      <c r="AQ236" s="43"/>
      <c r="AR236" s="43"/>
      <c r="AS236" s="43"/>
    </row>
    <row r="237" spans="1:45" s="23" customFormat="1" ht="23.25" customHeight="1" x14ac:dyDescent="0.3">
      <c r="A237" s="245"/>
      <c r="B237" s="43"/>
      <c r="C237" s="43"/>
      <c r="D237" s="246"/>
      <c r="E237" s="43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248"/>
      <c r="AI237" s="248"/>
      <c r="AL237" s="248"/>
      <c r="AM237" s="248"/>
      <c r="AN237" s="248"/>
      <c r="AO237" s="248"/>
      <c r="AP237" s="43"/>
      <c r="AQ237" s="43"/>
      <c r="AR237" s="43"/>
      <c r="AS237" s="43"/>
    </row>
    <row r="238" spans="1:45" s="23" customFormat="1" ht="23.25" customHeight="1" x14ac:dyDescent="0.3">
      <c r="A238" s="245"/>
      <c r="B238" s="43"/>
      <c r="C238" s="43"/>
      <c r="D238" s="246"/>
      <c r="E238" s="43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248"/>
      <c r="AI238" s="248"/>
      <c r="AL238" s="248"/>
      <c r="AM238" s="248"/>
      <c r="AN238" s="248"/>
      <c r="AO238" s="248"/>
      <c r="AP238" s="43"/>
      <c r="AQ238" s="43"/>
      <c r="AR238" s="43"/>
      <c r="AS238" s="43"/>
    </row>
    <row r="239" spans="1:45" s="23" customFormat="1" ht="23.25" customHeight="1" x14ac:dyDescent="0.3">
      <c r="A239" s="245"/>
      <c r="B239" s="43"/>
      <c r="C239" s="43"/>
      <c r="D239" s="246"/>
      <c r="E239" s="43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248"/>
      <c r="AI239" s="248"/>
      <c r="AL239" s="248"/>
      <c r="AM239" s="248"/>
      <c r="AN239" s="248"/>
      <c r="AO239" s="248"/>
      <c r="AP239" s="43"/>
      <c r="AQ239" s="43"/>
      <c r="AR239" s="43"/>
      <c r="AS239" s="43"/>
    </row>
    <row r="240" spans="1:45" s="23" customFormat="1" ht="23.25" customHeight="1" x14ac:dyDescent="0.3">
      <c r="A240" s="245"/>
      <c r="B240" s="43"/>
      <c r="C240" s="43"/>
      <c r="D240" s="246"/>
      <c r="E240" s="43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248"/>
      <c r="AI240" s="248"/>
      <c r="AL240" s="248"/>
      <c r="AM240" s="248"/>
      <c r="AN240" s="248"/>
      <c r="AO240" s="248"/>
      <c r="AP240" s="43"/>
      <c r="AQ240" s="43"/>
      <c r="AR240" s="43"/>
      <c r="AS240" s="43"/>
    </row>
    <row r="241" spans="1:45" s="23" customFormat="1" ht="23.25" customHeight="1" x14ac:dyDescent="0.3">
      <c r="A241" s="245"/>
      <c r="B241" s="43"/>
      <c r="C241" s="43"/>
      <c r="D241" s="246"/>
      <c r="E241" s="43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248"/>
      <c r="AI241" s="248"/>
      <c r="AL241" s="248"/>
      <c r="AM241" s="248"/>
      <c r="AN241" s="248"/>
      <c r="AO241" s="248"/>
      <c r="AP241" s="43"/>
      <c r="AQ241" s="43"/>
      <c r="AR241" s="43"/>
      <c r="AS241" s="43"/>
    </row>
    <row r="242" spans="1:45" s="23" customFormat="1" ht="23.25" customHeight="1" x14ac:dyDescent="0.3">
      <c r="A242" s="245"/>
      <c r="B242" s="43"/>
      <c r="C242" s="43"/>
      <c r="D242" s="246"/>
      <c r="E242" s="43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248"/>
      <c r="AI242" s="248"/>
      <c r="AL242" s="248"/>
      <c r="AM242" s="248"/>
      <c r="AN242" s="248"/>
      <c r="AO242" s="248"/>
      <c r="AP242" s="43"/>
      <c r="AQ242" s="43"/>
      <c r="AR242" s="43"/>
      <c r="AS242" s="43"/>
    </row>
    <row r="243" spans="1:45" s="23" customFormat="1" ht="23.25" customHeight="1" x14ac:dyDescent="0.3">
      <c r="A243" s="245"/>
      <c r="B243" s="43"/>
      <c r="C243" s="43"/>
      <c r="D243" s="246"/>
      <c r="E243" s="43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248"/>
      <c r="AI243" s="248"/>
      <c r="AL243" s="248"/>
      <c r="AM243" s="248"/>
      <c r="AN243" s="248"/>
      <c r="AO243" s="248"/>
      <c r="AP243" s="43"/>
      <c r="AQ243" s="43"/>
      <c r="AR243" s="43"/>
      <c r="AS243" s="43"/>
    </row>
    <row r="244" spans="1:45" s="23" customFormat="1" ht="23.25" customHeight="1" x14ac:dyDescent="0.3">
      <c r="A244" s="245"/>
      <c r="B244" s="43"/>
      <c r="C244" s="43"/>
      <c r="D244" s="246"/>
      <c r="E244" s="43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248"/>
      <c r="AI244" s="248"/>
      <c r="AL244" s="248"/>
      <c r="AM244" s="248"/>
      <c r="AN244" s="248"/>
      <c r="AO244" s="248"/>
      <c r="AP244" s="43"/>
      <c r="AQ244" s="43"/>
      <c r="AR244" s="43"/>
      <c r="AS244" s="43"/>
    </row>
    <row r="245" spans="1:45" s="23" customFormat="1" ht="23.25" customHeight="1" x14ac:dyDescent="0.3">
      <c r="A245" s="245"/>
      <c r="B245" s="43"/>
      <c r="C245" s="43"/>
      <c r="D245" s="246"/>
      <c r="E245" s="43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248"/>
      <c r="AI245" s="248"/>
      <c r="AL245" s="248"/>
      <c r="AM245" s="248"/>
      <c r="AN245" s="248"/>
      <c r="AO245" s="248"/>
      <c r="AP245" s="43"/>
      <c r="AQ245" s="43"/>
      <c r="AR245" s="43"/>
      <c r="AS245" s="43"/>
    </row>
    <row r="246" spans="1:45" s="23" customFormat="1" ht="23.25" customHeight="1" x14ac:dyDescent="0.3">
      <c r="A246" s="245"/>
      <c r="B246" s="43"/>
      <c r="C246" s="43"/>
      <c r="D246" s="246"/>
      <c r="E246" s="43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248"/>
      <c r="AI246" s="248"/>
      <c r="AL246" s="248"/>
      <c r="AM246" s="248"/>
      <c r="AN246" s="248"/>
      <c r="AO246" s="248"/>
      <c r="AP246" s="43"/>
      <c r="AQ246" s="43"/>
      <c r="AR246" s="43"/>
      <c r="AS246" s="43"/>
    </row>
    <row r="247" spans="1:45" s="23" customFormat="1" ht="23.25" customHeight="1" x14ac:dyDescent="0.3">
      <c r="A247" s="245"/>
      <c r="B247" s="43"/>
      <c r="C247" s="43"/>
      <c r="D247" s="246"/>
      <c r="E247" s="43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248"/>
      <c r="AI247" s="248"/>
      <c r="AL247" s="248"/>
      <c r="AM247" s="248"/>
      <c r="AN247" s="248"/>
      <c r="AO247" s="248"/>
      <c r="AP247" s="43"/>
      <c r="AQ247" s="43"/>
      <c r="AR247" s="43"/>
      <c r="AS247" s="43"/>
    </row>
    <row r="248" spans="1:45" s="23" customFormat="1" ht="23.25" customHeight="1" x14ac:dyDescent="0.3">
      <c r="A248" s="245"/>
      <c r="B248" s="43"/>
      <c r="C248" s="43"/>
      <c r="D248" s="246"/>
      <c r="E248" s="43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248"/>
      <c r="AI248" s="248"/>
      <c r="AL248" s="248"/>
      <c r="AM248" s="248"/>
      <c r="AN248" s="248"/>
      <c r="AO248" s="248"/>
      <c r="AP248" s="43"/>
      <c r="AQ248" s="43"/>
      <c r="AR248" s="43"/>
      <c r="AS248" s="43"/>
    </row>
    <row r="249" spans="1:45" s="23" customFormat="1" ht="23.25" customHeight="1" x14ac:dyDescent="0.3">
      <c r="A249" s="245"/>
      <c r="B249" s="43"/>
      <c r="C249" s="43"/>
      <c r="D249" s="246"/>
      <c r="E249" s="43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248"/>
      <c r="AI249" s="248"/>
      <c r="AL249" s="248"/>
      <c r="AM249" s="248"/>
      <c r="AN249" s="248"/>
      <c r="AO249" s="248"/>
      <c r="AP249" s="43"/>
      <c r="AQ249" s="43"/>
      <c r="AR249" s="43"/>
      <c r="AS249" s="43"/>
    </row>
    <row r="250" spans="1:45" s="23" customFormat="1" ht="23.25" customHeight="1" x14ac:dyDescent="0.3">
      <c r="A250" s="245"/>
      <c r="B250" s="43"/>
      <c r="C250" s="43"/>
      <c r="D250" s="246"/>
      <c r="E250" s="43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248"/>
      <c r="AI250" s="248"/>
      <c r="AL250" s="248"/>
      <c r="AM250" s="248"/>
      <c r="AN250" s="248"/>
      <c r="AO250" s="248"/>
      <c r="AP250" s="43"/>
      <c r="AQ250" s="43"/>
      <c r="AR250" s="43"/>
      <c r="AS250" s="43"/>
    </row>
    <row r="251" spans="1:45" s="23" customFormat="1" ht="23.25" customHeight="1" x14ac:dyDescent="0.3">
      <c r="A251" s="245"/>
      <c r="B251" s="43"/>
      <c r="C251" s="43"/>
      <c r="D251" s="246"/>
      <c r="E251" s="43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248"/>
      <c r="AI251" s="248"/>
      <c r="AL251" s="248"/>
      <c r="AM251" s="248"/>
      <c r="AN251" s="248"/>
      <c r="AO251" s="248"/>
      <c r="AP251" s="43"/>
      <c r="AQ251" s="43"/>
      <c r="AR251" s="43"/>
      <c r="AS251" s="43"/>
    </row>
    <row r="252" spans="1:45" s="23" customFormat="1" ht="23.25" customHeight="1" x14ac:dyDescent="0.3">
      <c r="A252" s="245"/>
      <c r="B252" s="43"/>
      <c r="C252" s="43"/>
      <c r="D252" s="246"/>
      <c r="E252" s="43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248"/>
      <c r="AI252" s="248"/>
      <c r="AL252" s="248"/>
      <c r="AM252" s="248"/>
      <c r="AN252" s="248"/>
      <c r="AO252" s="248"/>
      <c r="AP252" s="43"/>
      <c r="AQ252" s="43"/>
      <c r="AR252" s="43"/>
      <c r="AS252" s="43"/>
    </row>
    <row r="253" spans="1:45" s="23" customFormat="1" ht="23.25" customHeight="1" x14ac:dyDescent="0.3">
      <c r="A253" s="245"/>
      <c r="B253" s="43"/>
      <c r="C253" s="43"/>
      <c r="D253" s="246"/>
      <c r="E253" s="43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248"/>
      <c r="AI253" s="248"/>
      <c r="AL253" s="248"/>
      <c r="AM253" s="248"/>
      <c r="AN253" s="248"/>
      <c r="AO253" s="248"/>
      <c r="AP253" s="43"/>
      <c r="AQ253" s="43"/>
      <c r="AR253" s="43"/>
      <c r="AS253" s="43"/>
    </row>
    <row r="254" spans="1:45" s="23" customFormat="1" ht="23.25" customHeight="1" x14ac:dyDescent="0.3">
      <c r="A254" s="245"/>
      <c r="B254" s="43"/>
      <c r="C254" s="43"/>
      <c r="D254" s="246"/>
      <c r="E254" s="43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248"/>
      <c r="AI254" s="248"/>
      <c r="AL254" s="248"/>
      <c r="AM254" s="248"/>
      <c r="AN254" s="248"/>
      <c r="AO254" s="248"/>
      <c r="AP254" s="43"/>
      <c r="AQ254" s="43"/>
      <c r="AR254" s="43"/>
      <c r="AS254" s="43"/>
    </row>
    <row r="255" spans="1:45" s="23" customFormat="1" ht="23.25" customHeight="1" x14ac:dyDescent="0.3">
      <c r="A255" s="245"/>
      <c r="B255" s="43"/>
      <c r="C255" s="43"/>
      <c r="D255" s="246"/>
      <c r="E255" s="43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248"/>
      <c r="AI255" s="248"/>
      <c r="AL255" s="248"/>
      <c r="AM255" s="248"/>
      <c r="AN255" s="248"/>
      <c r="AO255" s="248"/>
      <c r="AP255" s="43"/>
      <c r="AQ255" s="43"/>
      <c r="AR255" s="43"/>
      <c r="AS255" s="43"/>
    </row>
    <row r="256" spans="1:45" s="23" customFormat="1" ht="23.25" customHeight="1" x14ac:dyDescent="0.3">
      <c r="A256" s="245"/>
      <c r="B256" s="43"/>
      <c r="C256" s="43"/>
      <c r="D256" s="246"/>
      <c r="E256" s="43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248"/>
      <c r="AI256" s="248"/>
      <c r="AL256" s="248"/>
      <c r="AM256" s="248"/>
      <c r="AN256" s="248"/>
      <c r="AO256" s="248"/>
      <c r="AP256" s="43"/>
      <c r="AQ256" s="43"/>
      <c r="AR256" s="43"/>
      <c r="AS256" s="43"/>
    </row>
    <row r="257" spans="1:45" s="23" customFormat="1" ht="23.25" customHeight="1" x14ac:dyDescent="0.3">
      <c r="A257" s="245"/>
      <c r="B257" s="43"/>
      <c r="C257" s="43"/>
      <c r="D257" s="246"/>
      <c r="E257" s="43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248"/>
      <c r="AI257" s="248"/>
      <c r="AL257" s="248"/>
      <c r="AM257" s="248"/>
      <c r="AN257" s="248"/>
      <c r="AO257" s="248"/>
      <c r="AP257" s="43"/>
      <c r="AQ257" s="43"/>
      <c r="AR257" s="43"/>
      <c r="AS257" s="43"/>
    </row>
    <row r="258" spans="1:45" s="23" customFormat="1" ht="23.25" customHeight="1" x14ac:dyDescent="0.3">
      <c r="A258" s="245"/>
      <c r="B258" s="43"/>
      <c r="C258" s="43"/>
      <c r="D258" s="246"/>
      <c r="E258" s="43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248"/>
      <c r="AI258" s="248"/>
      <c r="AL258" s="248"/>
      <c r="AM258" s="248"/>
      <c r="AN258" s="248"/>
      <c r="AO258" s="248"/>
      <c r="AP258" s="43"/>
      <c r="AQ258" s="43"/>
      <c r="AR258" s="43"/>
      <c r="AS258" s="43"/>
    </row>
    <row r="259" spans="1:45" s="23" customFormat="1" ht="23.25" customHeight="1" x14ac:dyDescent="0.3">
      <c r="A259" s="245"/>
      <c r="B259" s="43"/>
      <c r="C259" s="43"/>
      <c r="D259" s="246"/>
      <c r="E259" s="43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248"/>
      <c r="AI259" s="248"/>
      <c r="AL259" s="248"/>
      <c r="AM259" s="248"/>
      <c r="AN259" s="248"/>
      <c r="AO259" s="248"/>
      <c r="AP259" s="43"/>
      <c r="AQ259" s="43"/>
      <c r="AR259" s="43"/>
      <c r="AS259" s="43"/>
    </row>
    <row r="260" spans="1:45" s="23" customFormat="1" ht="23.25" customHeight="1" x14ac:dyDescent="0.3">
      <c r="A260" s="245"/>
      <c r="B260" s="43"/>
      <c r="C260" s="43"/>
      <c r="D260" s="246"/>
      <c r="E260" s="43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248"/>
      <c r="AI260" s="248"/>
      <c r="AL260" s="248"/>
      <c r="AM260" s="248"/>
      <c r="AN260" s="248"/>
      <c r="AO260" s="248"/>
      <c r="AP260" s="43"/>
      <c r="AQ260" s="43"/>
      <c r="AR260" s="43"/>
      <c r="AS260" s="43"/>
    </row>
    <row r="261" spans="1:45" s="23" customFormat="1" ht="23.25" customHeight="1" x14ac:dyDescent="0.3">
      <c r="A261" s="245"/>
      <c r="B261" s="43"/>
      <c r="C261" s="43"/>
      <c r="D261" s="246"/>
      <c r="E261" s="43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248"/>
      <c r="AI261" s="248"/>
      <c r="AL261" s="248"/>
      <c r="AM261" s="248"/>
      <c r="AN261" s="248"/>
      <c r="AO261" s="248"/>
      <c r="AP261" s="43"/>
      <c r="AQ261" s="43"/>
      <c r="AR261" s="43"/>
      <c r="AS261" s="43"/>
    </row>
    <row r="262" spans="1:45" s="23" customFormat="1" ht="23.25" customHeight="1" x14ac:dyDescent="0.3">
      <c r="A262" s="245"/>
      <c r="B262" s="43"/>
      <c r="C262" s="43"/>
      <c r="D262" s="246"/>
      <c r="E262" s="43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248"/>
      <c r="AI262" s="248"/>
      <c r="AL262" s="248"/>
      <c r="AM262" s="248"/>
      <c r="AN262" s="248"/>
      <c r="AO262" s="248"/>
      <c r="AP262" s="43"/>
      <c r="AQ262" s="43"/>
      <c r="AR262" s="43"/>
      <c r="AS262" s="43"/>
    </row>
    <row r="263" spans="1:45" s="23" customFormat="1" ht="23.25" customHeight="1" x14ac:dyDescent="0.3">
      <c r="A263" s="245"/>
      <c r="B263" s="43"/>
      <c r="C263" s="43"/>
      <c r="D263" s="246"/>
      <c r="E263" s="43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248"/>
      <c r="AI263" s="248"/>
      <c r="AL263" s="248"/>
      <c r="AM263" s="248"/>
      <c r="AN263" s="248"/>
      <c r="AO263" s="248"/>
      <c r="AP263" s="43"/>
      <c r="AQ263" s="43"/>
      <c r="AR263" s="43"/>
      <c r="AS263" s="43"/>
    </row>
    <row r="264" spans="1:45" s="23" customFormat="1" ht="23.25" customHeight="1" x14ac:dyDescent="0.3">
      <c r="A264" s="245"/>
      <c r="B264" s="43"/>
      <c r="C264" s="43"/>
      <c r="D264" s="246"/>
      <c r="E264" s="43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248"/>
      <c r="AI264" s="248"/>
      <c r="AL264" s="248"/>
      <c r="AM264" s="248"/>
      <c r="AN264" s="248"/>
      <c r="AO264" s="248"/>
      <c r="AP264" s="43"/>
      <c r="AQ264" s="43"/>
      <c r="AR264" s="43"/>
      <c r="AS264" s="43"/>
    </row>
    <row r="265" spans="1:45" s="23" customFormat="1" ht="23.25" customHeight="1" x14ac:dyDescent="0.3">
      <c r="A265" s="245"/>
      <c r="B265" s="43"/>
      <c r="C265" s="43"/>
      <c r="D265" s="246"/>
      <c r="E265" s="43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248"/>
      <c r="AI265" s="248"/>
      <c r="AL265" s="248"/>
      <c r="AM265" s="248"/>
      <c r="AN265" s="248"/>
      <c r="AO265" s="248"/>
      <c r="AP265" s="43"/>
      <c r="AQ265" s="43"/>
      <c r="AR265" s="43"/>
      <c r="AS265" s="43"/>
    </row>
    <row r="266" spans="1:45" s="23" customFormat="1" ht="23.25" customHeight="1" x14ac:dyDescent="0.3">
      <c r="A266" s="245"/>
      <c r="B266" s="43"/>
      <c r="C266" s="43"/>
      <c r="D266" s="246"/>
      <c r="E266" s="43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248"/>
      <c r="AI266" s="248"/>
      <c r="AL266" s="248"/>
      <c r="AM266" s="248"/>
      <c r="AN266" s="248"/>
      <c r="AO266" s="248"/>
      <c r="AP266" s="43"/>
      <c r="AQ266" s="43"/>
      <c r="AR266" s="43"/>
      <c r="AS266" s="43"/>
    </row>
    <row r="267" spans="1:45" s="23" customFormat="1" ht="23.25" customHeight="1" x14ac:dyDescent="0.3">
      <c r="A267" s="245"/>
      <c r="B267" s="43"/>
      <c r="C267" s="43"/>
      <c r="D267" s="246"/>
      <c r="E267" s="43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248"/>
      <c r="AI267" s="248"/>
      <c r="AL267" s="248"/>
      <c r="AM267" s="248"/>
      <c r="AN267" s="248"/>
      <c r="AO267" s="248"/>
      <c r="AP267" s="43"/>
      <c r="AQ267" s="43"/>
      <c r="AR267" s="43"/>
      <c r="AS267" s="43"/>
    </row>
    <row r="268" spans="1:45" s="23" customFormat="1" ht="23.25" customHeight="1" x14ac:dyDescent="0.3">
      <c r="A268" s="245"/>
      <c r="B268" s="43"/>
      <c r="C268" s="43"/>
      <c r="D268" s="246"/>
      <c r="E268" s="43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248"/>
      <c r="AI268" s="248"/>
      <c r="AL268" s="248"/>
      <c r="AM268" s="248"/>
      <c r="AN268" s="248"/>
      <c r="AO268" s="248"/>
      <c r="AP268" s="43"/>
      <c r="AQ268" s="43"/>
      <c r="AR268" s="43"/>
      <c r="AS268" s="43"/>
    </row>
    <row r="269" spans="1:45" s="23" customFormat="1" ht="23.25" customHeight="1" x14ac:dyDescent="0.3">
      <c r="A269" s="245"/>
      <c r="B269" s="43"/>
      <c r="C269" s="43"/>
      <c r="D269" s="246"/>
      <c r="E269" s="43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248"/>
      <c r="AI269" s="248"/>
      <c r="AL269" s="248"/>
      <c r="AM269" s="248"/>
      <c r="AN269" s="248"/>
      <c r="AO269" s="248"/>
      <c r="AP269" s="43"/>
      <c r="AQ269" s="43"/>
      <c r="AR269" s="43"/>
      <c r="AS269" s="43"/>
    </row>
    <row r="270" spans="1:45" s="23" customFormat="1" ht="23.25" customHeight="1" x14ac:dyDescent="0.3">
      <c r="A270" s="245"/>
      <c r="B270" s="43"/>
      <c r="C270" s="43"/>
      <c r="D270" s="246"/>
      <c r="E270" s="43"/>
      <c r="F270" s="246"/>
      <c r="G270" s="246"/>
      <c r="H270" s="246"/>
      <c r="I270" s="246"/>
      <c r="J270" s="246"/>
      <c r="K270" s="246"/>
      <c r="L270" s="246"/>
      <c r="M270" s="246"/>
      <c r="N270" s="246"/>
      <c r="O270" s="246"/>
      <c r="P270" s="246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248"/>
      <c r="AI270" s="248"/>
      <c r="AL270" s="248"/>
      <c r="AM270" s="248"/>
      <c r="AN270" s="248"/>
      <c r="AO270" s="248"/>
      <c r="AP270" s="43"/>
      <c r="AQ270" s="43"/>
      <c r="AR270" s="43"/>
      <c r="AS270" s="43"/>
    </row>
    <row r="271" spans="1:45" s="23" customFormat="1" ht="23.25" customHeight="1" x14ac:dyDescent="0.3">
      <c r="A271" s="245"/>
      <c r="B271" s="43"/>
      <c r="C271" s="43"/>
      <c r="D271" s="246"/>
      <c r="E271" s="43"/>
      <c r="F271" s="246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248"/>
      <c r="AI271" s="248"/>
      <c r="AL271" s="248"/>
      <c r="AM271" s="248"/>
      <c r="AN271" s="248"/>
      <c r="AO271" s="248"/>
      <c r="AP271" s="43"/>
      <c r="AQ271" s="43"/>
      <c r="AR271" s="43"/>
      <c r="AS271" s="43"/>
    </row>
    <row r="272" spans="1:45" s="23" customFormat="1" ht="23.25" customHeight="1" x14ac:dyDescent="0.3">
      <c r="A272" s="245"/>
      <c r="B272" s="43"/>
      <c r="C272" s="43"/>
      <c r="D272" s="246"/>
      <c r="E272" s="43"/>
      <c r="F272" s="246"/>
      <c r="G272" s="246"/>
      <c r="H272" s="246"/>
      <c r="I272" s="246"/>
      <c r="J272" s="246"/>
      <c r="K272" s="246"/>
      <c r="L272" s="246"/>
      <c r="M272" s="246"/>
      <c r="N272" s="246"/>
      <c r="O272" s="246"/>
      <c r="P272" s="246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248"/>
      <c r="AI272" s="248"/>
      <c r="AL272" s="248"/>
      <c r="AM272" s="248"/>
      <c r="AN272" s="248"/>
      <c r="AO272" s="248"/>
      <c r="AP272" s="43"/>
      <c r="AQ272" s="43"/>
      <c r="AR272" s="43"/>
      <c r="AS272" s="43"/>
    </row>
    <row r="273" spans="1:45" s="23" customFormat="1" ht="23.25" customHeight="1" x14ac:dyDescent="0.3">
      <c r="A273" s="245"/>
      <c r="B273" s="43"/>
      <c r="C273" s="43"/>
      <c r="D273" s="246"/>
      <c r="E273" s="43"/>
      <c r="F273" s="246"/>
      <c r="G273" s="246"/>
      <c r="H273" s="246"/>
      <c r="I273" s="246"/>
      <c r="J273" s="246"/>
      <c r="K273" s="246"/>
      <c r="L273" s="246"/>
      <c r="M273" s="246"/>
      <c r="N273" s="246"/>
      <c r="O273" s="246"/>
      <c r="P273" s="246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248"/>
      <c r="AI273" s="248"/>
      <c r="AL273" s="248"/>
      <c r="AM273" s="248"/>
      <c r="AN273" s="248"/>
      <c r="AO273" s="248"/>
      <c r="AP273" s="43"/>
      <c r="AQ273" s="43"/>
      <c r="AR273" s="43"/>
      <c r="AS273" s="43"/>
    </row>
    <row r="274" spans="1:45" s="23" customFormat="1" ht="23.25" customHeight="1" x14ac:dyDescent="0.3">
      <c r="A274" s="245"/>
      <c r="B274" s="43"/>
      <c r="C274" s="43"/>
      <c r="D274" s="246"/>
      <c r="E274" s="43"/>
      <c r="F274" s="246"/>
      <c r="G274" s="246"/>
      <c r="H274" s="246"/>
      <c r="I274" s="246"/>
      <c r="J274" s="246"/>
      <c r="K274" s="246"/>
      <c r="L274" s="246"/>
      <c r="M274" s="246"/>
      <c r="N274" s="246"/>
      <c r="O274" s="246"/>
      <c r="P274" s="246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248"/>
      <c r="AI274" s="248"/>
      <c r="AL274" s="248"/>
      <c r="AM274" s="248"/>
      <c r="AN274" s="248"/>
      <c r="AO274" s="248"/>
      <c r="AP274" s="43"/>
      <c r="AQ274" s="43"/>
      <c r="AR274" s="43"/>
      <c r="AS274" s="43"/>
    </row>
    <row r="275" spans="1:45" s="23" customFormat="1" ht="23.25" customHeight="1" x14ac:dyDescent="0.3">
      <c r="A275" s="245"/>
      <c r="B275" s="43"/>
      <c r="C275" s="43"/>
      <c r="D275" s="246"/>
      <c r="E275" s="43"/>
      <c r="F275" s="246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248"/>
      <c r="AI275" s="248"/>
      <c r="AL275" s="248"/>
      <c r="AM275" s="248"/>
      <c r="AN275" s="248"/>
      <c r="AO275" s="248"/>
      <c r="AP275" s="43"/>
      <c r="AQ275" s="43"/>
      <c r="AR275" s="43"/>
      <c r="AS275" s="43"/>
    </row>
    <row r="276" spans="1:45" s="23" customFormat="1" ht="23.25" customHeight="1" x14ac:dyDescent="0.3">
      <c r="A276" s="245"/>
      <c r="B276" s="43"/>
      <c r="C276" s="43"/>
      <c r="D276" s="246"/>
      <c r="E276" s="43"/>
      <c r="F276" s="246"/>
      <c r="G276" s="246"/>
      <c r="H276" s="246"/>
      <c r="I276" s="246"/>
      <c r="J276" s="246"/>
      <c r="K276" s="246"/>
      <c r="L276" s="246"/>
      <c r="M276" s="246"/>
      <c r="N276" s="246"/>
      <c r="O276" s="246"/>
      <c r="P276" s="246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248"/>
      <c r="AI276" s="248"/>
      <c r="AL276" s="248"/>
      <c r="AM276" s="248"/>
      <c r="AN276" s="248"/>
      <c r="AO276" s="248"/>
      <c r="AP276" s="43"/>
      <c r="AQ276" s="43"/>
      <c r="AR276" s="43"/>
      <c r="AS276" s="43"/>
    </row>
    <row r="277" spans="1:45" s="23" customFormat="1" ht="23.25" customHeight="1" x14ac:dyDescent="0.3">
      <c r="A277" s="245"/>
      <c r="B277" s="43"/>
      <c r="C277" s="43"/>
      <c r="D277" s="246"/>
      <c r="E277" s="43"/>
      <c r="F277" s="246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248"/>
      <c r="AI277" s="248"/>
      <c r="AL277" s="248"/>
      <c r="AM277" s="248"/>
      <c r="AN277" s="248"/>
      <c r="AO277" s="248"/>
      <c r="AP277" s="43"/>
      <c r="AQ277" s="43"/>
      <c r="AR277" s="43"/>
      <c r="AS277" s="43"/>
    </row>
    <row r="278" spans="1:45" s="23" customFormat="1" ht="23.25" customHeight="1" x14ac:dyDescent="0.3">
      <c r="A278" s="245"/>
      <c r="B278" s="43"/>
      <c r="C278" s="43"/>
      <c r="D278" s="246"/>
      <c r="E278" s="43"/>
      <c r="F278" s="246"/>
      <c r="G278" s="246"/>
      <c r="H278" s="246"/>
      <c r="I278" s="246"/>
      <c r="J278" s="246"/>
      <c r="K278" s="246"/>
      <c r="L278" s="246"/>
      <c r="M278" s="246"/>
      <c r="N278" s="246"/>
      <c r="O278" s="246"/>
      <c r="P278" s="246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248"/>
      <c r="AI278" s="248"/>
      <c r="AL278" s="248"/>
      <c r="AM278" s="248"/>
      <c r="AN278" s="248"/>
      <c r="AO278" s="248"/>
      <c r="AP278" s="43"/>
      <c r="AQ278" s="43"/>
      <c r="AR278" s="43"/>
      <c r="AS278" s="43"/>
    </row>
    <row r="279" spans="1:45" s="23" customFormat="1" ht="23.25" customHeight="1" x14ac:dyDescent="0.3">
      <c r="A279" s="245"/>
      <c r="B279" s="43"/>
      <c r="C279" s="43"/>
      <c r="D279" s="246"/>
      <c r="E279" s="43"/>
      <c r="F279" s="246"/>
      <c r="G279" s="246"/>
      <c r="H279" s="246"/>
      <c r="I279" s="246"/>
      <c r="J279" s="246"/>
      <c r="K279" s="246"/>
      <c r="L279" s="246"/>
      <c r="M279" s="246"/>
      <c r="N279" s="246"/>
      <c r="O279" s="246"/>
      <c r="P279" s="246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248"/>
      <c r="AI279" s="248"/>
      <c r="AL279" s="248"/>
      <c r="AM279" s="248"/>
      <c r="AN279" s="248"/>
      <c r="AO279" s="248"/>
      <c r="AP279" s="43"/>
      <c r="AQ279" s="43"/>
      <c r="AR279" s="43"/>
      <c r="AS279" s="43"/>
    </row>
    <row r="280" spans="1:45" s="23" customFormat="1" ht="23.25" customHeight="1" x14ac:dyDescent="0.3">
      <c r="A280" s="245"/>
      <c r="B280" s="43"/>
      <c r="C280" s="43"/>
      <c r="D280" s="246"/>
      <c r="E280" s="43"/>
      <c r="F280" s="246"/>
      <c r="G280" s="246"/>
      <c r="H280" s="246"/>
      <c r="I280" s="246"/>
      <c r="J280" s="246"/>
      <c r="K280" s="246"/>
      <c r="L280" s="246"/>
      <c r="M280" s="246"/>
      <c r="N280" s="246"/>
      <c r="O280" s="246"/>
      <c r="P280" s="246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248"/>
      <c r="AI280" s="248"/>
      <c r="AL280" s="248"/>
      <c r="AM280" s="248"/>
      <c r="AN280" s="248"/>
      <c r="AO280" s="248"/>
      <c r="AP280" s="43"/>
      <c r="AQ280" s="43"/>
      <c r="AR280" s="43"/>
      <c r="AS280" s="43"/>
    </row>
    <row r="281" spans="1:45" s="23" customFormat="1" ht="23.25" customHeight="1" x14ac:dyDescent="0.3">
      <c r="A281" s="245"/>
      <c r="B281" s="43"/>
      <c r="C281" s="43"/>
      <c r="D281" s="246"/>
      <c r="E281" s="43"/>
      <c r="F281" s="246"/>
      <c r="G281" s="246"/>
      <c r="H281" s="246"/>
      <c r="I281" s="246"/>
      <c r="J281" s="246"/>
      <c r="K281" s="246"/>
      <c r="L281" s="246"/>
      <c r="M281" s="246"/>
      <c r="N281" s="246"/>
      <c r="O281" s="246"/>
      <c r="P281" s="246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248"/>
      <c r="AI281" s="248"/>
      <c r="AL281" s="248"/>
      <c r="AM281" s="248"/>
      <c r="AN281" s="248"/>
      <c r="AO281" s="248"/>
      <c r="AP281" s="43"/>
      <c r="AQ281" s="43"/>
      <c r="AR281" s="43"/>
      <c r="AS281" s="43"/>
    </row>
    <row r="282" spans="1:45" s="23" customFormat="1" ht="23.25" customHeight="1" x14ac:dyDescent="0.3">
      <c r="A282" s="245"/>
      <c r="B282" s="43"/>
      <c r="C282" s="43"/>
      <c r="D282" s="246"/>
      <c r="E282" s="43"/>
      <c r="F282" s="246"/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248"/>
      <c r="AI282" s="248"/>
      <c r="AL282" s="248"/>
      <c r="AM282" s="248"/>
      <c r="AN282" s="248"/>
      <c r="AO282" s="248"/>
      <c r="AP282" s="43"/>
      <c r="AQ282" s="43"/>
      <c r="AR282" s="43"/>
      <c r="AS282" s="43"/>
    </row>
    <row r="283" spans="1:45" s="23" customFormat="1" ht="23.25" customHeight="1" x14ac:dyDescent="0.3">
      <c r="A283" s="245"/>
      <c r="B283" s="43"/>
      <c r="C283" s="43"/>
      <c r="D283" s="246"/>
      <c r="E283" s="43"/>
      <c r="F283" s="246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248"/>
      <c r="AI283" s="248"/>
      <c r="AL283" s="248"/>
      <c r="AM283" s="248"/>
      <c r="AN283" s="248"/>
      <c r="AO283" s="248"/>
      <c r="AP283" s="43"/>
      <c r="AQ283" s="43"/>
      <c r="AR283" s="43"/>
      <c r="AS283" s="43"/>
    </row>
    <row r="284" spans="1:45" s="23" customFormat="1" ht="23.25" customHeight="1" x14ac:dyDescent="0.3">
      <c r="A284" s="245"/>
      <c r="B284" s="43"/>
      <c r="C284" s="43"/>
      <c r="D284" s="246"/>
      <c r="E284" s="43"/>
      <c r="F284" s="246"/>
      <c r="G284" s="246"/>
      <c r="H284" s="246"/>
      <c r="I284" s="246"/>
      <c r="J284" s="246"/>
      <c r="K284" s="246"/>
      <c r="L284" s="246"/>
      <c r="M284" s="246"/>
      <c r="N284" s="246"/>
      <c r="O284" s="246"/>
      <c r="P284" s="246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248"/>
      <c r="AI284" s="248"/>
      <c r="AL284" s="248"/>
      <c r="AM284" s="248"/>
      <c r="AN284" s="248"/>
      <c r="AO284" s="248"/>
      <c r="AP284" s="43"/>
      <c r="AQ284" s="43"/>
      <c r="AR284" s="43"/>
      <c r="AS284" s="43"/>
    </row>
    <row r="285" spans="1:45" s="23" customFormat="1" ht="23.25" customHeight="1" x14ac:dyDescent="0.3">
      <c r="A285" s="245"/>
      <c r="B285" s="43"/>
      <c r="C285" s="43"/>
      <c r="D285" s="246"/>
      <c r="E285" s="43"/>
      <c r="F285" s="246"/>
      <c r="G285" s="246"/>
      <c r="H285" s="246"/>
      <c r="I285" s="246"/>
      <c r="J285" s="246"/>
      <c r="K285" s="246"/>
      <c r="L285" s="246"/>
      <c r="M285" s="246"/>
      <c r="N285" s="246"/>
      <c r="O285" s="246"/>
      <c r="P285" s="246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248"/>
      <c r="AI285" s="248"/>
      <c r="AL285" s="248"/>
      <c r="AM285" s="248"/>
      <c r="AN285" s="248"/>
      <c r="AO285" s="248"/>
      <c r="AP285" s="43"/>
      <c r="AQ285" s="43"/>
      <c r="AR285" s="43"/>
      <c r="AS285" s="43"/>
    </row>
    <row r="286" spans="1:45" s="23" customFormat="1" ht="23.25" customHeight="1" x14ac:dyDescent="0.3">
      <c r="A286" s="245"/>
      <c r="B286" s="43"/>
      <c r="C286" s="43"/>
      <c r="D286" s="246"/>
      <c r="E286" s="43"/>
      <c r="F286" s="246"/>
      <c r="G286" s="246"/>
      <c r="H286" s="246"/>
      <c r="I286" s="246"/>
      <c r="J286" s="246"/>
      <c r="K286" s="246"/>
      <c r="L286" s="246"/>
      <c r="M286" s="246"/>
      <c r="N286" s="246"/>
      <c r="O286" s="246"/>
      <c r="P286" s="246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248"/>
      <c r="AI286" s="248"/>
      <c r="AL286" s="248"/>
      <c r="AM286" s="248"/>
      <c r="AN286" s="248"/>
      <c r="AO286" s="248"/>
      <c r="AP286" s="43"/>
      <c r="AQ286" s="43"/>
      <c r="AR286" s="43"/>
      <c r="AS286" s="43"/>
    </row>
    <row r="287" spans="1:45" s="23" customFormat="1" ht="23.25" customHeight="1" x14ac:dyDescent="0.3">
      <c r="A287" s="245"/>
      <c r="B287" s="43"/>
      <c r="C287" s="43"/>
      <c r="D287" s="246"/>
      <c r="E287" s="43"/>
      <c r="F287" s="246"/>
      <c r="G287" s="246"/>
      <c r="H287" s="246"/>
      <c r="I287" s="246"/>
      <c r="J287" s="246"/>
      <c r="K287" s="246"/>
      <c r="L287" s="246"/>
      <c r="M287" s="246"/>
      <c r="N287" s="246"/>
      <c r="O287" s="246"/>
      <c r="P287" s="246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248"/>
      <c r="AI287" s="248"/>
      <c r="AL287" s="248"/>
      <c r="AM287" s="248"/>
      <c r="AN287" s="248"/>
      <c r="AO287" s="248"/>
      <c r="AP287" s="43"/>
      <c r="AQ287" s="43"/>
      <c r="AR287" s="43"/>
      <c r="AS287" s="43"/>
    </row>
    <row r="288" spans="1:45" s="23" customFormat="1" ht="23.25" customHeight="1" x14ac:dyDescent="0.3">
      <c r="A288" s="245"/>
      <c r="B288" s="43"/>
      <c r="C288" s="43"/>
      <c r="D288" s="246"/>
      <c r="E288" s="43"/>
      <c r="F288" s="246"/>
      <c r="G288" s="246"/>
      <c r="H288" s="246"/>
      <c r="I288" s="246"/>
      <c r="J288" s="246"/>
      <c r="K288" s="246"/>
      <c r="L288" s="246"/>
      <c r="M288" s="246"/>
      <c r="N288" s="246"/>
      <c r="O288" s="246"/>
      <c r="P288" s="246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248"/>
      <c r="AI288" s="248"/>
      <c r="AL288" s="248"/>
      <c r="AM288" s="248"/>
      <c r="AN288" s="248"/>
      <c r="AO288" s="248"/>
      <c r="AP288" s="43"/>
      <c r="AQ288" s="43"/>
      <c r="AR288" s="43"/>
      <c r="AS288" s="43"/>
    </row>
    <row r="289" spans="1:45" s="23" customFormat="1" ht="23.25" customHeight="1" x14ac:dyDescent="0.3">
      <c r="A289" s="245"/>
      <c r="B289" s="43"/>
      <c r="C289" s="43"/>
      <c r="D289" s="246"/>
      <c r="E289" s="43"/>
      <c r="F289" s="246"/>
      <c r="G289" s="246"/>
      <c r="H289" s="246"/>
      <c r="I289" s="246"/>
      <c r="J289" s="246"/>
      <c r="K289" s="246"/>
      <c r="L289" s="246"/>
      <c r="M289" s="246"/>
      <c r="N289" s="246"/>
      <c r="O289" s="246"/>
      <c r="P289" s="246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248"/>
      <c r="AI289" s="248"/>
      <c r="AL289" s="248"/>
      <c r="AM289" s="248"/>
      <c r="AN289" s="248"/>
      <c r="AO289" s="248"/>
      <c r="AP289" s="43"/>
      <c r="AQ289" s="43"/>
      <c r="AR289" s="43"/>
      <c r="AS289" s="43"/>
    </row>
    <row r="290" spans="1:45" s="23" customFormat="1" ht="23.25" customHeight="1" x14ac:dyDescent="0.3">
      <c r="A290" s="245"/>
      <c r="B290" s="43"/>
      <c r="C290" s="43"/>
      <c r="D290" s="246"/>
      <c r="E290" s="43"/>
      <c r="F290" s="246"/>
      <c r="G290" s="246"/>
      <c r="H290" s="246"/>
      <c r="I290" s="246"/>
      <c r="J290" s="246"/>
      <c r="K290" s="246"/>
      <c r="L290" s="246"/>
      <c r="M290" s="246"/>
      <c r="N290" s="246"/>
      <c r="O290" s="246"/>
      <c r="P290" s="246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248"/>
      <c r="AI290" s="248"/>
      <c r="AL290" s="248"/>
      <c r="AM290" s="248"/>
      <c r="AN290" s="248"/>
      <c r="AO290" s="248"/>
      <c r="AP290" s="43"/>
      <c r="AQ290" s="43"/>
      <c r="AR290" s="43"/>
      <c r="AS290" s="43"/>
    </row>
    <row r="291" spans="1:45" s="23" customFormat="1" ht="23.25" customHeight="1" x14ac:dyDescent="0.3">
      <c r="A291" s="245"/>
      <c r="B291" s="43"/>
      <c r="C291" s="43"/>
      <c r="D291" s="246"/>
      <c r="E291" s="43"/>
      <c r="F291" s="246"/>
      <c r="G291" s="246"/>
      <c r="H291" s="246"/>
      <c r="I291" s="246"/>
      <c r="J291" s="246"/>
      <c r="K291" s="246"/>
      <c r="L291" s="246"/>
      <c r="M291" s="246"/>
      <c r="N291" s="246"/>
      <c r="O291" s="246"/>
      <c r="P291" s="246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248"/>
      <c r="AI291" s="248"/>
      <c r="AL291" s="248"/>
      <c r="AM291" s="248"/>
      <c r="AN291" s="248"/>
      <c r="AO291" s="248"/>
      <c r="AP291" s="43"/>
      <c r="AQ291" s="43"/>
      <c r="AR291" s="43"/>
      <c r="AS291" s="43"/>
    </row>
    <row r="292" spans="1:45" s="23" customFormat="1" ht="23.25" customHeight="1" x14ac:dyDescent="0.3">
      <c r="A292" s="245"/>
      <c r="B292" s="43"/>
      <c r="C292" s="43"/>
      <c r="D292" s="246"/>
      <c r="E292" s="43"/>
      <c r="F292" s="246"/>
      <c r="G292" s="246"/>
      <c r="H292" s="246"/>
      <c r="I292" s="246"/>
      <c r="J292" s="246"/>
      <c r="K292" s="246"/>
      <c r="L292" s="246"/>
      <c r="M292" s="246"/>
      <c r="N292" s="246"/>
      <c r="O292" s="246"/>
      <c r="P292" s="246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248"/>
      <c r="AI292" s="248"/>
      <c r="AL292" s="248"/>
      <c r="AM292" s="248"/>
      <c r="AN292" s="248"/>
      <c r="AO292" s="248"/>
      <c r="AP292" s="43"/>
      <c r="AQ292" s="43"/>
      <c r="AR292" s="43"/>
      <c r="AS292" s="43"/>
    </row>
    <row r="293" spans="1:45" s="23" customFormat="1" ht="23.25" customHeight="1" x14ac:dyDescent="0.3">
      <c r="A293" s="245"/>
      <c r="B293" s="43"/>
      <c r="C293" s="43"/>
      <c r="D293" s="246"/>
      <c r="E293" s="43"/>
      <c r="F293" s="246"/>
      <c r="G293" s="246"/>
      <c r="H293" s="246"/>
      <c r="I293" s="246"/>
      <c r="J293" s="246"/>
      <c r="K293" s="246"/>
      <c r="L293" s="246"/>
      <c r="M293" s="246"/>
      <c r="N293" s="246"/>
      <c r="O293" s="246"/>
      <c r="P293" s="246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248"/>
      <c r="AI293" s="248"/>
      <c r="AL293" s="248"/>
      <c r="AM293" s="248"/>
      <c r="AN293" s="248"/>
      <c r="AO293" s="248"/>
      <c r="AP293" s="43"/>
      <c r="AQ293" s="43"/>
      <c r="AR293" s="43"/>
      <c r="AS293" s="43"/>
    </row>
    <row r="294" spans="1:45" s="23" customFormat="1" ht="23.25" customHeight="1" x14ac:dyDescent="0.3">
      <c r="A294" s="245"/>
      <c r="B294" s="43"/>
      <c r="C294" s="43"/>
      <c r="D294" s="246"/>
      <c r="E294" s="43"/>
      <c r="F294" s="246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248"/>
      <c r="AI294" s="248"/>
      <c r="AL294" s="248"/>
      <c r="AM294" s="248"/>
      <c r="AN294" s="248"/>
      <c r="AO294" s="248"/>
      <c r="AP294" s="43"/>
      <c r="AQ294" s="43"/>
      <c r="AR294" s="43"/>
      <c r="AS294" s="43"/>
    </row>
    <row r="295" spans="1:45" s="23" customFormat="1" ht="23.25" customHeight="1" x14ac:dyDescent="0.3">
      <c r="A295" s="245"/>
      <c r="B295" s="43"/>
      <c r="C295" s="43"/>
      <c r="D295" s="246"/>
      <c r="E295" s="43"/>
      <c r="F295" s="246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248"/>
      <c r="AI295" s="248"/>
      <c r="AL295" s="248"/>
      <c r="AM295" s="248"/>
      <c r="AN295" s="248"/>
      <c r="AO295" s="248"/>
      <c r="AP295" s="43"/>
      <c r="AQ295" s="43"/>
      <c r="AR295" s="43"/>
      <c r="AS295" s="43"/>
    </row>
    <row r="296" spans="1:45" s="23" customFormat="1" ht="23.25" customHeight="1" x14ac:dyDescent="0.3">
      <c r="A296" s="245"/>
      <c r="B296" s="43"/>
      <c r="C296" s="43"/>
      <c r="D296" s="246"/>
      <c r="E296" s="43"/>
      <c r="F296" s="246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248"/>
      <c r="AI296" s="248"/>
      <c r="AL296" s="248"/>
      <c r="AM296" s="248"/>
      <c r="AN296" s="248"/>
      <c r="AO296" s="248"/>
      <c r="AP296" s="43"/>
      <c r="AQ296" s="43"/>
      <c r="AR296" s="43"/>
      <c r="AS296" s="43"/>
    </row>
    <row r="297" spans="1:45" s="23" customFormat="1" ht="23.25" customHeight="1" x14ac:dyDescent="0.3">
      <c r="A297" s="245"/>
      <c r="B297" s="43"/>
      <c r="C297" s="43"/>
      <c r="D297" s="246"/>
      <c r="E297" s="43"/>
      <c r="F297" s="246"/>
      <c r="G297" s="246"/>
      <c r="H297" s="246"/>
      <c r="I297" s="246"/>
      <c r="J297" s="246"/>
      <c r="K297" s="246"/>
      <c r="L297" s="246"/>
      <c r="M297" s="246"/>
      <c r="N297" s="246"/>
      <c r="O297" s="246"/>
      <c r="P297" s="246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248"/>
      <c r="AI297" s="248"/>
      <c r="AL297" s="248"/>
      <c r="AM297" s="248"/>
      <c r="AN297" s="248"/>
      <c r="AO297" s="248"/>
      <c r="AP297" s="43"/>
      <c r="AQ297" s="43"/>
      <c r="AR297" s="43"/>
      <c r="AS297" s="43"/>
    </row>
    <row r="298" spans="1:45" s="23" customFormat="1" ht="23.25" customHeight="1" x14ac:dyDescent="0.3">
      <c r="A298" s="245"/>
      <c r="B298" s="43"/>
      <c r="C298" s="43"/>
      <c r="D298" s="246"/>
      <c r="E298" s="43"/>
      <c r="F298" s="246"/>
      <c r="G298" s="246"/>
      <c r="H298" s="246"/>
      <c r="I298" s="246"/>
      <c r="J298" s="246"/>
      <c r="K298" s="246"/>
      <c r="L298" s="246"/>
      <c r="M298" s="246"/>
      <c r="N298" s="246"/>
      <c r="O298" s="246"/>
      <c r="P298" s="246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248"/>
      <c r="AI298" s="248"/>
      <c r="AL298" s="248"/>
      <c r="AM298" s="248"/>
      <c r="AN298" s="248"/>
      <c r="AO298" s="248"/>
      <c r="AP298" s="43"/>
      <c r="AQ298" s="43"/>
      <c r="AR298" s="43"/>
      <c r="AS298" s="43"/>
    </row>
    <row r="299" spans="1:45" s="23" customFormat="1" ht="23.25" customHeight="1" x14ac:dyDescent="0.3">
      <c r="A299" s="245"/>
      <c r="B299" s="43"/>
      <c r="C299" s="43"/>
      <c r="D299" s="246"/>
      <c r="E299" s="43"/>
      <c r="F299" s="246"/>
      <c r="G299" s="246"/>
      <c r="H299" s="246"/>
      <c r="I299" s="246"/>
      <c r="J299" s="246"/>
      <c r="K299" s="246"/>
      <c r="L299" s="246"/>
      <c r="M299" s="246"/>
      <c r="N299" s="246"/>
      <c r="O299" s="246"/>
      <c r="P299" s="246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248"/>
      <c r="AI299" s="248"/>
      <c r="AL299" s="248"/>
      <c r="AM299" s="248"/>
      <c r="AN299" s="248"/>
      <c r="AO299" s="248"/>
      <c r="AP299" s="43"/>
      <c r="AQ299" s="43"/>
      <c r="AR299" s="43"/>
      <c r="AS299" s="43"/>
    </row>
    <row r="300" spans="1:45" s="23" customFormat="1" ht="23.25" customHeight="1" x14ac:dyDescent="0.3">
      <c r="A300" s="245"/>
      <c r="B300" s="43"/>
      <c r="C300" s="43"/>
      <c r="D300" s="246"/>
      <c r="E300" s="43"/>
      <c r="F300" s="246"/>
      <c r="G300" s="246"/>
      <c r="H300" s="246"/>
      <c r="I300" s="246"/>
      <c r="J300" s="246"/>
      <c r="K300" s="246"/>
      <c r="L300" s="246"/>
      <c r="M300" s="246"/>
      <c r="N300" s="246"/>
      <c r="O300" s="246"/>
      <c r="P300" s="246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248"/>
      <c r="AI300" s="248"/>
      <c r="AL300" s="248"/>
      <c r="AM300" s="248"/>
      <c r="AN300" s="248"/>
      <c r="AO300" s="248"/>
      <c r="AP300" s="43"/>
      <c r="AQ300" s="43"/>
      <c r="AR300" s="43"/>
      <c r="AS300" s="43"/>
    </row>
    <row r="301" spans="1:45" s="23" customFormat="1" ht="23.25" customHeight="1" x14ac:dyDescent="0.3">
      <c r="A301" s="245"/>
      <c r="B301" s="43"/>
      <c r="C301" s="43"/>
      <c r="D301" s="246"/>
      <c r="E301" s="43"/>
      <c r="F301" s="246"/>
      <c r="G301" s="246"/>
      <c r="H301" s="246"/>
      <c r="I301" s="246"/>
      <c r="J301" s="246"/>
      <c r="K301" s="246"/>
      <c r="L301" s="246"/>
      <c r="M301" s="246"/>
      <c r="N301" s="246"/>
      <c r="O301" s="246"/>
      <c r="P301" s="246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248"/>
      <c r="AI301" s="248"/>
      <c r="AL301" s="248"/>
      <c r="AM301" s="248"/>
      <c r="AN301" s="248"/>
      <c r="AO301" s="248"/>
      <c r="AP301" s="43"/>
      <c r="AQ301" s="43"/>
      <c r="AR301" s="43"/>
      <c r="AS301" s="43"/>
    </row>
    <row r="302" spans="1:45" s="23" customFormat="1" ht="23.25" customHeight="1" x14ac:dyDescent="0.3">
      <c r="A302" s="245"/>
      <c r="B302" s="43"/>
      <c r="C302" s="43"/>
      <c r="D302" s="246"/>
      <c r="E302" s="43"/>
      <c r="F302" s="246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248"/>
      <c r="AI302" s="248"/>
      <c r="AL302" s="248"/>
      <c r="AM302" s="248"/>
      <c r="AN302" s="248"/>
      <c r="AO302" s="248"/>
      <c r="AP302" s="43"/>
      <c r="AQ302" s="43"/>
      <c r="AR302" s="43"/>
      <c r="AS302" s="43"/>
    </row>
    <row r="303" spans="1:45" s="23" customFormat="1" ht="23.25" customHeight="1" x14ac:dyDescent="0.3">
      <c r="A303" s="245"/>
      <c r="B303" s="43"/>
      <c r="C303" s="43"/>
      <c r="D303" s="246"/>
      <c r="E303" s="43"/>
      <c r="F303" s="246"/>
      <c r="G303" s="246"/>
      <c r="H303" s="246"/>
      <c r="I303" s="246"/>
      <c r="J303" s="246"/>
      <c r="K303" s="246"/>
      <c r="L303" s="246"/>
      <c r="M303" s="246"/>
      <c r="N303" s="246"/>
      <c r="O303" s="246"/>
      <c r="P303" s="246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248"/>
      <c r="AI303" s="248"/>
      <c r="AL303" s="248"/>
      <c r="AM303" s="248"/>
      <c r="AN303" s="248"/>
      <c r="AO303" s="248"/>
      <c r="AP303" s="43"/>
      <c r="AQ303" s="43"/>
      <c r="AR303" s="43"/>
      <c r="AS303" s="43"/>
    </row>
    <row r="304" spans="1:45" s="23" customFormat="1" ht="23.25" customHeight="1" x14ac:dyDescent="0.3">
      <c r="A304" s="245"/>
      <c r="B304" s="43"/>
      <c r="C304" s="43"/>
      <c r="D304" s="246"/>
      <c r="E304" s="43"/>
      <c r="F304" s="246"/>
      <c r="G304" s="246"/>
      <c r="H304" s="246"/>
      <c r="I304" s="246"/>
      <c r="J304" s="246"/>
      <c r="K304" s="246"/>
      <c r="L304" s="246"/>
      <c r="M304" s="246"/>
      <c r="N304" s="246"/>
      <c r="O304" s="246"/>
      <c r="P304" s="246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248"/>
      <c r="AI304" s="248"/>
      <c r="AL304" s="248"/>
      <c r="AM304" s="248"/>
      <c r="AN304" s="248"/>
      <c r="AO304" s="248"/>
      <c r="AP304" s="43"/>
      <c r="AQ304" s="43"/>
      <c r="AR304" s="43"/>
      <c r="AS304" s="43"/>
    </row>
    <row r="305" spans="1:45" s="23" customFormat="1" ht="23.25" customHeight="1" x14ac:dyDescent="0.3">
      <c r="A305" s="245"/>
      <c r="B305" s="43"/>
      <c r="C305" s="43"/>
      <c r="D305" s="246"/>
      <c r="E305" s="43"/>
      <c r="F305" s="246"/>
      <c r="G305" s="246"/>
      <c r="H305" s="246"/>
      <c r="I305" s="246"/>
      <c r="J305" s="246"/>
      <c r="K305" s="246"/>
      <c r="L305" s="246"/>
      <c r="M305" s="246"/>
      <c r="N305" s="246"/>
      <c r="O305" s="246"/>
      <c r="P305" s="246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248"/>
      <c r="AI305" s="248"/>
      <c r="AL305" s="248"/>
      <c r="AM305" s="248"/>
      <c r="AN305" s="248"/>
      <c r="AO305" s="248"/>
      <c r="AP305" s="43"/>
      <c r="AQ305" s="43"/>
      <c r="AR305" s="43"/>
      <c r="AS305" s="43"/>
    </row>
    <row r="306" spans="1:45" s="23" customFormat="1" ht="23.25" customHeight="1" x14ac:dyDescent="0.3">
      <c r="A306" s="245"/>
      <c r="B306" s="43"/>
      <c r="C306" s="43"/>
      <c r="D306" s="246"/>
      <c r="E306" s="43"/>
      <c r="F306" s="246"/>
      <c r="G306" s="246"/>
      <c r="H306" s="246"/>
      <c r="I306" s="246"/>
      <c r="J306" s="246"/>
      <c r="K306" s="246"/>
      <c r="L306" s="246"/>
      <c r="M306" s="246"/>
      <c r="N306" s="246"/>
      <c r="O306" s="246"/>
      <c r="P306" s="246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248"/>
      <c r="AI306" s="248"/>
      <c r="AL306" s="248"/>
      <c r="AM306" s="248"/>
      <c r="AN306" s="248"/>
      <c r="AO306" s="248"/>
      <c r="AP306" s="43"/>
      <c r="AQ306" s="43"/>
      <c r="AR306" s="43"/>
      <c r="AS306" s="43"/>
    </row>
    <row r="307" spans="1:45" s="23" customFormat="1" ht="23.25" customHeight="1" x14ac:dyDescent="0.3">
      <c r="A307" s="245"/>
      <c r="B307" s="43"/>
      <c r="C307" s="43"/>
      <c r="D307" s="246"/>
      <c r="E307" s="43"/>
      <c r="F307" s="246"/>
      <c r="G307" s="246"/>
      <c r="H307" s="246"/>
      <c r="I307" s="246"/>
      <c r="J307" s="246"/>
      <c r="K307" s="246"/>
      <c r="L307" s="246"/>
      <c r="M307" s="246"/>
      <c r="N307" s="246"/>
      <c r="O307" s="246"/>
      <c r="P307" s="246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248"/>
      <c r="AI307" s="248"/>
      <c r="AL307" s="248"/>
      <c r="AM307" s="248"/>
      <c r="AN307" s="248"/>
      <c r="AO307" s="248"/>
      <c r="AP307" s="43"/>
      <c r="AQ307" s="43"/>
      <c r="AR307" s="43"/>
      <c r="AS307" s="43"/>
    </row>
    <row r="308" spans="1:45" s="23" customFormat="1" ht="23.25" customHeight="1" x14ac:dyDescent="0.3">
      <c r="A308" s="245"/>
      <c r="B308" s="43"/>
      <c r="C308" s="43"/>
      <c r="D308" s="246"/>
      <c r="E308" s="43"/>
      <c r="F308" s="246"/>
      <c r="G308" s="246"/>
      <c r="H308" s="246"/>
      <c r="I308" s="246"/>
      <c r="J308" s="246"/>
      <c r="K308" s="246"/>
      <c r="L308" s="246"/>
      <c r="M308" s="246"/>
      <c r="N308" s="246"/>
      <c r="O308" s="246"/>
      <c r="P308" s="246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248"/>
      <c r="AI308" s="248"/>
      <c r="AL308" s="248"/>
      <c r="AM308" s="248"/>
      <c r="AN308" s="248"/>
      <c r="AO308" s="248"/>
      <c r="AP308" s="43"/>
      <c r="AQ308" s="43"/>
      <c r="AR308" s="43"/>
      <c r="AS308" s="43"/>
    </row>
    <row r="309" spans="1:45" s="23" customFormat="1" ht="23.25" customHeight="1" x14ac:dyDescent="0.3">
      <c r="A309" s="245"/>
      <c r="B309" s="43"/>
      <c r="C309" s="43"/>
      <c r="D309" s="246"/>
      <c r="E309" s="43"/>
      <c r="F309" s="246"/>
      <c r="G309" s="246"/>
      <c r="H309" s="246"/>
      <c r="I309" s="246"/>
      <c r="J309" s="246"/>
      <c r="K309" s="246"/>
      <c r="L309" s="246"/>
      <c r="M309" s="246"/>
      <c r="N309" s="246"/>
      <c r="O309" s="246"/>
      <c r="P309" s="246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248"/>
      <c r="AI309" s="248"/>
      <c r="AL309" s="248"/>
      <c r="AM309" s="248"/>
      <c r="AN309" s="248"/>
      <c r="AO309" s="248"/>
      <c r="AP309" s="43"/>
      <c r="AQ309" s="43"/>
      <c r="AR309" s="43"/>
      <c r="AS309" s="43"/>
    </row>
    <row r="310" spans="1:45" s="23" customFormat="1" ht="23.25" customHeight="1" x14ac:dyDescent="0.3">
      <c r="A310" s="245"/>
      <c r="B310" s="43"/>
      <c r="C310" s="43"/>
      <c r="D310" s="246"/>
      <c r="E310" s="43"/>
      <c r="F310" s="246"/>
      <c r="G310" s="246"/>
      <c r="H310" s="246"/>
      <c r="I310" s="246"/>
      <c r="J310" s="246"/>
      <c r="K310" s="246"/>
      <c r="L310" s="246"/>
      <c r="M310" s="246"/>
      <c r="N310" s="246"/>
      <c r="O310" s="246"/>
      <c r="P310" s="246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248"/>
      <c r="AI310" s="248"/>
      <c r="AL310" s="248"/>
      <c r="AM310" s="248"/>
      <c r="AN310" s="248"/>
      <c r="AO310" s="248"/>
      <c r="AP310" s="43"/>
      <c r="AQ310" s="43"/>
      <c r="AR310" s="43"/>
      <c r="AS310" s="43"/>
    </row>
    <row r="311" spans="1:45" s="23" customFormat="1" ht="23.25" customHeight="1" x14ac:dyDescent="0.3">
      <c r="A311" s="245"/>
      <c r="B311" s="43"/>
      <c r="C311" s="43"/>
      <c r="D311" s="246"/>
      <c r="E311" s="43"/>
      <c r="F311" s="246"/>
      <c r="G311" s="246"/>
      <c r="H311" s="246"/>
      <c r="I311" s="246"/>
      <c r="J311" s="246"/>
      <c r="K311" s="246"/>
      <c r="L311" s="246"/>
      <c r="M311" s="246"/>
      <c r="N311" s="246"/>
      <c r="O311" s="246"/>
      <c r="P311" s="246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248"/>
      <c r="AI311" s="248"/>
      <c r="AL311" s="248"/>
      <c r="AM311" s="248"/>
      <c r="AN311" s="248"/>
      <c r="AO311" s="248"/>
      <c r="AP311" s="43"/>
      <c r="AQ311" s="43"/>
      <c r="AR311" s="43"/>
      <c r="AS311" s="43"/>
    </row>
    <row r="312" spans="1:45" s="23" customFormat="1" ht="23.25" customHeight="1" x14ac:dyDescent="0.3">
      <c r="A312" s="245"/>
      <c r="B312" s="43"/>
      <c r="C312" s="43"/>
      <c r="D312" s="246"/>
      <c r="E312" s="43"/>
      <c r="F312" s="246"/>
      <c r="G312" s="246"/>
      <c r="H312" s="246"/>
      <c r="I312" s="246"/>
      <c r="J312" s="246"/>
      <c r="K312" s="246"/>
      <c r="L312" s="246"/>
      <c r="M312" s="246"/>
      <c r="N312" s="246"/>
      <c r="O312" s="246"/>
      <c r="P312" s="246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248"/>
      <c r="AI312" s="248"/>
      <c r="AL312" s="248"/>
      <c r="AM312" s="248"/>
      <c r="AN312" s="248"/>
      <c r="AO312" s="248"/>
      <c r="AP312" s="43"/>
      <c r="AQ312" s="43"/>
      <c r="AR312" s="43"/>
      <c r="AS312" s="43"/>
    </row>
    <row r="313" spans="1:45" s="23" customFormat="1" ht="23.25" customHeight="1" x14ac:dyDescent="0.3">
      <c r="A313" s="245"/>
      <c r="B313" s="43"/>
      <c r="C313" s="43"/>
      <c r="D313" s="246"/>
      <c r="E313" s="43"/>
      <c r="F313" s="246"/>
      <c r="G313" s="246"/>
      <c r="H313" s="246"/>
      <c r="I313" s="246"/>
      <c r="J313" s="246"/>
      <c r="K313" s="246"/>
      <c r="L313" s="246"/>
      <c r="M313" s="246"/>
      <c r="N313" s="246"/>
      <c r="O313" s="246"/>
      <c r="P313" s="246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248"/>
      <c r="AI313" s="248"/>
      <c r="AL313" s="248"/>
      <c r="AM313" s="248"/>
      <c r="AN313" s="248"/>
      <c r="AO313" s="248"/>
      <c r="AP313" s="43"/>
      <c r="AQ313" s="43"/>
      <c r="AR313" s="43"/>
      <c r="AS313" s="43"/>
    </row>
    <row r="314" spans="1:45" s="23" customFormat="1" ht="23.25" customHeight="1" x14ac:dyDescent="0.3">
      <c r="A314" s="245"/>
      <c r="B314" s="43"/>
      <c r="C314" s="43"/>
      <c r="D314" s="246"/>
      <c r="E314" s="43"/>
      <c r="F314" s="246"/>
      <c r="G314" s="246"/>
      <c r="H314" s="246"/>
      <c r="I314" s="246"/>
      <c r="J314" s="246"/>
      <c r="K314" s="246"/>
      <c r="L314" s="246"/>
      <c r="M314" s="246"/>
      <c r="N314" s="246"/>
      <c r="O314" s="246"/>
      <c r="P314" s="246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248"/>
      <c r="AI314" s="248"/>
      <c r="AL314" s="248"/>
      <c r="AM314" s="248"/>
      <c r="AN314" s="248"/>
      <c r="AO314" s="248"/>
      <c r="AP314" s="43"/>
      <c r="AQ314" s="43"/>
      <c r="AR314" s="43"/>
      <c r="AS314" s="43"/>
    </row>
    <row r="315" spans="1:45" s="23" customFormat="1" ht="23.25" customHeight="1" x14ac:dyDescent="0.3">
      <c r="A315" s="245"/>
      <c r="B315" s="43"/>
      <c r="C315" s="43"/>
      <c r="D315" s="246"/>
      <c r="E315" s="43"/>
      <c r="F315" s="246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248"/>
      <c r="AI315" s="248"/>
      <c r="AL315" s="248"/>
      <c r="AM315" s="248"/>
      <c r="AN315" s="248"/>
      <c r="AO315" s="248"/>
      <c r="AP315" s="43"/>
      <c r="AQ315" s="43"/>
      <c r="AR315" s="43"/>
      <c r="AS315" s="43"/>
    </row>
    <row r="316" spans="1:45" s="23" customFormat="1" ht="23.25" customHeight="1" x14ac:dyDescent="0.3">
      <c r="A316" s="245"/>
      <c r="B316" s="43"/>
      <c r="C316" s="43"/>
      <c r="D316" s="246"/>
      <c r="E316" s="43"/>
      <c r="F316" s="246"/>
      <c r="G316" s="246"/>
      <c r="H316" s="246"/>
      <c r="I316" s="246"/>
      <c r="J316" s="246"/>
      <c r="K316" s="246"/>
      <c r="L316" s="246"/>
      <c r="M316" s="246"/>
      <c r="N316" s="246"/>
      <c r="O316" s="246"/>
      <c r="P316" s="246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248"/>
      <c r="AI316" s="248"/>
      <c r="AL316" s="248"/>
      <c r="AM316" s="248"/>
      <c r="AN316" s="248"/>
      <c r="AO316" s="248"/>
      <c r="AP316" s="43"/>
      <c r="AQ316" s="43"/>
      <c r="AR316" s="43"/>
      <c r="AS316" s="43"/>
    </row>
    <row r="317" spans="1:45" s="23" customFormat="1" ht="23.25" customHeight="1" x14ac:dyDescent="0.3">
      <c r="A317" s="245"/>
      <c r="B317" s="43"/>
      <c r="C317" s="43"/>
      <c r="D317" s="246"/>
      <c r="E317" s="43"/>
      <c r="F317" s="246"/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248"/>
      <c r="AI317" s="248"/>
      <c r="AL317" s="248"/>
      <c r="AM317" s="248"/>
      <c r="AN317" s="248"/>
      <c r="AO317" s="248"/>
      <c r="AP317" s="43"/>
      <c r="AQ317" s="43"/>
      <c r="AR317" s="43"/>
      <c r="AS317" s="43"/>
    </row>
    <row r="318" spans="1:45" s="23" customFormat="1" ht="23.25" customHeight="1" x14ac:dyDescent="0.3">
      <c r="A318" s="245"/>
      <c r="B318" s="43"/>
      <c r="C318" s="43"/>
      <c r="D318" s="246"/>
      <c r="E318" s="43"/>
      <c r="F318" s="246"/>
      <c r="G318" s="246"/>
      <c r="H318" s="246"/>
      <c r="I318" s="246"/>
      <c r="J318" s="246"/>
      <c r="K318" s="246"/>
      <c r="L318" s="246"/>
      <c r="M318" s="246"/>
      <c r="N318" s="246"/>
      <c r="O318" s="246"/>
      <c r="P318" s="246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248"/>
      <c r="AI318" s="248"/>
      <c r="AL318" s="248"/>
      <c r="AM318" s="248"/>
      <c r="AN318" s="248"/>
      <c r="AO318" s="248"/>
      <c r="AP318" s="43"/>
      <c r="AQ318" s="43"/>
      <c r="AR318" s="43"/>
      <c r="AS318" s="43"/>
    </row>
    <row r="319" spans="1:45" s="23" customFormat="1" ht="23.25" customHeight="1" x14ac:dyDescent="0.3">
      <c r="A319" s="245"/>
      <c r="B319" s="43"/>
      <c r="C319" s="43"/>
      <c r="D319" s="246"/>
      <c r="E319" s="43"/>
      <c r="F319" s="246"/>
      <c r="G319" s="246"/>
      <c r="H319" s="246"/>
      <c r="I319" s="246"/>
      <c r="J319" s="246"/>
      <c r="K319" s="246"/>
      <c r="L319" s="246"/>
      <c r="M319" s="246"/>
      <c r="N319" s="246"/>
      <c r="O319" s="246"/>
      <c r="P319" s="246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248"/>
      <c r="AI319" s="248"/>
      <c r="AL319" s="248"/>
      <c r="AM319" s="248"/>
      <c r="AN319" s="248"/>
      <c r="AO319" s="248"/>
      <c r="AP319" s="43"/>
      <c r="AQ319" s="43"/>
      <c r="AR319" s="43"/>
      <c r="AS319" s="43"/>
    </row>
    <row r="320" spans="1:45" s="23" customFormat="1" ht="23.25" customHeight="1" x14ac:dyDescent="0.3">
      <c r="A320" s="245"/>
      <c r="B320" s="43"/>
      <c r="C320" s="43"/>
      <c r="D320" s="246"/>
      <c r="E320" s="43"/>
      <c r="F320" s="246"/>
      <c r="G320" s="246"/>
      <c r="H320" s="246"/>
      <c r="I320" s="246"/>
      <c r="J320" s="246"/>
      <c r="K320" s="246"/>
      <c r="L320" s="246"/>
      <c r="M320" s="246"/>
      <c r="N320" s="246"/>
      <c r="O320" s="246"/>
      <c r="P320" s="246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248"/>
      <c r="AI320" s="248"/>
      <c r="AL320" s="248"/>
      <c r="AM320" s="248"/>
      <c r="AN320" s="248"/>
      <c r="AO320" s="248"/>
      <c r="AP320" s="43"/>
      <c r="AQ320" s="43"/>
      <c r="AR320" s="43"/>
      <c r="AS320" s="43"/>
    </row>
    <row r="321" spans="1:45" s="23" customFormat="1" ht="23.25" customHeight="1" x14ac:dyDescent="0.3">
      <c r="A321" s="245"/>
      <c r="B321" s="43"/>
      <c r="C321" s="43"/>
      <c r="D321" s="246"/>
      <c r="E321" s="43"/>
      <c r="F321" s="246"/>
      <c r="G321" s="246"/>
      <c r="H321" s="246"/>
      <c r="I321" s="246"/>
      <c r="J321" s="246"/>
      <c r="K321" s="246"/>
      <c r="L321" s="246"/>
      <c r="M321" s="246"/>
      <c r="N321" s="246"/>
      <c r="O321" s="246"/>
      <c r="P321" s="246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248"/>
      <c r="AI321" s="248"/>
      <c r="AL321" s="248"/>
      <c r="AM321" s="248"/>
      <c r="AN321" s="248"/>
      <c r="AO321" s="248"/>
      <c r="AP321" s="43"/>
      <c r="AQ321" s="43"/>
      <c r="AR321" s="43"/>
      <c r="AS321" s="43"/>
    </row>
    <row r="322" spans="1:45" s="23" customFormat="1" ht="23.25" customHeight="1" x14ac:dyDescent="0.3">
      <c r="A322" s="245"/>
      <c r="B322" s="43"/>
      <c r="C322" s="43"/>
      <c r="D322" s="246"/>
      <c r="E322" s="43"/>
      <c r="F322" s="246"/>
      <c r="G322" s="246"/>
      <c r="H322" s="246"/>
      <c r="I322" s="246"/>
      <c r="J322" s="246"/>
      <c r="K322" s="246"/>
      <c r="L322" s="246"/>
      <c r="M322" s="246"/>
      <c r="N322" s="246"/>
      <c r="O322" s="246"/>
      <c r="P322" s="246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248"/>
      <c r="AI322" s="248"/>
      <c r="AL322" s="248"/>
      <c r="AM322" s="248"/>
      <c r="AN322" s="248"/>
      <c r="AO322" s="248"/>
      <c r="AP322" s="43"/>
      <c r="AQ322" s="43"/>
      <c r="AR322" s="43"/>
      <c r="AS322" s="43"/>
    </row>
    <row r="323" spans="1:45" s="23" customFormat="1" ht="23.25" customHeight="1" x14ac:dyDescent="0.3">
      <c r="A323" s="245"/>
      <c r="B323" s="43"/>
      <c r="C323" s="43"/>
      <c r="D323" s="246"/>
      <c r="E323" s="43"/>
      <c r="F323" s="246"/>
      <c r="G323" s="246"/>
      <c r="H323" s="246"/>
      <c r="I323" s="246"/>
      <c r="J323" s="246"/>
      <c r="K323" s="246"/>
      <c r="L323" s="246"/>
      <c r="M323" s="246"/>
      <c r="N323" s="246"/>
      <c r="O323" s="246"/>
      <c r="P323" s="246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248"/>
      <c r="AI323" s="248"/>
      <c r="AL323" s="248"/>
      <c r="AM323" s="248"/>
      <c r="AN323" s="248"/>
      <c r="AO323" s="248"/>
      <c r="AP323" s="43"/>
      <c r="AQ323" s="43"/>
      <c r="AR323" s="43"/>
      <c r="AS323" s="43"/>
    </row>
    <row r="324" spans="1:45" s="23" customFormat="1" ht="23.25" customHeight="1" x14ac:dyDescent="0.3">
      <c r="A324" s="245"/>
      <c r="B324" s="43"/>
      <c r="C324" s="43"/>
      <c r="D324" s="246"/>
      <c r="E324" s="43"/>
      <c r="F324" s="246"/>
      <c r="G324" s="246"/>
      <c r="H324" s="246"/>
      <c r="I324" s="246"/>
      <c r="J324" s="246"/>
      <c r="K324" s="246"/>
      <c r="L324" s="246"/>
      <c r="M324" s="246"/>
      <c r="N324" s="246"/>
      <c r="O324" s="246"/>
      <c r="P324" s="246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248"/>
      <c r="AI324" s="248"/>
      <c r="AL324" s="248"/>
      <c r="AM324" s="248"/>
      <c r="AN324" s="248"/>
      <c r="AO324" s="248"/>
      <c r="AP324" s="43"/>
      <c r="AQ324" s="43"/>
      <c r="AR324" s="43"/>
      <c r="AS324" s="43"/>
    </row>
    <row r="325" spans="1:45" s="23" customFormat="1" ht="23.25" customHeight="1" x14ac:dyDescent="0.3">
      <c r="A325" s="245"/>
      <c r="B325" s="43"/>
      <c r="C325" s="43"/>
      <c r="D325" s="246"/>
      <c r="E325" s="43"/>
      <c r="F325" s="246"/>
      <c r="G325" s="246"/>
      <c r="H325" s="246"/>
      <c r="I325" s="246"/>
      <c r="J325" s="246"/>
      <c r="K325" s="246"/>
      <c r="L325" s="246"/>
      <c r="M325" s="246"/>
      <c r="N325" s="246"/>
      <c r="O325" s="246"/>
      <c r="P325" s="246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248"/>
      <c r="AI325" s="248"/>
      <c r="AL325" s="248"/>
      <c r="AM325" s="248"/>
      <c r="AN325" s="248"/>
      <c r="AO325" s="248"/>
      <c r="AP325" s="43"/>
      <c r="AQ325" s="43"/>
      <c r="AR325" s="43"/>
      <c r="AS325" s="43"/>
    </row>
    <row r="326" spans="1:45" s="23" customFormat="1" ht="23.25" customHeight="1" x14ac:dyDescent="0.3">
      <c r="A326" s="245"/>
      <c r="B326" s="43"/>
      <c r="C326" s="43"/>
      <c r="D326" s="246"/>
      <c r="E326" s="43"/>
      <c r="F326" s="246"/>
      <c r="G326" s="246"/>
      <c r="H326" s="246"/>
      <c r="I326" s="246"/>
      <c r="J326" s="246"/>
      <c r="K326" s="246"/>
      <c r="L326" s="246"/>
      <c r="M326" s="246"/>
      <c r="N326" s="246"/>
      <c r="O326" s="246"/>
      <c r="P326" s="246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248"/>
      <c r="AI326" s="248"/>
      <c r="AL326" s="248"/>
      <c r="AM326" s="248"/>
      <c r="AN326" s="248"/>
      <c r="AO326" s="248"/>
      <c r="AP326" s="43"/>
      <c r="AQ326" s="43"/>
      <c r="AR326" s="43"/>
      <c r="AS326" s="43"/>
    </row>
    <row r="327" spans="1:45" s="23" customFormat="1" ht="23.25" customHeight="1" x14ac:dyDescent="0.3">
      <c r="A327" s="245"/>
      <c r="B327" s="43"/>
      <c r="C327" s="43"/>
      <c r="D327" s="246"/>
      <c r="E327" s="43"/>
      <c r="F327" s="246"/>
      <c r="G327" s="246"/>
      <c r="H327" s="246"/>
      <c r="I327" s="246"/>
      <c r="J327" s="246"/>
      <c r="K327" s="246"/>
      <c r="L327" s="246"/>
      <c r="M327" s="246"/>
      <c r="N327" s="246"/>
      <c r="O327" s="246"/>
      <c r="P327" s="246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248"/>
      <c r="AI327" s="248"/>
      <c r="AL327" s="248"/>
      <c r="AM327" s="248"/>
      <c r="AN327" s="248"/>
      <c r="AO327" s="248"/>
      <c r="AP327" s="43"/>
      <c r="AQ327" s="43"/>
      <c r="AR327" s="43"/>
      <c r="AS327" s="43"/>
    </row>
    <row r="328" spans="1:45" s="23" customFormat="1" ht="23.25" customHeight="1" x14ac:dyDescent="0.3">
      <c r="A328" s="245"/>
      <c r="B328" s="43"/>
      <c r="C328" s="43"/>
      <c r="D328" s="246"/>
      <c r="E328" s="43"/>
      <c r="F328" s="246"/>
      <c r="G328" s="246"/>
      <c r="H328" s="246"/>
      <c r="I328" s="246"/>
      <c r="J328" s="246"/>
      <c r="K328" s="246"/>
      <c r="L328" s="246"/>
      <c r="M328" s="246"/>
      <c r="N328" s="246"/>
      <c r="O328" s="246"/>
      <c r="P328" s="246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248"/>
      <c r="AI328" s="248"/>
      <c r="AL328" s="248"/>
      <c r="AM328" s="248"/>
      <c r="AN328" s="248"/>
      <c r="AO328" s="248"/>
      <c r="AP328" s="43"/>
      <c r="AQ328" s="43"/>
      <c r="AR328" s="43"/>
      <c r="AS328" s="43"/>
    </row>
    <row r="329" spans="1:45" s="23" customFormat="1" ht="23.25" customHeight="1" x14ac:dyDescent="0.3">
      <c r="A329" s="245"/>
      <c r="B329" s="43"/>
      <c r="C329" s="43"/>
      <c r="D329" s="246"/>
      <c r="E329" s="43"/>
      <c r="F329" s="246"/>
      <c r="G329" s="246"/>
      <c r="H329" s="246"/>
      <c r="I329" s="246"/>
      <c r="J329" s="246"/>
      <c r="K329" s="246"/>
      <c r="L329" s="246"/>
      <c r="M329" s="246"/>
      <c r="N329" s="246"/>
      <c r="O329" s="246"/>
      <c r="P329" s="246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248"/>
      <c r="AI329" s="248"/>
      <c r="AL329" s="248"/>
      <c r="AM329" s="248"/>
      <c r="AN329" s="248"/>
      <c r="AO329" s="248"/>
      <c r="AP329" s="43"/>
      <c r="AQ329" s="43"/>
      <c r="AR329" s="43"/>
      <c r="AS329" s="43"/>
    </row>
    <row r="330" spans="1:45" s="23" customFormat="1" ht="23.25" customHeight="1" x14ac:dyDescent="0.3">
      <c r="A330" s="245"/>
      <c r="B330" s="43"/>
      <c r="C330" s="43"/>
      <c r="D330" s="246"/>
      <c r="E330" s="43"/>
      <c r="F330" s="246"/>
      <c r="G330" s="246"/>
      <c r="H330" s="246"/>
      <c r="I330" s="246"/>
      <c r="J330" s="246"/>
      <c r="K330" s="246"/>
      <c r="L330" s="246"/>
      <c r="M330" s="246"/>
      <c r="N330" s="246"/>
      <c r="O330" s="246"/>
      <c r="P330" s="246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248"/>
      <c r="AI330" s="248"/>
      <c r="AL330" s="248"/>
      <c r="AM330" s="248"/>
      <c r="AN330" s="248"/>
      <c r="AO330" s="248"/>
      <c r="AP330" s="43"/>
      <c r="AQ330" s="43"/>
      <c r="AR330" s="43"/>
      <c r="AS330" s="43"/>
    </row>
    <row r="331" spans="1:45" s="23" customFormat="1" ht="23.25" customHeight="1" x14ac:dyDescent="0.3">
      <c r="A331" s="245"/>
      <c r="B331" s="43"/>
      <c r="C331" s="43"/>
      <c r="D331" s="246"/>
      <c r="E331" s="43"/>
      <c r="F331" s="246"/>
      <c r="G331" s="246"/>
      <c r="H331" s="246"/>
      <c r="I331" s="246"/>
      <c r="J331" s="246"/>
      <c r="K331" s="246"/>
      <c r="L331" s="246"/>
      <c r="M331" s="246"/>
      <c r="N331" s="246"/>
      <c r="O331" s="246"/>
      <c r="P331" s="246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248"/>
      <c r="AI331" s="248"/>
      <c r="AL331" s="248"/>
      <c r="AM331" s="248"/>
      <c r="AN331" s="248"/>
      <c r="AO331" s="248"/>
      <c r="AP331" s="43"/>
      <c r="AQ331" s="43"/>
      <c r="AR331" s="43"/>
      <c r="AS331" s="43"/>
    </row>
    <row r="332" spans="1:45" s="23" customFormat="1" ht="23.25" customHeight="1" x14ac:dyDescent="0.3">
      <c r="A332" s="245"/>
      <c r="B332" s="43"/>
      <c r="C332" s="43"/>
      <c r="D332" s="246"/>
      <c r="E332" s="43"/>
      <c r="F332" s="246"/>
      <c r="G332" s="246"/>
      <c r="H332" s="246"/>
      <c r="I332" s="246"/>
      <c r="J332" s="246"/>
      <c r="K332" s="246"/>
      <c r="L332" s="246"/>
      <c r="M332" s="246"/>
      <c r="N332" s="246"/>
      <c r="O332" s="246"/>
      <c r="P332" s="246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248"/>
      <c r="AI332" s="248"/>
      <c r="AL332" s="248"/>
      <c r="AM332" s="248"/>
      <c r="AN332" s="248"/>
      <c r="AO332" s="248"/>
      <c r="AP332" s="43"/>
      <c r="AQ332" s="43"/>
      <c r="AR332" s="43"/>
      <c r="AS332" s="43"/>
    </row>
    <row r="333" spans="1:45" s="23" customFormat="1" ht="23.25" customHeight="1" x14ac:dyDescent="0.3">
      <c r="A333" s="245"/>
      <c r="B333" s="43"/>
      <c r="C333" s="43"/>
      <c r="D333" s="246"/>
      <c r="E333" s="43"/>
      <c r="F333" s="246"/>
      <c r="G333" s="246"/>
      <c r="H333" s="246"/>
      <c r="I333" s="246"/>
      <c r="J333" s="246"/>
      <c r="K333" s="246"/>
      <c r="L333" s="246"/>
      <c r="M333" s="246"/>
      <c r="N333" s="246"/>
      <c r="O333" s="246"/>
      <c r="P333" s="246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248"/>
      <c r="AI333" s="248"/>
      <c r="AL333" s="248"/>
      <c r="AM333" s="248"/>
      <c r="AN333" s="248"/>
      <c r="AO333" s="248"/>
      <c r="AP333" s="43"/>
      <c r="AQ333" s="43"/>
      <c r="AR333" s="43"/>
      <c r="AS333" s="43"/>
    </row>
    <row r="334" spans="1:45" s="23" customFormat="1" ht="23.25" customHeight="1" x14ac:dyDescent="0.3">
      <c r="A334" s="245"/>
      <c r="B334" s="43"/>
      <c r="C334" s="43"/>
      <c r="D334" s="246"/>
      <c r="E334" s="43"/>
      <c r="F334" s="246"/>
      <c r="G334" s="246"/>
      <c r="H334" s="246"/>
      <c r="I334" s="246"/>
      <c r="J334" s="246"/>
      <c r="K334" s="246"/>
      <c r="L334" s="246"/>
      <c r="M334" s="246"/>
      <c r="N334" s="246"/>
      <c r="O334" s="246"/>
      <c r="P334" s="246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248"/>
      <c r="AI334" s="248"/>
      <c r="AL334" s="248"/>
      <c r="AM334" s="248"/>
      <c r="AN334" s="248"/>
      <c r="AO334" s="248"/>
      <c r="AP334" s="43"/>
      <c r="AQ334" s="43"/>
      <c r="AR334" s="43"/>
      <c r="AS334" s="43"/>
    </row>
    <row r="335" spans="1:45" s="23" customFormat="1" ht="23.25" customHeight="1" x14ac:dyDescent="0.3">
      <c r="A335" s="245"/>
      <c r="B335" s="43"/>
      <c r="C335" s="43"/>
      <c r="D335" s="246"/>
      <c r="E335" s="43"/>
      <c r="F335" s="246"/>
      <c r="G335" s="246"/>
      <c r="H335" s="246"/>
      <c r="I335" s="246"/>
      <c r="J335" s="246"/>
      <c r="K335" s="246"/>
      <c r="L335" s="246"/>
      <c r="M335" s="246"/>
      <c r="N335" s="246"/>
      <c r="O335" s="246"/>
      <c r="P335" s="246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248"/>
      <c r="AI335" s="248"/>
      <c r="AL335" s="248"/>
      <c r="AM335" s="248"/>
      <c r="AN335" s="248"/>
      <c r="AO335" s="248"/>
      <c r="AP335" s="43"/>
      <c r="AQ335" s="43"/>
      <c r="AR335" s="43"/>
      <c r="AS335" s="43"/>
    </row>
    <row r="336" spans="1:45" s="23" customFormat="1" ht="23.25" customHeight="1" x14ac:dyDescent="0.3">
      <c r="A336" s="245"/>
      <c r="B336" s="43"/>
      <c r="C336" s="43"/>
      <c r="D336" s="246"/>
      <c r="E336" s="43"/>
      <c r="F336" s="246"/>
      <c r="G336" s="246"/>
      <c r="H336" s="246"/>
      <c r="I336" s="246"/>
      <c r="J336" s="246"/>
      <c r="K336" s="246"/>
      <c r="L336" s="246"/>
      <c r="M336" s="246"/>
      <c r="N336" s="246"/>
      <c r="O336" s="246"/>
      <c r="P336" s="246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248"/>
      <c r="AI336" s="248"/>
      <c r="AL336" s="248"/>
      <c r="AM336" s="248"/>
      <c r="AN336" s="248"/>
      <c r="AO336" s="248"/>
      <c r="AP336" s="43"/>
      <c r="AQ336" s="43"/>
      <c r="AR336" s="43"/>
      <c r="AS336" s="43"/>
    </row>
    <row r="337" spans="1:45" s="23" customFormat="1" ht="23.25" customHeight="1" x14ac:dyDescent="0.3">
      <c r="A337" s="245"/>
      <c r="B337" s="43"/>
      <c r="C337" s="43"/>
      <c r="D337" s="246"/>
      <c r="E337" s="43"/>
      <c r="F337" s="246"/>
      <c r="G337" s="246"/>
      <c r="H337" s="246"/>
      <c r="I337" s="246"/>
      <c r="J337" s="246"/>
      <c r="K337" s="246"/>
      <c r="L337" s="246"/>
      <c r="M337" s="246"/>
      <c r="N337" s="246"/>
      <c r="O337" s="246"/>
      <c r="P337" s="246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248"/>
      <c r="AI337" s="248"/>
      <c r="AL337" s="248"/>
      <c r="AM337" s="248"/>
      <c r="AN337" s="248"/>
      <c r="AO337" s="248"/>
      <c r="AP337" s="43"/>
      <c r="AQ337" s="43"/>
      <c r="AR337" s="43"/>
      <c r="AS337" s="43"/>
    </row>
    <row r="338" spans="1:45" s="23" customFormat="1" ht="23.25" customHeight="1" x14ac:dyDescent="0.3">
      <c r="A338" s="245"/>
      <c r="B338" s="43"/>
      <c r="C338" s="43"/>
      <c r="D338" s="246"/>
      <c r="E338" s="43"/>
      <c r="F338" s="246"/>
      <c r="G338" s="246"/>
      <c r="H338" s="246"/>
      <c r="I338" s="246"/>
      <c r="J338" s="246"/>
      <c r="K338" s="246"/>
      <c r="L338" s="246"/>
      <c r="M338" s="246"/>
      <c r="N338" s="246"/>
      <c r="O338" s="246"/>
      <c r="P338" s="246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248"/>
      <c r="AI338" s="248"/>
      <c r="AL338" s="248"/>
      <c r="AM338" s="248"/>
      <c r="AN338" s="248"/>
      <c r="AO338" s="248"/>
      <c r="AP338" s="43"/>
      <c r="AQ338" s="43"/>
      <c r="AR338" s="43"/>
      <c r="AS338" s="43"/>
    </row>
    <row r="339" spans="1:45" s="23" customFormat="1" ht="23.25" customHeight="1" x14ac:dyDescent="0.3">
      <c r="A339" s="245"/>
      <c r="B339" s="43"/>
      <c r="C339" s="43"/>
      <c r="D339" s="246"/>
      <c r="E339" s="43"/>
      <c r="F339" s="246"/>
      <c r="G339" s="246"/>
      <c r="H339" s="246"/>
      <c r="I339" s="246"/>
      <c r="J339" s="246"/>
      <c r="K339" s="246"/>
      <c r="L339" s="246"/>
      <c r="M339" s="246"/>
      <c r="N339" s="246"/>
      <c r="O339" s="246"/>
      <c r="P339" s="246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248"/>
      <c r="AI339" s="248"/>
      <c r="AL339" s="248"/>
      <c r="AM339" s="248"/>
      <c r="AN339" s="248"/>
      <c r="AO339" s="248"/>
      <c r="AP339" s="43"/>
      <c r="AQ339" s="43"/>
      <c r="AR339" s="43"/>
      <c r="AS339" s="43"/>
    </row>
    <row r="340" spans="1:45" s="23" customFormat="1" ht="23.25" customHeight="1" x14ac:dyDescent="0.3">
      <c r="A340" s="245"/>
      <c r="B340" s="43"/>
      <c r="C340" s="43"/>
      <c r="D340" s="246"/>
      <c r="E340" s="43"/>
      <c r="F340" s="246"/>
      <c r="G340" s="246"/>
      <c r="H340" s="246"/>
      <c r="I340" s="246"/>
      <c r="J340" s="246"/>
      <c r="K340" s="246"/>
      <c r="L340" s="246"/>
      <c r="M340" s="246"/>
      <c r="N340" s="246"/>
      <c r="O340" s="246"/>
      <c r="P340" s="246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248"/>
      <c r="AI340" s="248"/>
      <c r="AL340" s="248"/>
      <c r="AM340" s="248"/>
      <c r="AN340" s="248"/>
      <c r="AO340" s="248"/>
      <c r="AP340" s="43"/>
      <c r="AQ340" s="43"/>
      <c r="AR340" s="43"/>
      <c r="AS340" s="43"/>
    </row>
    <row r="341" spans="1:45" s="23" customFormat="1" ht="23.25" customHeight="1" x14ac:dyDescent="0.3">
      <c r="A341" s="245"/>
      <c r="B341" s="43"/>
      <c r="C341" s="43"/>
      <c r="D341" s="246"/>
      <c r="E341" s="43"/>
      <c r="F341" s="246"/>
      <c r="G341" s="246"/>
      <c r="H341" s="246"/>
      <c r="I341" s="246"/>
      <c r="J341" s="246"/>
      <c r="K341" s="246"/>
      <c r="L341" s="246"/>
      <c r="M341" s="246"/>
      <c r="N341" s="246"/>
      <c r="O341" s="246"/>
      <c r="P341" s="246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248"/>
      <c r="AI341" s="248"/>
      <c r="AL341" s="248"/>
      <c r="AM341" s="248"/>
      <c r="AN341" s="248"/>
      <c r="AO341" s="248"/>
      <c r="AP341" s="43"/>
      <c r="AQ341" s="43"/>
      <c r="AR341" s="43"/>
      <c r="AS341" s="43"/>
    </row>
    <row r="342" spans="1:45" s="23" customFormat="1" ht="23.25" customHeight="1" x14ac:dyDescent="0.3">
      <c r="A342" s="245"/>
      <c r="B342" s="43"/>
      <c r="C342" s="43"/>
      <c r="D342" s="246"/>
      <c r="E342" s="43"/>
      <c r="F342" s="246"/>
      <c r="G342" s="246"/>
      <c r="H342" s="246"/>
      <c r="I342" s="246"/>
      <c r="J342" s="246"/>
      <c r="K342" s="246"/>
      <c r="L342" s="246"/>
      <c r="M342" s="246"/>
      <c r="N342" s="246"/>
      <c r="O342" s="246"/>
      <c r="P342" s="246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248"/>
      <c r="AI342" s="248"/>
      <c r="AL342" s="248"/>
      <c r="AM342" s="248"/>
      <c r="AN342" s="248"/>
      <c r="AO342" s="248"/>
      <c r="AP342" s="43"/>
      <c r="AQ342" s="43"/>
      <c r="AR342" s="43"/>
      <c r="AS342" s="43"/>
    </row>
    <row r="343" spans="1:45" s="23" customFormat="1" ht="23.25" customHeight="1" x14ac:dyDescent="0.3">
      <c r="A343" s="245"/>
      <c r="B343" s="43"/>
      <c r="C343" s="43"/>
      <c r="D343" s="246"/>
      <c r="E343" s="43"/>
      <c r="F343" s="246"/>
      <c r="G343" s="246"/>
      <c r="H343" s="246"/>
      <c r="I343" s="246"/>
      <c r="J343" s="246"/>
      <c r="K343" s="246"/>
      <c r="L343" s="246"/>
      <c r="M343" s="246"/>
      <c r="N343" s="246"/>
      <c r="O343" s="246"/>
      <c r="P343" s="246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248"/>
      <c r="AI343" s="248"/>
      <c r="AL343" s="248"/>
      <c r="AM343" s="248"/>
      <c r="AN343" s="248"/>
      <c r="AO343" s="248"/>
      <c r="AP343" s="43"/>
      <c r="AQ343" s="43"/>
      <c r="AR343" s="43"/>
      <c r="AS343" s="43"/>
    </row>
    <row r="344" spans="1:45" s="23" customFormat="1" ht="23.25" customHeight="1" x14ac:dyDescent="0.3">
      <c r="A344" s="245"/>
      <c r="B344" s="43"/>
      <c r="C344" s="43"/>
      <c r="D344" s="246"/>
      <c r="E344" s="43"/>
      <c r="F344" s="246"/>
      <c r="G344" s="246"/>
      <c r="H344" s="246"/>
      <c r="I344" s="246"/>
      <c r="J344" s="246"/>
      <c r="K344" s="246"/>
      <c r="L344" s="246"/>
      <c r="M344" s="246"/>
      <c r="N344" s="246"/>
      <c r="O344" s="246"/>
      <c r="P344" s="246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248"/>
      <c r="AI344" s="248"/>
      <c r="AL344" s="248"/>
      <c r="AM344" s="248"/>
      <c r="AN344" s="248"/>
      <c r="AO344" s="248"/>
      <c r="AP344" s="43"/>
      <c r="AQ344" s="43"/>
      <c r="AR344" s="43"/>
      <c r="AS344" s="43"/>
    </row>
    <row r="345" spans="1:45" s="23" customFormat="1" ht="23.25" customHeight="1" x14ac:dyDescent="0.3">
      <c r="A345" s="245"/>
      <c r="B345" s="43"/>
      <c r="C345" s="43"/>
      <c r="D345" s="246"/>
      <c r="E345" s="43"/>
      <c r="F345" s="246"/>
      <c r="G345" s="246"/>
      <c r="H345" s="246"/>
      <c r="I345" s="246"/>
      <c r="J345" s="246"/>
      <c r="K345" s="246"/>
      <c r="L345" s="246"/>
      <c r="M345" s="246"/>
      <c r="N345" s="246"/>
      <c r="O345" s="246"/>
      <c r="P345" s="246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248"/>
      <c r="AI345" s="248"/>
      <c r="AL345" s="248"/>
      <c r="AM345" s="248"/>
      <c r="AN345" s="248"/>
      <c r="AO345" s="248"/>
      <c r="AP345" s="43"/>
      <c r="AQ345" s="43"/>
      <c r="AR345" s="43"/>
      <c r="AS345" s="43"/>
    </row>
    <row r="346" spans="1:45" s="23" customFormat="1" ht="23.25" customHeight="1" x14ac:dyDescent="0.3">
      <c r="A346" s="245"/>
      <c r="B346" s="43"/>
      <c r="C346" s="43"/>
      <c r="D346" s="246"/>
      <c r="E346" s="43"/>
      <c r="F346" s="246"/>
      <c r="G346" s="246"/>
      <c r="H346" s="246"/>
      <c r="I346" s="246"/>
      <c r="J346" s="246"/>
      <c r="K346" s="246"/>
      <c r="L346" s="246"/>
      <c r="M346" s="246"/>
      <c r="N346" s="246"/>
      <c r="O346" s="246"/>
      <c r="P346" s="246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248"/>
      <c r="AI346" s="248"/>
      <c r="AL346" s="248"/>
      <c r="AM346" s="248"/>
      <c r="AN346" s="248"/>
      <c r="AO346" s="248"/>
      <c r="AP346" s="43"/>
      <c r="AQ346" s="43"/>
      <c r="AR346" s="43"/>
      <c r="AS346" s="43"/>
    </row>
  </sheetData>
  <autoFilter ref="A6:AQ54" xr:uid="{00000000-0009-0000-0000-00000B000000}"/>
  <mergeCells count="22">
    <mergeCell ref="A2:Q2"/>
    <mergeCell ref="S2:T2"/>
    <mergeCell ref="AH2:AH3"/>
    <mergeCell ref="AI2:AK3"/>
    <mergeCell ref="AP2:AT2"/>
    <mergeCell ref="A3:G3"/>
    <mergeCell ref="H3:K3"/>
    <mergeCell ref="L3:O3"/>
    <mergeCell ref="P3:Q3"/>
    <mergeCell ref="AI4:AK4"/>
    <mergeCell ref="D5:E5"/>
    <mergeCell ref="F5:G5"/>
    <mergeCell ref="L4:M5"/>
    <mergeCell ref="N4:O5"/>
    <mergeCell ref="P4:P5"/>
    <mergeCell ref="Q4:Q5"/>
    <mergeCell ref="S4:T5"/>
    <mergeCell ref="D4:E4"/>
    <mergeCell ref="F4:G4"/>
    <mergeCell ref="H4:I5"/>
    <mergeCell ref="J4:K5"/>
    <mergeCell ref="V4:AF5"/>
  </mergeCells>
  <hyperlinks>
    <hyperlink ref="A5" location="PAINEL!A1" tooltip="Voltar ao Painel de Navegação" display="⬅ PAINEL" xr:uid="{4C8E7F3E-4931-4FB5-A29B-CFD9D60DCC66}"/>
    <hyperlink ref="C2" location="PAINEL!A1" tooltip="Voltar ao Painel de Navegação" display="⬅ PAINEL" xr:uid="{DA668BEA-E35D-46AB-B961-7E2F73BE5437}"/>
    <hyperlink ref="A1" location="PAINEL!A1" tooltip="Voltar ao Painel de Navegação" display="⬅ PAINEL" xr:uid="{09577FCA-465E-4D4E-8D59-017A5534B282}"/>
  </hyperlinks>
  <printOptions horizontalCentered="1" verticalCentered="1"/>
  <pageMargins left="7.8472222222222193E-2" right="7.8472222222222193E-2" top="7.8472222222222193E-2" bottom="7.8472222222222193E-2" header="0.511811023622047" footer="0.511811023622047"/>
  <pageSetup paperSize="9"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BR59"/>
  <sheetViews>
    <sheetView topLeftCell="AE1" zoomScale="85" zoomScaleNormal="85" workbookViewId="0">
      <pane ySplit="6" topLeftCell="A7" activePane="bottomLeft" state="frozen"/>
      <selection activeCell="Z1" sqref="Z1"/>
      <selection pane="bottomLeft" activeCell="A3" sqref="A3:G3"/>
    </sheetView>
  </sheetViews>
  <sheetFormatPr defaultColWidth="8.5546875" defaultRowHeight="23.4" x14ac:dyDescent="0.3"/>
  <cols>
    <col min="1" max="1" width="6.44140625" style="184" customWidth="1"/>
    <col min="2" max="2" width="31.33203125" style="185" customWidth="1"/>
    <col min="3" max="3" width="15.6640625" style="185" customWidth="1"/>
    <col min="4" max="4" width="16.109375" style="186" customWidth="1"/>
    <col min="5" max="5" width="14.6640625" style="185" customWidth="1"/>
    <col min="6" max="6" width="19.109375" style="186" customWidth="1"/>
    <col min="7" max="7" width="20.33203125" style="186" customWidth="1"/>
    <col min="8" max="9" width="23.6640625" style="185" customWidth="1"/>
    <col min="10" max="10" width="23" style="186" customWidth="1"/>
    <col min="11" max="11" width="24" style="185" customWidth="1"/>
    <col min="12" max="12" width="20.33203125" style="187" customWidth="1"/>
    <col min="13" max="13" width="19.109375" style="188" customWidth="1"/>
    <col min="14" max="14" width="21.88671875" style="188" customWidth="1"/>
    <col min="15" max="15" width="20" style="43" customWidth="1"/>
    <col min="16" max="16" width="21.109375" style="43" customWidth="1"/>
    <col min="17" max="17" width="24.88671875" style="43" customWidth="1"/>
    <col min="18" max="18" width="17.5546875" style="43" customWidth="1"/>
    <col min="19" max="19" width="17" style="43" customWidth="1"/>
    <col min="20" max="20" width="20.6640625" style="43" customWidth="1"/>
    <col min="21" max="21" width="13.44140625" style="43" customWidth="1"/>
    <col min="22" max="22" width="19.88671875" style="43" customWidth="1"/>
    <col min="23" max="23" width="19" style="43" customWidth="1"/>
    <col min="24" max="24" width="17.109375" style="43" customWidth="1"/>
    <col min="25" max="25" width="18.44140625" style="43" customWidth="1"/>
    <col min="26" max="26" width="13.44140625" style="43" customWidth="1"/>
    <col min="27" max="27" width="17.6640625" style="43" customWidth="1"/>
    <col min="28" max="28" width="20.5546875" style="43" customWidth="1"/>
    <col min="29" max="41" width="8.88671875" style="43" customWidth="1"/>
    <col min="42" max="42" width="13.88671875" style="43" customWidth="1"/>
    <col min="43" max="43" width="8.88671875" style="23" customWidth="1"/>
    <col min="44" max="45" width="14" style="23" customWidth="1"/>
    <col min="46" max="46" width="8" style="23" customWidth="1"/>
    <col min="47" max="50" width="14" style="23" customWidth="1"/>
    <col min="51" max="51" width="9.6640625" style="23" customWidth="1"/>
    <col min="52" max="52" width="22.5546875" style="23" customWidth="1"/>
    <col min="53" max="53" width="33" style="281" customWidth="1"/>
    <col min="54" max="68" width="8.88671875" style="23" customWidth="1"/>
  </cols>
  <sheetData>
    <row r="1" spans="1:56" ht="19.95" customHeight="1" x14ac:dyDescent="0.3">
      <c r="A1" s="503" t="s">
        <v>1757</v>
      </c>
      <c r="B1" s="503"/>
    </row>
    <row r="2" spans="1:56" ht="75" customHeight="1" x14ac:dyDescent="0.3">
      <c r="A2" s="485" t="s">
        <v>1434</v>
      </c>
      <c r="B2" s="485"/>
      <c r="C2" s="496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AA2" s="465"/>
      <c r="AB2" s="465"/>
      <c r="AR2" s="282"/>
      <c r="AS2" s="466" t="s">
        <v>1217</v>
      </c>
      <c r="AT2" s="466"/>
      <c r="AU2" s="466"/>
      <c r="AV2" s="141"/>
      <c r="AW2" s="141"/>
      <c r="AX2" s="141"/>
      <c r="AZ2" s="497"/>
      <c r="BA2" s="497"/>
      <c r="BB2" s="497"/>
      <c r="BC2" s="497"/>
      <c r="BD2" s="497"/>
    </row>
    <row r="3" spans="1:56" ht="70.5" customHeight="1" x14ac:dyDescent="0.3">
      <c r="A3" s="498" t="s">
        <v>1359</v>
      </c>
      <c r="B3" s="498"/>
      <c r="C3" s="498"/>
      <c r="D3" s="498"/>
      <c r="E3" s="498"/>
      <c r="F3" s="498"/>
      <c r="G3" s="498"/>
      <c r="H3" s="485" t="s">
        <v>1435</v>
      </c>
      <c r="I3" s="485"/>
      <c r="J3" s="485"/>
      <c r="K3" s="485"/>
      <c r="L3" s="485"/>
      <c r="M3" s="485"/>
      <c r="N3" s="485" t="s">
        <v>1361</v>
      </c>
      <c r="O3" s="485"/>
      <c r="P3" s="485"/>
      <c r="Q3" s="485"/>
      <c r="R3" s="485"/>
      <c r="S3" s="485"/>
      <c r="T3" s="485" t="s">
        <v>1362</v>
      </c>
      <c r="U3" s="485"/>
      <c r="V3" s="485" t="s">
        <v>1436</v>
      </c>
      <c r="W3" s="485"/>
      <c r="X3" s="485"/>
      <c r="Y3" s="485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R3" s="282"/>
      <c r="AS3" s="466"/>
      <c r="AT3" s="466"/>
      <c r="AU3" s="466"/>
    </row>
    <row r="4" spans="1:56" ht="39.75" customHeight="1" x14ac:dyDescent="0.3">
      <c r="A4" s="319" t="s">
        <v>1758</v>
      </c>
      <c r="B4" s="200"/>
      <c r="C4" s="250" t="s">
        <v>1363</v>
      </c>
      <c r="D4" s="493" t="s">
        <v>1364</v>
      </c>
      <c r="E4" s="493"/>
      <c r="F4" s="494" t="s">
        <v>1365</v>
      </c>
      <c r="G4" s="494"/>
      <c r="H4" s="501" t="s">
        <v>1830</v>
      </c>
      <c r="I4" s="501"/>
      <c r="J4" s="501"/>
      <c r="K4" s="478">
        <f>PARÂMETROS!$E$22</f>
        <v>42.37</v>
      </c>
      <c r="L4" s="478"/>
      <c r="M4" s="478"/>
      <c r="N4" s="477" t="s">
        <v>1837</v>
      </c>
      <c r="O4" s="477"/>
      <c r="P4" s="477"/>
      <c r="Q4" s="492">
        <f>PARÂMETROS!$E$8</f>
        <v>30.89</v>
      </c>
      <c r="R4" s="492"/>
      <c r="S4" s="492"/>
      <c r="T4" s="479" t="s">
        <v>1833</v>
      </c>
      <c r="U4" s="480">
        <f>PARÂMETROS!$E$27</f>
        <v>3</v>
      </c>
      <c r="V4" s="500" t="s">
        <v>1838</v>
      </c>
      <c r="W4" s="500"/>
      <c r="X4" s="502">
        <f>PARÂMETROS!$E$26</f>
        <v>89.3</v>
      </c>
      <c r="Y4" s="502"/>
      <c r="Z4" s="23"/>
      <c r="AA4" s="472" t="s">
        <v>1438</v>
      </c>
      <c r="AB4" s="472"/>
      <c r="AC4" s="23"/>
      <c r="AD4" s="474" t="s">
        <v>833</v>
      </c>
      <c r="AE4" s="474"/>
      <c r="AF4" s="474"/>
      <c r="AG4" s="474"/>
      <c r="AH4" s="474"/>
      <c r="AI4" s="474"/>
      <c r="AJ4" s="474"/>
      <c r="AK4" s="474"/>
      <c r="AL4" s="474"/>
      <c r="AM4" s="474"/>
      <c r="AN4" s="474"/>
      <c r="AO4" s="474"/>
      <c r="AP4" s="283"/>
      <c r="AR4" s="282"/>
      <c r="AS4" s="499" t="s">
        <v>1439</v>
      </c>
      <c r="AT4" s="499"/>
      <c r="AU4" s="499"/>
    </row>
    <row r="5" spans="1:56" ht="31.5" customHeight="1" x14ac:dyDescent="0.3">
      <c r="A5" s="359"/>
      <c r="B5" s="361"/>
      <c r="C5" s="252">
        <f>PARÂMETROS!$E$23</f>
        <v>19.59</v>
      </c>
      <c r="D5" s="490">
        <f>PARÂMETROS!$E$24</f>
        <v>19.59</v>
      </c>
      <c r="E5" s="490"/>
      <c r="F5" s="491">
        <f>PARÂMETROS!$E$25</f>
        <v>19.59</v>
      </c>
      <c r="G5" s="491"/>
      <c r="H5" s="501"/>
      <c r="I5" s="501"/>
      <c r="J5" s="501"/>
      <c r="K5" s="478"/>
      <c r="L5" s="478"/>
      <c r="M5" s="478"/>
      <c r="N5" s="477"/>
      <c r="O5" s="477"/>
      <c r="P5" s="477"/>
      <c r="Q5" s="492"/>
      <c r="R5" s="492"/>
      <c r="S5" s="492"/>
      <c r="T5" s="479"/>
      <c r="U5" s="480"/>
      <c r="V5" s="500"/>
      <c r="W5" s="500"/>
      <c r="X5" s="502"/>
      <c r="Y5" s="502"/>
      <c r="Z5" s="23"/>
      <c r="AA5" s="472"/>
      <c r="AB5" s="472"/>
      <c r="AC5" s="23"/>
      <c r="AD5" s="474"/>
      <c r="AE5" s="474"/>
      <c r="AF5" s="474"/>
      <c r="AG5" s="474"/>
      <c r="AH5" s="474"/>
      <c r="AI5" s="474"/>
      <c r="AJ5" s="474"/>
      <c r="AK5" s="474"/>
      <c r="AL5" s="474"/>
      <c r="AM5" s="474"/>
      <c r="AN5" s="474"/>
      <c r="AO5" s="474"/>
      <c r="AP5" s="284"/>
      <c r="AS5" s="499"/>
      <c r="AT5" s="499"/>
      <c r="AU5" s="499"/>
      <c r="AY5" s="366" t="s">
        <v>1816</v>
      </c>
    </row>
    <row r="6" spans="1:56" ht="34.5" customHeight="1" x14ac:dyDescent="0.3">
      <c r="A6" s="204" t="s">
        <v>10</v>
      </c>
      <c r="B6" s="205" t="s">
        <v>1235</v>
      </c>
      <c r="C6" s="206" t="s">
        <v>1369</v>
      </c>
      <c r="D6" s="253" t="s">
        <v>1370</v>
      </c>
      <c r="E6" s="206" t="s">
        <v>1371</v>
      </c>
      <c r="F6" s="253" t="s">
        <v>1372</v>
      </c>
      <c r="G6" s="254" t="s">
        <v>1373</v>
      </c>
      <c r="H6" s="206" t="s">
        <v>1440</v>
      </c>
      <c r="I6" s="253" t="s">
        <v>1441</v>
      </c>
      <c r="J6" s="206" t="s">
        <v>1442</v>
      </c>
      <c r="K6" s="207" t="s">
        <v>1443</v>
      </c>
      <c r="L6" s="206" t="s">
        <v>1240</v>
      </c>
      <c r="M6" s="207" t="s">
        <v>1443</v>
      </c>
      <c r="N6" s="208" t="s">
        <v>1444</v>
      </c>
      <c r="O6" s="209" t="s">
        <v>1445</v>
      </c>
      <c r="P6" s="208" t="s">
        <v>1374</v>
      </c>
      <c r="Q6" s="209" t="s">
        <v>1446</v>
      </c>
      <c r="R6" s="208" t="s">
        <v>1447</v>
      </c>
      <c r="S6" s="209" t="s">
        <v>1448</v>
      </c>
      <c r="T6" s="208" t="s">
        <v>1242</v>
      </c>
      <c r="U6" s="209" t="s">
        <v>1243</v>
      </c>
      <c r="V6" s="208" t="s">
        <v>1449</v>
      </c>
      <c r="W6" s="209" t="s">
        <v>1450</v>
      </c>
      <c r="X6" s="208" t="s">
        <v>1451</v>
      </c>
      <c r="Y6" s="209" t="s">
        <v>1452</v>
      </c>
      <c r="Z6" s="23"/>
      <c r="AA6" s="210" t="s">
        <v>10</v>
      </c>
      <c r="AB6" s="211" t="s">
        <v>1120</v>
      </c>
      <c r="AC6" s="23"/>
      <c r="AD6" s="285"/>
      <c r="AE6" s="286" t="s">
        <v>880</v>
      </c>
      <c r="AF6" s="287" t="s">
        <v>1376</v>
      </c>
      <c r="AG6" s="287" t="s">
        <v>1453</v>
      </c>
      <c r="AH6" s="287" t="s">
        <v>1454</v>
      </c>
      <c r="AI6" s="287" t="s">
        <v>1377</v>
      </c>
      <c r="AJ6" s="287" t="s">
        <v>1248</v>
      </c>
      <c r="AK6" s="287" t="s">
        <v>1378</v>
      </c>
      <c r="AL6" s="287" t="s">
        <v>1251</v>
      </c>
      <c r="AM6" s="288" t="s">
        <v>1380</v>
      </c>
      <c r="AN6" s="289" t="s">
        <v>1252</v>
      </c>
      <c r="AO6" s="286" t="s">
        <v>1253</v>
      </c>
      <c r="AP6" s="260" t="s">
        <v>1382</v>
      </c>
      <c r="AR6" s="217" t="s">
        <v>1093</v>
      </c>
      <c r="AS6" s="218" t="s">
        <v>882</v>
      </c>
      <c r="AT6" s="36" t="s">
        <v>954</v>
      </c>
      <c r="AU6" s="220" t="s">
        <v>955</v>
      </c>
      <c r="AV6" s="48" t="s">
        <v>883</v>
      </c>
      <c r="AW6" s="48" t="s">
        <v>957</v>
      </c>
      <c r="AX6" s="48" t="s">
        <v>1383</v>
      </c>
      <c r="AY6" s="36" t="s">
        <v>954</v>
      </c>
      <c r="BC6" s="290"/>
    </row>
    <row r="7" spans="1:56" ht="27" customHeight="1" x14ac:dyDescent="0.3">
      <c r="A7" s="224" t="s">
        <v>196</v>
      </c>
      <c r="B7" s="225" t="s">
        <v>1384</v>
      </c>
      <c r="C7" s="225">
        <v>5.2999999999999999E-2</v>
      </c>
      <c r="D7" s="263">
        <f>C7*D5</f>
        <v>1.03827</v>
      </c>
      <c r="E7" s="225">
        <v>2.4E-2</v>
      </c>
      <c r="F7" s="263">
        <f>E7*F5</f>
        <v>0.47016000000000002</v>
      </c>
      <c r="G7" s="227">
        <f t="shared" ref="G7:G54" si="0">D7+F7</f>
        <v>1.5084300000000002</v>
      </c>
      <c r="H7" s="228">
        <v>0.1</v>
      </c>
      <c r="I7" s="227">
        <f>H7*PARÂMETROS!$E$22</f>
        <v>4.2370000000000001</v>
      </c>
      <c r="J7" s="228">
        <v>3.0000000000000001E-3</v>
      </c>
      <c r="K7" s="227">
        <f>J7*PARÂMETROS!$E$22</f>
        <v>0.12711</v>
      </c>
      <c r="L7" s="228">
        <v>2E-3</v>
      </c>
      <c r="M7" s="230">
        <f>L7*PARÂMETROS!$E$8</f>
        <v>6.1780000000000002E-2</v>
      </c>
      <c r="N7" s="228">
        <f t="shared" ref="N7:N54" si="1">H7*0.01</f>
        <v>1E-3</v>
      </c>
      <c r="O7" s="230">
        <f>N7*PARÂMETROS!$E$8</f>
        <v>3.0890000000000001E-2</v>
      </c>
      <c r="P7" s="228">
        <f t="shared" ref="P7:P54" si="2">0.1 * J7</f>
        <v>3.0000000000000003E-4</v>
      </c>
      <c r="Q7" s="230">
        <f>P7*PARÂMETROS!$E$8</f>
        <v>9.2670000000000009E-3</v>
      </c>
      <c r="R7" s="228">
        <f t="shared" ref="R7:R54" si="3">0.1 * N7</f>
        <v>1E-4</v>
      </c>
      <c r="S7" s="230">
        <f>R7*PARÂMETROS!$E$8</f>
        <v>3.0890000000000002E-3</v>
      </c>
      <c r="T7" s="231">
        <v>0.3</v>
      </c>
      <c r="U7" s="230">
        <f>T7*PARÂMETROS!$E$27</f>
        <v>0.89999999999999991</v>
      </c>
      <c r="V7" s="228">
        <v>1E-3</v>
      </c>
      <c r="W7" s="230">
        <f>V7*PARÂMETROS!$E$8</f>
        <v>3.0890000000000001E-2</v>
      </c>
      <c r="X7" s="229">
        <v>3.0000000000000001E-5</v>
      </c>
      <c r="Y7" s="230">
        <f>X7*PARÂMETROS!$E$8</f>
        <v>9.2670000000000003E-4</v>
      </c>
      <c r="Z7" s="23"/>
      <c r="AA7" s="232" t="s">
        <v>1385</v>
      </c>
      <c r="AB7" s="264">
        <f t="shared" ref="AB7:AB54" si="4">U7+S7+Q7+O7+M7+K7+I7+G7+W7+Y7</f>
        <v>6.9093827000000001</v>
      </c>
      <c r="AC7" s="23"/>
      <c r="AD7" s="224" t="s">
        <v>196</v>
      </c>
      <c r="AE7" s="291">
        <f>PARÂMETROS!$H$3</f>
        <v>40</v>
      </c>
      <c r="AF7" s="267">
        <v>4.1666666666666699E-2</v>
      </c>
      <c r="AG7" s="267">
        <v>1.38888888888889E-2</v>
      </c>
      <c r="AH7" s="267">
        <v>2.0833333333333301E-2</v>
      </c>
      <c r="AI7" s="267"/>
      <c r="AJ7" s="267">
        <v>2.0833333333333301E-2</v>
      </c>
      <c r="AK7" s="267">
        <v>6.9444444444444397E-3</v>
      </c>
      <c r="AL7" s="267">
        <v>3.125E-2</v>
      </c>
      <c r="AM7" s="271">
        <v>6</v>
      </c>
      <c r="AN7" s="292">
        <f t="shared" ref="AN7:AN54" si="5">AK7+AL7+AJ7+AI7+AH7+AG7+AF7</f>
        <v>0.13541666666666663</v>
      </c>
      <c r="AO7" s="291">
        <f t="shared" ref="AO7:AO54" si="6">AE7*AN7*24</f>
        <v>129.99999999999997</v>
      </c>
      <c r="AP7" s="272">
        <f t="shared" ref="AP7:AP54" si="7">AO7/AM7</f>
        <v>21.666666666666661</v>
      </c>
      <c r="AR7" s="273">
        <f t="shared" ref="AR7:AR54" si="8">AB7</f>
        <v>6.9093827000000001</v>
      </c>
      <c r="AS7" s="274">
        <f t="shared" ref="AS7:AS54" si="9">AP7</f>
        <v>21.666666666666661</v>
      </c>
      <c r="AT7" s="275">
        <v>5</v>
      </c>
      <c r="AU7" s="276">
        <f t="shared" ref="AU7:AU54" si="10">IFERROR(AS7/AT7,0)</f>
        <v>4.3333333333333321</v>
      </c>
      <c r="AV7" s="293">
        <f t="shared" ref="AV7:AV54" si="11">AU7+AR7</f>
        <v>11.242716033333332</v>
      </c>
      <c r="AW7" s="180">
        <v>80</v>
      </c>
      <c r="AX7" s="180">
        <f t="shared" ref="AX7:AX54" si="12">AV7+AW7</f>
        <v>91.242716033333338</v>
      </c>
      <c r="AY7" s="275">
        <v>5</v>
      </c>
      <c r="BA7" s="279"/>
    </row>
    <row r="8" spans="1:56" ht="27" customHeight="1" x14ac:dyDescent="0.3">
      <c r="A8" s="224" t="s">
        <v>200</v>
      </c>
      <c r="B8" s="225" t="s">
        <v>1384</v>
      </c>
      <c r="C8" s="228">
        <v>0.1</v>
      </c>
      <c r="D8" s="263">
        <f>C8*D5</f>
        <v>1.9590000000000001</v>
      </c>
      <c r="E8" s="228">
        <v>4.4999999999999998E-2</v>
      </c>
      <c r="F8" s="263">
        <f>E8*F5</f>
        <v>0.88154999999999994</v>
      </c>
      <c r="G8" s="227">
        <f t="shared" si="0"/>
        <v>2.8405499999999999</v>
      </c>
      <c r="H8" s="228">
        <v>0.14000000000000001</v>
      </c>
      <c r="I8" s="227">
        <f>H8*PARÂMETROS!$E$22</f>
        <v>5.9318</v>
      </c>
      <c r="J8" s="228">
        <v>6.0000000000000001E-3</v>
      </c>
      <c r="K8" s="227">
        <f>J8*PARÂMETROS!$E$22</f>
        <v>0.25422</v>
      </c>
      <c r="L8" s="228">
        <v>2E-3</v>
      </c>
      <c r="M8" s="230">
        <f>L8*PARÂMETROS!$E$8</f>
        <v>6.1780000000000002E-2</v>
      </c>
      <c r="N8" s="228">
        <f t="shared" si="1"/>
        <v>1.4000000000000002E-3</v>
      </c>
      <c r="O8" s="230">
        <f>N8*PARÂMETROS!$E$8</f>
        <v>4.3246000000000007E-2</v>
      </c>
      <c r="P8" s="228">
        <f t="shared" si="2"/>
        <v>6.0000000000000006E-4</v>
      </c>
      <c r="Q8" s="230">
        <f>P8*PARÂMETROS!$E$8</f>
        <v>1.8534000000000002E-2</v>
      </c>
      <c r="R8" s="228">
        <f t="shared" si="3"/>
        <v>1.4000000000000001E-4</v>
      </c>
      <c r="S8" s="230">
        <f>R8*PARÂMETROS!$E$8</f>
        <v>4.3246000000000005E-3</v>
      </c>
      <c r="T8" s="231">
        <v>0.36</v>
      </c>
      <c r="U8" s="230">
        <f>T8*PARÂMETROS!$E$27</f>
        <v>1.08</v>
      </c>
      <c r="V8" s="228">
        <v>1.4E-3</v>
      </c>
      <c r="W8" s="230">
        <f>V8*PARÂMETROS!$E$8</f>
        <v>4.3246E-2</v>
      </c>
      <c r="X8" s="229">
        <v>6.0000000000000002E-5</v>
      </c>
      <c r="Y8" s="230">
        <f>X8*PARÂMETROS!$E$8</f>
        <v>1.8534000000000001E-3</v>
      </c>
      <c r="Z8" s="23"/>
      <c r="AA8" s="232" t="s">
        <v>1386</v>
      </c>
      <c r="AB8" s="264">
        <f t="shared" si="4"/>
        <v>10.279553999999999</v>
      </c>
      <c r="AC8" s="23"/>
      <c r="AD8" s="224" t="s">
        <v>200</v>
      </c>
      <c r="AE8" s="291">
        <f>PARÂMETROS!$H$3</f>
        <v>40</v>
      </c>
      <c r="AF8" s="267">
        <v>4.1666666666666699E-2</v>
      </c>
      <c r="AG8" s="267">
        <v>1.38888888888889E-2</v>
      </c>
      <c r="AH8" s="267">
        <v>2.0833333333333301E-2</v>
      </c>
      <c r="AI8" s="267"/>
      <c r="AJ8" s="267">
        <v>2.0833333333333301E-2</v>
      </c>
      <c r="AK8" s="267">
        <v>6.9444444444444397E-3</v>
      </c>
      <c r="AL8" s="267">
        <v>3.125E-2</v>
      </c>
      <c r="AM8" s="271">
        <v>6</v>
      </c>
      <c r="AN8" s="292">
        <f t="shared" si="5"/>
        <v>0.13541666666666663</v>
      </c>
      <c r="AO8" s="291">
        <f t="shared" si="6"/>
        <v>129.99999999999997</v>
      </c>
      <c r="AP8" s="272">
        <f t="shared" si="7"/>
        <v>21.666666666666661</v>
      </c>
      <c r="AR8" s="273">
        <f t="shared" si="8"/>
        <v>10.279553999999999</v>
      </c>
      <c r="AS8" s="274">
        <f t="shared" si="9"/>
        <v>21.666666666666661</v>
      </c>
      <c r="AT8" s="275">
        <v>5</v>
      </c>
      <c r="AU8" s="276">
        <f t="shared" si="10"/>
        <v>4.3333333333333321</v>
      </c>
      <c r="AV8" s="293">
        <f t="shared" si="11"/>
        <v>14.612887333333331</v>
      </c>
      <c r="AW8" s="180">
        <v>80</v>
      </c>
      <c r="AX8" s="180">
        <f t="shared" si="12"/>
        <v>94.612887333333333</v>
      </c>
      <c r="AY8" s="275">
        <v>5</v>
      </c>
      <c r="BA8" s="279"/>
    </row>
    <row r="9" spans="1:56" ht="27" customHeight="1" x14ac:dyDescent="0.3">
      <c r="A9" s="224" t="s">
        <v>185</v>
      </c>
      <c r="B9" s="225" t="s">
        <v>1384</v>
      </c>
      <c r="C9" s="228">
        <v>0.16800000000000001</v>
      </c>
      <c r="D9" s="263">
        <f>C9*D5</f>
        <v>3.2911200000000003</v>
      </c>
      <c r="E9" s="228">
        <v>7.5999999999999998E-2</v>
      </c>
      <c r="F9" s="263">
        <f>E9*F5</f>
        <v>1.4888399999999999</v>
      </c>
      <c r="G9" s="227">
        <f t="shared" si="0"/>
        <v>4.77996</v>
      </c>
      <c r="H9" s="228">
        <v>0.26</v>
      </c>
      <c r="I9" s="227">
        <f>H9*PARÂMETROS!$E$22</f>
        <v>11.0162</v>
      </c>
      <c r="J9" s="228">
        <v>1.0999999999999999E-2</v>
      </c>
      <c r="K9" s="227">
        <f>J9*PARÂMETROS!$E$22</f>
        <v>0.46606999999999993</v>
      </c>
      <c r="L9" s="228">
        <v>2E-3</v>
      </c>
      <c r="M9" s="230">
        <f>L9*PARÂMETROS!$E$8</f>
        <v>6.1780000000000002E-2</v>
      </c>
      <c r="N9" s="228">
        <f t="shared" si="1"/>
        <v>2.6000000000000003E-3</v>
      </c>
      <c r="O9" s="230">
        <f>N9*PARÂMETROS!$E$8</f>
        <v>8.031400000000001E-2</v>
      </c>
      <c r="P9" s="228">
        <f t="shared" si="2"/>
        <v>1.1000000000000001E-3</v>
      </c>
      <c r="Q9" s="230">
        <f>P9*PARÂMETROS!$E$8</f>
        <v>3.3979000000000002E-2</v>
      </c>
      <c r="R9" s="228">
        <f t="shared" si="3"/>
        <v>2.6000000000000003E-4</v>
      </c>
      <c r="S9" s="230">
        <f>R9*PARÂMETROS!$E$8</f>
        <v>8.031400000000001E-3</v>
      </c>
      <c r="T9" s="231">
        <v>0.41</v>
      </c>
      <c r="U9" s="230">
        <f>T9*PARÂMETROS!$E$27</f>
        <v>1.23</v>
      </c>
      <c r="V9" s="228">
        <v>2.5999999999999999E-3</v>
      </c>
      <c r="W9" s="230">
        <f>V9*PARÂMETROS!$E$8</f>
        <v>8.0313999999999997E-2</v>
      </c>
      <c r="X9" s="229">
        <v>1.1E-4</v>
      </c>
      <c r="Y9" s="230">
        <f>X9*PARÂMETROS!$E$8</f>
        <v>3.3979000000000001E-3</v>
      </c>
      <c r="Z9" s="23"/>
      <c r="AA9" s="232" t="s">
        <v>1387</v>
      </c>
      <c r="AB9" s="264">
        <f t="shared" si="4"/>
        <v>17.760046299999999</v>
      </c>
      <c r="AC9" s="23"/>
      <c r="AD9" s="224" t="s">
        <v>185</v>
      </c>
      <c r="AE9" s="291">
        <f>PARÂMETROS!$H$3</f>
        <v>40</v>
      </c>
      <c r="AF9" s="267">
        <v>4.1666666666666699E-2</v>
      </c>
      <c r="AG9" s="267">
        <v>1.38888888888889E-2</v>
      </c>
      <c r="AH9" s="267">
        <v>1.38888888888889E-2</v>
      </c>
      <c r="AI9" s="267"/>
      <c r="AJ9" s="267">
        <v>2.0833333333333301E-2</v>
      </c>
      <c r="AK9" s="267">
        <v>6.9444444444444397E-3</v>
      </c>
      <c r="AL9" s="267">
        <v>3.125E-2</v>
      </c>
      <c r="AM9" s="271">
        <v>4</v>
      </c>
      <c r="AN9" s="292">
        <f t="shared" si="5"/>
        <v>0.12847222222222224</v>
      </c>
      <c r="AO9" s="291">
        <f t="shared" si="6"/>
        <v>123.33333333333334</v>
      </c>
      <c r="AP9" s="272">
        <f t="shared" si="7"/>
        <v>30.833333333333336</v>
      </c>
      <c r="AR9" s="273">
        <f t="shared" si="8"/>
        <v>17.760046299999999</v>
      </c>
      <c r="AS9" s="274">
        <f t="shared" si="9"/>
        <v>30.833333333333336</v>
      </c>
      <c r="AT9" s="275">
        <v>3</v>
      </c>
      <c r="AU9" s="276">
        <f t="shared" si="10"/>
        <v>10.277777777777779</v>
      </c>
      <c r="AV9" s="293">
        <f t="shared" si="11"/>
        <v>28.037824077777778</v>
      </c>
      <c r="AW9" s="180">
        <v>80</v>
      </c>
      <c r="AX9" s="180">
        <f t="shared" si="12"/>
        <v>108.03782407777777</v>
      </c>
      <c r="AY9" s="275">
        <v>3</v>
      </c>
      <c r="BA9" s="43"/>
      <c r="BB9" s="285"/>
    </row>
    <row r="10" spans="1:56" ht="25.5" customHeight="1" x14ac:dyDescent="0.3">
      <c r="A10" s="224" t="s">
        <v>39</v>
      </c>
      <c r="B10" s="225" t="s">
        <v>1384</v>
      </c>
      <c r="C10" s="228">
        <v>0.624</v>
      </c>
      <c r="D10" s="263">
        <f>C10*D5</f>
        <v>12.224159999999999</v>
      </c>
      <c r="E10" s="228">
        <v>0.28100000000000003</v>
      </c>
      <c r="F10" s="263">
        <f>E10*F5</f>
        <v>5.5047900000000007</v>
      </c>
      <c r="G10" s="227">
        <f t="shared" si="0"/>
        <v>17.728950000000001</v>
      </c>
      <c r="H10" s="228">
        <v>0.5</v>
      </c>
      <c r="I10" s="227">
        <f>H10*PARÂMETROS!$E$22</f>
        <v>21.184999999999999</v>
      </c>
      <c r="J10" s="228">
        <v>2.5000000000000001E-2</v>
      </c>
      <c r="K10" s="227">
        <f>J10*PARÂMETROS!$E$22</f>
        <v>1.05925</v>
      </c>
      <c r="L10" s="228">
        <v>2E-3</v>
      </c>
      <c r="M10" s="230">
        <f>L10*PARÂMETROS!$E$8</f>
        <v>6.1780000000000002E-2</v>
      </c>
      <c r="N10" s="228">
        <f t="shared" si="1"/>
        <v>5.0000000000000001E-3</v>
      </c>
      <c r="O10" s="230">
        <f>N10*PARÂMETROS!$E$8</f>
        <v>0.15445</v>
      </c>
      <c r="P10" s="228">
        <f t="shared" si="2"/>
        <v>2.5000000000000005E-3</v>
      </c>
      <c r="Q10" s="230">
        <f>P10*PARÂMETROS!$E$8</f>
        <v>7.7225000000000016E-2</v>
      </c>
      <c r="R10" s="228">
        <f t="shared" si="3"/>
        <v>5.0000000000000001E-4</v>
      </c>
      <c r="S10" s="230">
        <f>R10*PARÂMETROS!$E$8</f>
        <v>1.5445E-2</v>
      </c>
      <c r="T10" s="231">
        <v>0.82</v>
      </c>
      <c r="U10" s="230">
        <f>T10*PARÂMETROS!$E$27</f>
        <v>2.46</v>
      </c>
      <c r="V10" s="228">
        <v>5.0000000000000001E-3</v>
      </c>
      <c r="W10" s="230">
        <f>V10*PARÂMETROS!$E$8</f>
        <v>0.15445</v>
      </c>
      <c r="X10" s="229">
        <v>2.5000000000000001E-4</v>
      </c>
      <c r="Y10" s="230">
        <f>X10*PARÂMETROS!$E$8</f>
        <v>7.7225000000000002E-3</v>
      </c>
      <c r="Z10" s="23"/>
      <c r="AA10" s="232" t="s">
        <v>1388</v>
      </c>
      <c r="AB10" s="264">
        <f t="shared" si="4"/>
        <v>42.904272499999998</v>
      </c>
      <c r="AC10" s="23"/>
      <c r="AD10" s="224" t="s">
        <v>39</v>
      </c>
      <c r="AE10" s="291">
        <f>PARÂMETROS!$H$3</f>
        <v>40</v>
      </c>
      <c r="AF10" s="267">
        <v>4.1666666666666699E-2</v>
      </c>
      <c r="AG10" s="267">
        <v>1.38888888888889E-2</v>
      </c>
      <c r="AH10" s="267">
        <v>1.38888888888889E-2</v>
      </c>
      <c r="AI10" s="267"/>
      <c r="AJ10" s="267">
        <v>2.0833333333333301E-2</v>
      </c>
      <c r="AK10" s="267">
        <v>6.9444444444444397E-3</v>
      </c>
      <c r="AL10" s="267">
        <v>3.125E-2</v>
      </c>
      <c r="AM10" s="271">
        <v>4</v>
      </c>
      <c r="AN10" s="292">
        <f t="shared" si="5"/>
        <v>0.12847222222222224</v>
      </c>
      <c r="AO10" s="291">
        <f t="shared" si="6"/>
        <v>123.33333333333334</v>
      </c>
      <c r="AP10" s="272">
        <f t="shared" si="7"/>
        <v>30.833333333333336</v>
      </c>
      <c r="AR10" s="273">
        <f t="shared" si="8"/>
        <v>42.904272499999998</v>
      </c>
      <c r="AS10" s="274">
        <f t="shared" si="9"/>
        <v>30.833333333333336</v>
      </c>
      <c r="AT10" s="275">
        <v>3</v>
      </c>
      <c r="AU10" s="276">
        <f t="shared" si="10"/>
        <v>10.277777777777779</v>
      </c>
      <c r="AV10" s="293">
        <f t="shared" si="11"/>
        <v>53.182050277777776</v>
      </c>
      <c r="AW10" s="180">
        <v>80</v>
      </c>
      <c r="AX10" s="180">
        <f t="shared" si="12"/>
        <v>133.18205027777776</v>
      </c>
      <c r="AY10" s="275">
        <v>3</v>
      </c>
    </row>
    <row r="11" spans="1:56" ht="27" customHeight="1" x14ac:dyDescent="0.3">
      <c r="A11" s="224" t="s">
        <v>300</v>
      </c>
      <c r="B11" s="225" t="s">
        <v>1384</v>
      </c>
      <c r="C11" s="228">
        <v>0.94799999999999995</v>
      </c>
      <c r="D11" s="263">
        <f>C11*D5</f>
        <v>18.57132</v>
      </c>
      <c r="E11" s="228">
        <v>0.42699999999999999</v>
      </c>
      <c r="F11" s="263">
        <f>E11*F5</f>
        <v>8.3649299999999993</v>
      </c>
      <c r="G11" s="227">
        <f t="shared" si="0"/>
        <v>26.936250000000001</v>
      </c>
      <c r="H11" s="228">
        <v>0.65</v>
      </c>
      <c r="I11" s="227">
        <f>H11*PARÂMETROS!$E$22</f>
        <v>27.540499999999998</v>
      </c>
      <c r="J11" s="228">
        <v>3.2000000000000001E-2</v>
      </c>
      <c r="K11" s="227">
        <f>J11*PARÂMETROS!$E$22</f>
        <v>1.3558399999999999</v>
      </c>
      <c r="L11" s="228">
        <v>2E-3</v>
      </c>
      <c r="M11" s="230">
        <f>L11*PARÂMETROS!$E$8</f>
        <v>6.1780000000000002E-2</v>
      </c>
      <c r="N11" s="228">
        <f t="shared" si="1"/>
        <v>6.5000000000000006E-3</v>
      </c>
      <c r="O11" s="230">
        <f>N11*PARÂMETROS!$E$8</f>
        <v>0.20078500000000002</v>
      </c>
      <c r="P11" s="228">
        <f t="shared" si="2"/>
        <v>3.2000000000000002E-3</v>
      </c>
      <c r="Q11" s="230">
        <f>P11*PARÂMETROS!$E$8</f>
        <v>9.8848000000000005E-2</v>
      </c>
      <c r="R11" s="228">
        <f t="shared" si="3"/>
        <v>6.5000000000000008E-4</v>
      </c>
      <c r="S11" s="230">
        <f>R11*PARÂMETROS!$E$8</f>
        <v>2.0078500000000003E-2</v>
      </c>
      <c r="T11" s="231">
        <v>0.86</v>
      </c>
      <c r="U11" s="230">
        <f>T11*PARÂMETROS!$E$27</f>
        <v>2.58</v>
      </c>
      <c r="V11" s="228">
        <v>6.4999999999999997E-3</v>
      </c>
      <c r="W11" s="230">
        <f>V11*PARÂMETROS!$E$8</f>
        <v>0.20078499999999999</v>
      </c>
      <c r="X11" s="229">
        <v>3.2000000000000003E-4</v>
      </c>
      <c r="Y11" s="230">
        <f>X11*PARÂMETROS!$E$8</f>
        <v>9.8848000000000009E-3</v>
      </c>
      <c r="Z11" s="23"/>
      <c r="AA11" s="232" t="s">
        <v>1389</v>
      </c>
      <c r="AB11" s="264">
        <f t="shared" si="4"/>
        <v>59.004751300000002</v>
      </c>
      <c r="AC11" s="23"/>
      <c r="AD11" s="224" t="s">
        <v>300</v>
      </c>
      <c r="AE11" s="291">
        <f>PARÂMETROS!$H$3</f>
        <v>40</v>
      </c>
      <c r="AF11" s="267">
        <v>2.1527777777777798E-2</v>
      </c>
      <c r="AG11" s="267">
        <v>6.9444444444444397E-3</v>
      </c>
      <c r="AH11" s="267">
        <v>1.38888888888889E-2</v>
      </c>
      <c r="AI11" s="267"/>
      <c r="AJ11" s="267">
        <v>2.0833333333333301E-2</v>
      </c>
      <c r="AK11" s="267">
        <v>6.9444444444444397E-3</v>
      </c>
      <c r="AL11" s="267">
        <v>3.125E-2</v>
      </c>
      <c r="AM11" s="271">
        <v>2</v>
      </c>
      <c r="AN11" s="292">
        <f t="shared" si="5"/>
        <v>0.10138888888888888</v>
      </c>
      <c r="AO11" s="291">
        <f t="shared" si="6"/>
        <v>97.333333333333329</v>
      </c>
      <c r="AP11" s="272">
        <f t="shared" si="7"/>
        <v>48.666666666666664</v>
      </c>
      <c r="AR11" s="273">
        <f t="shared" si="8"/>
        <v>59.004751300000002</v>
      </c>
      <c r="AS11" s="274">
        <f t="shared" si="9"/>
        <v>48.666666666666664</v>
      </c>
      <c r="AT11" s="275">
        <v>3</v>
      </c>
      <c r="AU11" s="276">
        <f t="shared" si="10"/>
        <v>16.222222222222221</v>
      </c>
      <c r="AV11" s="293">
        <f t="shared" si="11"/>
        <v>75.226973522222224</v>
      </c>
      <c r="AW11" s="180">
        <v>80</v>
      </c>
      <c r="AX11" s="180">
        <f t="shared" si="12"/>
        <v>155.22697352222224</v>
      </c>
      <c r="AY11" s="275">
        <v>3</v>
      </c>
    </row>
    <row r="12" spans="1:56" ht="27" customHeight="1" x14ac:dyDescent="0.3">
      <c r="A12" s="224" t="s">
        <v>41</v>
      </c>
      <c r="B12" s="225" t="s">
        <v>1384</v>
      </c>
      <c r="C12" s="228">
        <v>1.3089999999999999</v>
      </c>
      <c r="D12" s="263">
        <f>C12*D5</f>
        <v>25.64331</v>
      </c>
      <c r="E12" s="228">
        <v>0.58899999999999997</v>
      </c>
      <c r="F12" s="263">
        <f>E12*F5</f>
        <v>11.538509999999999</v>
      </c>
      <c r="G12" s="227">
        <f t="shared" si="0"/>
        <v>37.181820000000002</v>
      </c>
      <c r="H12" s="228">
        <v>0.8</v>
      </c>
      <c r="I12" s="227">
        <f>H12*PARÂMETROS!$E$22</f>
        <v>33.896000000000001</v>
      </c>
      <c r="J12" s="228">
        <v>4.2000000000000003E-2</v>
      </c>
      <c r="K12" s="227">
        <f>J12*PARÂMETROS!$E$22</f>
        <v>1.7795399999999999</v>
      </c>
      <c r="L12" s="228">
        <v>2E-3</v>
      </c>
      <c r="M12" s="230">
        <f>L12*PARÂMETROS!$E$8</f>
        <v>6.1780000000000002E-2</v>
      </c>
      <c r="N12" s="228">
        <f t="shared" si="1"/>
        <v>8.0000000000000002E-3</v>
      </c>
      <c r="O12" s="230">
        <f>N12*PARÂMETROS!$E$8</f>
        <v>0.24712000000000001</v>
      </c>
      <c r="P12" s="228">
        <f t="shared" si="2"/>
        <v>4.2000000000000006E-3</v>
      </c>
      <c r="Q12" s="230">
        <f>P12*PARÂMETROS!$E$8</f>
        <v>0.12973800000000002</v>
      </c>
      <c r="R12" s="228">
        <f t="shared" si="3"/>
        <v>8.0000000000000004E-4</v>
      </c>
      <c r="S12" s="230">
        <f>R12*PARÂMETROS!$E$8</f>
        <v>2.4712000000000001E-2</v>
      </c>
      <c r="T12" s="231">
        <v>0.92</v>
      </c>
      <c r="U12" s="230">
        <f>T12*PARÂMETROS!$E$27</f>
        <v>2.7600000000000002</v>
      </c>
      <c r="V12" s="228">
        <v>8.0000000000000002E-3</v>
      </c>
      <c r="W12" s="230">
        <f>V12*PARÂMETROS!$E$8</f>
        <v>0.24712000000000001</v>
      </c>
      <c r="X12" s="229">
        <v>4.2000000000000002E-4</v>
      </c>
      <c r="Y12" s="230">
        <f>X12*PARÂMETROS!$E$8</f>
        <v>1.2973800000000001E-2</v>
      </c>
      <c r="Z12" s="23"/>
      <c r="AA12" s="232" t="s">
        <v>1390</v>
      </c>
      <c r="AB12" s="264">
        <f t="shared" si="4"/>
        <v>76.340803800000003</v>
      </c>
      <c r="AC12" s="23"/>
      <c r="AD12" s="224" t="s">
        <v>41</v>
      </c>
      <c r="AE12" s="291">
        <f>PARÂMETROS!$H$3</f>
        <v>40</v>
      </c>
      <c r="AF12" s="267">
        <v>2.1527777777777798E-2</v>
      </c>
      <c r="AG12" s="267">
        <v>6.9444444444444397E-3</v>
      </c>
      <c r="AH12" s="267">
        <v>1.38888888888889E-2</v>
      </c>
      <c r="AI12" s="267"/>
      <c r="AJ12" s="267">
        <v>2.0833333333333301E-2</v>
      </c>
      <c r="AK12" s="267">
        <v>6.9444444444444397E-3</v>
      </c>
      <c r="AL12" s="267">
        <v>3.125E-2</v>
      </c>
      <c r="AM12" s="271">
        <v>2</v>
      </c>
      <c r="AN12" s="292">
        <f t="shared" si="5"/>
        <v>0.10138888888888888</v>
      </c>
      <c r="AO12" s="291">
        <f t="shared" si="6"/>
        <v>97.333333333333329</v>
      </c>
      <c r="AP12" s="272">
        <f t="shared" si="7"/>
        <v>48.666666666666664</v>
      </c>
      <c r="AR12" s="273">
        <f t="shared" si="8"/>
        <v>76.340803800000003</v>
      </c>
      <c r="AS12" s="274">
        <f t="shared" si="9"/>
        <v>48.666666666666664</v>
      </c>
      <c r="AT12" s="275">
        <v>2</v>
      </c>
      <c r="AU12" s="276">
        <f t="shared" si="10"/>
        <v>24.333333333333332</v>
      </c>
      <c r="AV12" s="293">
        <f t="shared" si="11"/>
        <v>100.67413713333333</v>
      </c>
      <c r="AW12" s="180">
        <v>80</v>
      </c>
      <c r="AX12" s="180">
        <f t="shared" si="12"/>
        <v>180.67413713333332</v>
      </c>
      <c r="AY12" s="275">
        <v>2</v>
      </c>
    </row>
    <row r="13" spans="1:56" ht="27" customHeight="1" x14ac:dyDescent="0.3">
      <c r="A13" s="224" t="s">
        <v>43</v>
      </c>
      <c r="B13" s="225" t="s">
        <v>1384</v>
      </c>
      <c r="C13" s="228">
        <v>2.774</v>
      </c>
      <c r="D13" s="263">
        <f>C13*D5</f>
        <v>54.342660000000002</v>
      </c>
      <c r="E13" s="228">
        <v>1.248</v>
      </c>
      <c r="F13" s="263">
        <f>E13*F5</f>
        <v>24.448319999999999</v>
      </c>
      <c r="G13" s="227">
        <f t="shared" si="0"/>
        <v>78.790980000000005</v>
      </c>
      <c r="H13" s="228">
        <v>1</v>
      </c>
      <c r="I13" s="227">
        <f>H13*PARÂMETROS!$E$22</f>
        <v>42.37</v>
      </c>
      <c r="J13" s="228">
        <v>6.5000000000000002E-2</v>
      </c>
      <c r="K13" s="227">
        <f>J13*PARÂMETROS!$E$22</f>
        <v>2.7540499999999999</v>
      </c>
      <c r="L13" s="228">
        <v>2E-3</v>
      </c>
      <c r="M13" s="230">
        <f>L13*PARÂMETROS!$E$8</f>
        <v>6.1780000000000002E-2</v>
      </c>
      <c r="N13" s="228">
        <f t="shared" si="1"/>
        <v>0.01</v>
      </c>
      <c r="O13" s="230">
        <f>N13*PARÂMETROS!$E$8</f>
        <v>0.30890000000000001</v>
      </c>
      <c r="P13" s="228">
        <f t="shared" si="2"/>
        <v>6.5000000000000006E-3</v>
      </c>
      <c r="Q13" s="230">
        <f>P13*PARÂMETROS!$E$8</f>
        <v>0.20078500000000002</v>
      </c>
      <c r="R13" s="228">
        <f t="shared" si="3"/>
        <v>1E-3</v>
      </c>
      <c r="S13" s="230">
        <f>R13*PARÂMETROS!$E$8</f>
        <v>3.0890000000000001E-2</v>
      </c>
      <c r="T13" s="231">
        <v>1.02</v>
      </c>
      <c r="U13" s="230">
        <f>T13*PARÂMETROS!$E$27</f>
        <v>3.06</v>
      </c>
      <c r="V13" s="228">
        <v>0.01</v>
      </c>
      <c r="W13" s="230">
        <f>V13*PARÂMETROS!$E$8</f>
        <v>0.30890000000000001</v>
      </c>
      <c r="X13" s="228">
        <v>6.4999999999999997E-4</v>
      </c>
      <c r="Y13" s="230">
        <f>X13*PARÂMETROS!$E$8</f>
        <v>2.0078499999999999E-2</v>
      </c>
      <c r="Z13" s="23"/>
      <c r="AA13" s="232" t="s">
        <v>1391</v>
      </c>
      <c r="AB13" s="264">
        <f t="shared" si="4"/>
        <v>127.90636349999998</v>
      </c>
      <c r="AC13" s="23"/>
      <c r="AD13" s="224" t="s">
        <v>43</v>
      </c>
      <c r="AE13" s="291">
        <f>PARÂMETROS!$H$3</f>
        <v>40</v>
      </c>
      <c r="AF13" s="267">
        <v>2.1527777777777798E-2</v>
      </c>
      <c r="AG13" s="267">
        <v>1.0416666666666701E-2</v>
      </c>
      <c r="AH13" s="267">
        <v>1.38888888888889E-2</v>
      </c>
      <c r="AI13" s="267">
        <v>6.9444444444444397E-3</v>
      </c>
      <c r="AJ13" s="267">
        <v>2.0833333333333301E-2</v>
      </c>
      <c r="AK13" s="267">
        <v>6.9444444444444397E-3</v>
      </c>
      <c r="AL13" s="267">
        <v>3.125E-2</v>
      </c>
      <c r="AM13" s="271">
        <v>2</v>
      </c>
      <c r="AN13" s="292">
        <f t="shared" si="5"/>
        <v>0.11180555555555557</v>
      </c>
      <c r="AO13" s="291">
        <f t="shared" si="6"/>
        <v>107.33333333333336</v>
      </c>
      <c r="AP13" s="272">
        <f t="shared" si="7"/>
        <v>53.666666666666679</v>
      </c>
      <c r="AR13" s="273">
        <f t="shared" si="8"/>
        <v>127.90636349999998</v>
      </c>
      <c r="AS13" s="274">
        <f t="shared" si="9"/>
        <v>53.666666666666679</v>
      </c>
      <c r="AT13" s="275">
        <v>2</v>
      </c>
      <c r="AU13" s="276">
        <f t="shared" si="10"/>
        <v>26.833333333333339</v>
      </c>
      <c r="AV13" s="293">
        <f t="shared" si="11"/>
        <v>154.73969683333331</v>
      </c>
      <c r="AW13" s="180">
        <v>80</v>
      </c>
      <c r="AX13" s="180">
        <f t="shared" si="12"/>
        <v>234.73969683333331</v>
      </c>
      <c r="AY13" s="275">
        <v>2</v>
      </c>
    </row>
    <row r="14" spans="1:56" ht="27" customHeight="1" x14ac:dyDescent="0.3">
      <c r="A14" s="224" t="s">
        <v>45</v>
      </c>
      <c r="B14" s="225" t="s">
        <v>1384</v>
      </c>
      <c r="C14" s="228">
        <v>4.58</v>
      </c>
      <c r="D14" s="263">
        <f>C14*D5</f>
        <v>89.722200000000001</v>
      </c>
      <c r="E14" s="228">
        <v>2.0609999999999999</v>
      </c>
      <c r="F14" s="263">
        <f>E14*F5</f>
        <v>40.374989999999997</v>
      </c>
      <c r="G14" s="227">
        <f t="shared" si="0"/>
        <v>130.09719000000001</v>
      </c>
      <c r="H14" s="228">
        <v>1.4</v>
      </c>
      <c r="I14" s="227">
        <f>H14*PARÂMETROS!$E$22</f>
        <v>59.317999999999991</v>
      </c>
      <c r="J14" s="228">
        <v>9.1999999999999998E-2</v>
      </c>
      <c r="K14" s="227">
        <f>J14*PARÂMETROS!$E$22</f>
        <v>3.8980399999999995</v>
      </c>
      <c r="L14" s="228">
        <v>2E-3</v>
      </c>
      <c r="M14" s="230">
        <f>L14*PARÂMETROS!$E$8</f>
        <v>6.1780000000000002E-2</v>
      </c>
      <c r="N14" s="228">
        <f t="shared" si="1"/>
        <v>1.3999999999999999E-2</v>
      </c>
      <c r="O14" s="230">
        <f>N14*PARÂMETROS!$E$8</f>
        <v>0.43245999999999996</v>
      </c>
      <c r="P14" s="228">
        <f t="shared" si="2"/>
        <v>9.1999999999999998E-3</v>
      </c>
      <c r="Q14" s="230">
        <f>P14*PARÂMETROS!$E$8</f>
        <v>0.284188</v>
      </c>
      <c r="R14" s="228">
        <f t="shared" si="3"/>
        <v>1.4E-3</v>
      </c>
      <c r="S14" s="230">
        <f>R14*PARÂMETROS!$E$8</f>
        <v>4.3246E-2</v>
      </c>
      <c r="T14" s="231">
        <v>1.1200000000000001</v>
      </c>
      <c r="U14" s="230">
        <f>T14*PARÂMETROS!$E$27</f>
        <v>3.3600000000000003</v>
      </c>
      <c r="V14" s="228">
        <v>1.4E-2</v>
      </c>
      <c r="W14" s="230">
        <f>V14*PARÂMETROS!$E$8</f>
        <v>0.43246000000000001</v>
      </c>
      <c r="X14" s="228">
        <v>9.2000000000000003E-4</v>
      </c>
      <c r="Y14" s="230">
        <f>X14*PARÂMETROS!$E$8</f>
        <v>2.8418800000000001E-2</v>
      </c>
      <c r="Z14" s="23"/>
      <c r="AA14" s="232" t="s">
        <v>1392</v>
      </c>
      <c r="AB14" s="264">
        <f t="shared" si="4"/>
        <v>197.95578280000001</v>
      </c>
      <c r="AC14" s="23"/>
      <c r="AD14" s="224" t="s">
        <v>45</v>
      </c>
      <c r="AE14" s="291">
        <f>PARÂMETROS!$H$3</f>
        <v>40</v>
      </c>
      <c r="AF14" s="267">
        <v>2.1527777777777798E-2</v>
      </c>
      <c r="AG14" s="267">
        <v>1.0416666666666701E-2</v>
      </c>
      <c r="AH14" s="267">
        <v>1.38888888888889E-2</v>
      </c>
      <c r="AI14" s="267">
        <v>6.9444444444444397E-3</v>
      </c>
      <c r="AJ14" s="267">
        <v>2.0833333333333301E-2</v>
      </c>
      <c r="AK14" s="267">
        <v>6.9444444444444397E-3</v>
      </c>
      <c r="AL14" s="267">
        <v>3.125E-2</v>
      </c>
      <c r="AM14" s="271">
        <v>2</v>
      </c>
      <c r="AN14" s="292">
        <f t="shared" si="5"/>
        <v>0.11180555555555557</v>
      </c>
      <c r="AO14" s="291">
        <f t="shared" si="6"/>
        <v>107.33333333333336</v>
      </c>
      <c r="AP14" s="272">
        <f t="shared" si="7"/>
        <v>53.666666666666679</v>
      </c>
      <c r="AR14" s="273">
        <f t="shared" si="8"/>
        <v>197.95578280000001</v>
      </c>
      <c r="AS14" s="274">
        <f t="shared" si="9"/>
        <v>53.666666666666679</v>
      </c>
      <c r="AT14" s="275">
        <v>2</v>
      </c>
      <c r="AU14" s="276">
        <f t="shared" si="10"/>
        <v>26.833333333333339</v>
      </c>
      <c r="AV14" s="293">
        <f t="shared" si="11"/>
        <v>224.78911613333335</v>
      </c>
      <c r="AW14" s="180">
        <v>80</v>
      </c>
      <c r="AX14" s="180">
        <f t="shared" si="12"/>
        <v>304.78911613333332</v>
      </c>
      <c r="AY14" s="275">
        <v>2</v>
      </c>
    </row>
    <row r="15" spans="1:56" ht="27" customHeight="1" x14ac:dyDescent="0.3">
      <c r="A15" s="224" t="s">
        <v>47</v>
      </c>
      <c r="B15" s="225" t="s">
        <v>1384</v>
      </c>
      <c r="C15" s="228">
        <v>6.7759999999999998</v>
      </c>
      <c r="D15" s="263">
        <f>C15*D5</f>
        <v>132.74184</v>
      </c>
      <c r="E15" s="228">
        <v>3.0489999999999999</v>
      </c>
      <c r="F15" s="263">
        <f>E15*F5</f>
        <v>59.729909999999997</v>
      </c>
      <c r="G15" s="227">
        <f t="shared" si="0"/>
        <v>192.47174999999999</v>
      </c>
      <c r="H15" s="228">
        <v>1.8</v>
      </c>
      <c r="I15" s="227">
        <f>H15*PARÂMETROS!$E$22</f>
        <v>76.265999999999991</v>
      </c>
      <c r="J15" s="228">
        <v>0.124</v>
      </c>
      <c r="K15" s="227">
        <f>J15*PARÂMETROS!$E$22</f>
        <v>5.2538799999999997</v>
      </c>
      <c r="L15" s="228">
        <v>2E-3</v>
      </c>
      <c r="M15" s="230">
        <f>L15*PARÂMETROS!$E$8</f>
        <v>6.1780000000000002E-2</v>
      </c>
      <c r="N15" s="228">
        <f t="shared" si="1"/>
        <v>1.8000000000000002E-2</v>
      </c>
      <c r="O15" s="230">
        <f>N15*PARÂMETROS!$E$8</f>
        <v>0.55602000000000007</v>
      </c>
      <c r="P15" s="228">
        <f t="shared" si="2"/>
        <v>1.2400000000000001E-2</v>
      </c>
      <c r="Q15" s="230">
        <f>P15*PARÂMETROS!$E$8</f>
        <v>0.38303600000000004</v>
      </c>
      <c r="R15" s="228">
        <f t="shared" si="3"/>
        <v>1.8000000000000004E-3</v>
      </c>
      <c r="S15" s="230">
        <f>R15*PARÂMETROS!$E$8</f>
        <v>5.5602000000000013E-2</v>
      </c>
      <c r="T15" s="231">
        <v>1.22</v>
      </c>
      <c r="U15" s="230">
        <f>T15*PARÂMETROS!$E$27</f>
        <v>3.66</v>
      </c>
      <c r="V15" s="228">
        <v>1.7999999999999999E-2</v>
      </c>
      <c r="W15" s="230">
        <f>V15*PARÂMETROS!$E$8</f>
        <v>0.55601999999999996</v>
      </c>
      <c r="X15" s="228">
        <v>1.24E-3</v>
      </c>
      <c r="Y15" s="230">
        <f>X15*PARÂMETROS!$E$8</f>
        <v>3.83036E-2</v>
      </c>
      <c r="Z15" s="23"/>
      <c r="AA15" s="232" t="s">
        <v>1393</v>
      </c>
      <c r="AB15" s="264">
        <f t="shared" si="4"/>
        <v>279.30239159999996</v>
      </c>
      <c r="AC15" s="23"/>
      <c r="AD15" s="224" t="s">
        <v>47</v>
      </c>
      <c r="AE15" s="291">
        <f>PARÂMETROS!$H$3</f>
        <v>40</v>
      </c>
      <c r="AF15" s="267">
        <v>2.1527777777777798E-2</v>
      </c>
      <c r="AG15" s="267">
        <v>1.0416666666666701E-2</v>
      </c>
      <c r="AH15" s="267">
        <v>1.38888888888889E-2</v>
      </c>
      <c r="AI15" s="267">
        <v>6.9444444444444397E-3</v>
      </c>
      <c r="AJ15" s="267">
        <v>2.0833333333333301E-2</v>
      </c>
      <c r="AK15" s="267">
        <v>6.9444444444444397E-3</v>
      </c>
      <c r="AL15" s="267">
        <v>3.125E-2</v>
      </c>
      <c r="AM15" s="271">
        <v>1</v>
      </c>
      <c r="AN15" s="292">
        <f t="shared" si="5"/>
        <v>0.11180555555555557</v>
      </c>
      <c r="AO15" s="291">
        <f t="shared" si="6"/>
        <v>107.33333333333336</v>
      </c>
      <c r="AP15" s="272">
        <f t="shared" si="7"/>
        <v>107.33333333333336</v>
      </c>
      <c r="AR15" s="273">
        <f t="shared" si="8"/>
        <v>279.30239159999996</v>
      </c>
      <c r="AS15" s="274">
        <f t="shared" si="9"/>
        <v>107.33333333333336</v>
      </c>
      <c r="AT15" s="275">
        <v>2</v>
      </c>
      <c r="AU15" s="276">
        <f t="shared" si="10"/>
        <v>53.666666666666679</v>
      </c>
      <c r="AV15" s="293">
        <f t="shared" si="11"/>
        <v>332.96905826666665</v>
      </c>
      <c r="AW15" s="180">
        <v>80</v>
      </c>
      <c r="AX15" s="180">
        <f t="shared" si="12"/>
        <v>412.96905826666665</v>
      </c>
      <c r="AY15" s="275">
        <v>2</v>
      </c>
    </row>
    <row r="16" spans="1:56" ht="27" customHeight="1" x14ac:dyDescent="0.3">
      <c r="A16" s="224" t="s">
        <v>222</v>
      </c>
      <c r="B16" s="225" t="s">
        <v>1384</v>
      </c>
      <c r="C16" s="228">
        <v>9</v>
      </c>
      <c r="D16" s="263">
        <f>C16*D5</f>
        <v>176.31</v>
      </c>
      <c r="E16" s="228">
        <v>4.05</v>
      </c>
      <c r="F16" s="263">
        <f>E16*F5</f>
        <v>79.339500000000001</v>
      </c>
      <c r="G16" s="227">
        <f t="shared" si="0"/>
        <v>255.64949999999999</v>
      </c>
      <c r="H16" s="228">
        <v>2.5</v>
      </c>
      <c r="I16" s="227">
        <f>H16*PARÂMETROS!$E$22</f>
        <v>105.925</v>
      </c>
      <c r="J16" s="228">
        <v>0.161</v>
      </c>
      <c r="K16" s="227">
        <f>J16*PARÂMETROS!$E$22</f>
        <v>6.8215699999999995</v>
      </c>
      <c r="L16" s="228">
        <v>2E-3</v>
      </c>
      <c r="M16" s="230">
        <f>L16*PARÂMETROS!$E$8</f>
        <v>6.1780000000000002E-2</v>
      </c>
      <c r="N16" s="228">
        <f t="shared" si="1"/>
        <v>2.5000000000000001E-2</v>
      </c>
      <c r="O16" s="230">
        <f>N16*PARÂMETROS!$E$8</f>
        <v>0.7722500000000001</v>
      </c>
      <c r="P16" s="228">
        <f t="shared" si="2"/>
        <v>1.61E-2</v>
      </c>
      <c r="Q16" s="230">
        <f>P16*PARÂMETROS!$E$8</f>
        <v>0.49732900000000002</v>
      </c>
      <c r="R16" s="228">
        <f t="shared" si="3"/>
        <v>2.5000000000000005E-3</v>
      </c>
      <c r="S16" s="230">
        <f>R16*PARÂMETROS!$E$8</f>
        <v>7.7225000000000016E-2</v>
      </c>
      <c r="T16" s="231">
        <v>1.31</v>
      </c>
      <c r="U16" s="230">
        <f>T16*PARÂMETROS!$E$27</f>
        <v>3.93</v>
      </c>
      <c r="V16" s="228">
        <v>2.5000000000000001E-2</v>
      </c>
      <c r="W16" s="230">
        <f>V16*PARÂMETROS!$E$8</f>
        <v>0.7722500000000001</v>
      </c>
      <c r="X16" s="228">
        <v>1.6100000000000001E-3</v>
      </c>
      <c r="Y16" s="230">
        <f>X16*PARÂMETROS!$E$8</f>
        <v>4.9732900000000003E-2</v>
      </c>
      <c r="Z16" s="23"/>
      <c r="AA16" s="232" t="s">
        <v>1394</v>
      </c>
      <c r="AB16" s="264">
        <f t="shared" si="4"/>
        <v>374.55663689999994</v>
      </c>
      <c r="AC16" s="23"/>
      <c r="AD16" s="224" t="s">
        <v>222</v>
      </c>
      <c r="AE16" s="291">
        <f>PARÂMETROS!$H$3</f>
        <v>40</v>
      </c>
      <c r="AF16" s="267">
        <v>2.1527777777777798E-2</v>
      </c>
      <c r="AG16" s="267">
        <v>1.38888888888889E-2</v>
      </c>
      <c r="AH16" s="267">
        <v>1.38888888888889E-2</v>
      </c>
      <c r="AI16" s="267">
        <v>6.9444444444444397E-3</v>
      </c>
      <c r="AJ16" s="267">
        <v>2.0833333333333301E-2</v>
      </c>
      <c r="AK16" s="267">
        <v>6.9444444444444397E-3</v>
      </c>
      <c r="AL16" s="267">
        <v>3.125E-2</v>
      </c>
      <c r="AM16" s="271">
        <v>1</v>
      </c>
      <c r="AN16" s="292">
        <f t="shared" si="5"/>
        <v>0.11527777777777777</v>
      </c>
      <c r="AO16" s="291">
        <f t="shared" si="6"/>
        <v>110.66666666666666</v>
      </c>
      <c r="AP16" s="272">
        <f t="shared" si="7"/>
        <v>110.66666666666666</v>
      </c>
      <c r="AR16" s="273">
        <f t="shared" si="8"/>
        <v>374.55663689999994</v>
      </c>
      <c r="AS16" s="274">
        <f t="shared" si="9"/>
        <v>110.66666666666666</v>
      </c>
      <c r="AT16" s="275">
        <v>1</v>
      </c>
      <c r="AU16" s="276">
        <f t="shared" si="10"/>
        <v>110.66666666666666</v>
      </c>
      <c r="AV16" s="293">
        <f t="shared" si="11"/>
        <v>485.22330356666657</v>
      </c>
      <c r="AW16" s="180">
        <v>80</v>
      </c>
      <c r="AX16" s="180">
        <f t="shared" si="12"/>
        <v>565.22330356666657</v>
      </c>
      <c r="AY16" s="275">
        <v>1</v>
      </c>
    </row>
    <row r="17" spans="1:51" ht="27" customHeight="1" x14ac:dyDescent="0.3">
      <c r="A17" s="224" t="s">
        <v>226</v>
      </c>
      <c r="B17" s="225" t="s">
        <v>1384</v>
      </c>
      <c r="C17" s="228">
        <v>15.164</v>
      </c>
      <c r="D17" s="263">
        <f>C17*D5</f>
        <v>297.06275999999997</v>
      </c>
      <c r="E17" s="228">
        <v>6.8239999999999998</v>
      </c>
      <c r="F17" s="263">
        <f>E17*F5</f>
        <v>133.68215999999998</v>
      </c>
      <c r="G17" s="227">
        <f t="shared" si="0"/>
        <v>430.74491999999998</v>
      </c>
      <c r="H17" s="228">
        <v>3</v>
      </c>
      <c r="I17" s="227">
        <f>H17*PARÂMETROS!$E$22</f>
        <v>127.10999999999999</v>
      </c>
      <c r="J17" s="228">
        <v>0.19400000000000001</v>
      </c>
      <c r="K17" s="227">
        <f>J17*PARÂMETROS!$E$22</f>
        <v>8.2197800000000001</v>
      </c>
      <c r="L17" s="228">
        <v>2E-3</v>
      </c>
      <c r="M17" s="230">
        <f>L17*PARÂMETROS!$E$8</f>
        <v>6.1780000000000002E-2</v>
      </c>
      <c r="N17" s="228">
        <f t="shared" si="1"/>
        <v>0.03</v>
      </c>
      <c r="O17" s="230">
        <f>N17*PARÂMETROS!$E$8</f>
        <v>0.92669999999999997</v>
      </c>
      <c r="P17" s="228">
        <f t="shared" si="2"/>
        <v>1.9400000000000001E-2</v>
      </c>
      <c r="Q17" s="230">
        <f>P17*PARÂMETROS!$E$8</f>
        <v>0.59926600000000008</v>
      </c>
      <c r="R17" s="228">
        <f t="shared" si="3"/>
        <v>3.0000000000000001E-3</v>
      </c>
      <c r="S17" s="230">
        <f>R17*PARÂMETROS!$E$8</f>
        <v>9.2670000000000002E-2</v>
      </c>
      <c r="T17" s="231">
        <v>1.4</v>
      </c>
      <c r="U17" s="230">
        <f>T17*PARÂMETROS!$E$27</f>
        <v>4.1999999999999993</v>
      </c>
      <c r="V17" s="228">
        <v>0.03</v>
      </c>
      <c r="W17" s="230">
        <f>V17*PARÂMETROS!$E$8</f>
        <v>0.92669999999999997</v>
      </c>
      <c r="X17" s="228">
        <v>1.9400000000000001E-3</v>
      </c>
      <c r="Y17" s="230">
        <f>X17*PARÂMETROS!$E$8</f>
        <v>5.9926600000000003E-2</v>
      </c>
      <c r="Z17" s="23"/>
      <c r="AA17" s="232" t="s">
        <v>1395</v>
      </c>
      <c r="AB17" s="264">
        <f t="shared" si="4"/>
        <v>572.9417426</v>
      </c>
      <c r="AC17" s="23"/>
      <c r="AD17" s="224" t="s">
        <v>226</v>
      </c>
      <c r="AE17" s="291">
        <f>PARÂMETROS!$H$3</f>
        <v>40</v>
      </c>
      <c r="AF17" s="267">
        <v>2.1527777777777798E-2</v>
      </c>
      <c r="AG17" s="267">
        <v>1.38888888888889E-2</v>
      </c>
      <c r="AH17" s="267">
        <v>1.38888888888889E-2</v>
      </c>
      <c r="AI17" s="267">
        <v>6.9444444444444397E-3</v>
      </c>
      <c r="AJ17" s="267">
        <v>2.0833333333333301E-2</v>
      </c>
      <c r="AK17" s="267">
        <v>6.9444444444444397E-3</v>
      </c>
      <c r="AL17" s="267">
        <v>3.125E-2</v>
      </c>
      <c r="AM17" s="271">
        <v>1</v>
      </c>
      <c r="AN17" s="292">
        <f t="shared" si="5"/>
        <v>0.11527777777777777</v>
      </c>
      <c r="AO17" s="291">
        <f t="shared" si="6"/>
        <v>110.66666666666666</v>
      </c>
      <c r="AP17" s="272">
        <f t="shared" si="7"/>
        <v>110.66666666666666</v>
      </c>
      <c r="AR17" s="273">
        <f t="shared" si="8"/>
        <v>572.9417426</v>
      </c>
      <c r="AS17" s="274">
        <f t="shared" si="9"/>
        <v>110.66666666666666</v>
      </c>
      <c r="AT17" s="275">
        <v>1</v>
      </c>
      <c r="AU17" s="276">
        <f t="shared" si="10"/>
        <v>110.66666666666666</v>
      </c>
      <c r="AV17" s="293">
        <f t="shared" si="11"/>
        <v>683.60840926666663</v>
      </c>
      <c r="AW17" s="180">
        <v>80</v>
      </c>
      <c r="AX17" s="180">
        <f t="shared" si="12"/>
        <v>763.60840926666663</v>
      </c>
      <c r="AY17" s="275">
        <v>1</v>
      </c>
    </row>
    <row r="18" spans="1:51" ht="27" customHeight="1" x14ac:dyDescent="0.3">
      <c r="A18" s="224" t="s">
        <v>230</v>
      </c>
      <c r="B18" s="225" t="s">
        <v>1384</v>
      </c>
      <c r="C18" s="228">
        <v>21</v>
      </c>
      <c r="D18" s="263">
        <f>C18*D5</f>
        <v>411.39</v>
      </c>
      <c r="E18" s="228">
        <v>9.4</v>
      </c>
      <c r="F18" s="263">
        <f>E18*F5</f>
        <v>184.14600000000002</v>
      </c>
      <c r="G18" s="227">
        <f t="shared" si="0"/>
        <v>595.53600000000006</v>
      </c>
      <c r="H18" s="228">
        <v>3.4</v>
      </c>
      <c r="I18" s="227">
        <f>H18*PARÂMETROS!$E$22</f>
        <v>144.05799999999999</v>
      </c>
      <c r="J18" s="228">
        <v>0.25</v>
      </c>
      <c r="K18" s="227">
        <f>J18*PARÂMETROS!$E$22</f>
        <v>10.592499999999999</v>
      </c>
      <c r="L18" s="228">
        <v>2E-3</v>
      </c>
      <c r="M18" s="230">
        <f>L18*PARÂMETROS!$E$8</f>
        <v>6.1780000000000002E-2</v>
      </c>
      <c r="N18" s="228">
        <f t="shared" si="1"/>
        <v>3.4000000000000002E-2</v>
      </c>
      <c r="O18" s="230">
        <f>N18*PARÂMETROS!$E$8</f>
        <v>1.0502600000000002</v>
      </c>
      <c r="P18" s="228">
        <f t="shared" si="2"/>
        <v>2.5000000000000001E-2</v>
      </c>
      <c r="Q18" s="230">
        <f>P18*PARÂMETROS!$E$8</f>
        <v>0.7722500000000001</v>
      </c>
      <c r="R18" s="228">
        <f t="shared" si="3"/>
        <v>3.4000000000000002E-3</v>
      </c>
      <c r="S18" s="230">
        <f>R18*PARÂMETROS!$E$8</f>
        <v>0.10502600000000001</v>
      </c>
      <c r="T18" s="231">
        <v>1.52</v>
      </c>
      <c r="U18" s="230">
        <f>T18*PARÂMETROS!$E$27</f>
        <v>4.5600000000000005</v>
      </c>
      <c r="V18" s="228">
        <v>3.4000000000000002E-2</v>
      </c>
      <c r="W18" s="230">
        <f>V18*PARÂMETROS!$E$8</f>
        <v>1.0502600000000002</v>
      </c>
      <c r="X18" s="228">
        <v>2.5000000000000001E-3</v>
      </c>
      <c r="Y18" s="230">
        <f>X18*PARÂMETROS!$E$8</f>
        <v>7.7225000000000002E-2</v>
      </c>
      <c r="Z18" s="23"/>
      <c r="AA18" s="232" t="s">
        <v>1396</v>
      </c>
      <c r="AB18" s="264">
        <f t="shared" si="4"/>
        <v>757.86330100000009</v>
      </c>
      <c r="AC18" s="23"/>
      <c r="AD18" s="224" t="s">
        <v>230</v>
      </c>
      <c r="AE18" s="291">
        <f>PARÂMETROS!$H$3</f>
        <v>40</v>
      </c>
      <c r="AF18" s="267">
        <v>2.1527777777777798E-2</v>
      </c>
      <c r="AG18" s="267">
        <v>1.38888888888889E-2</v>
      </c>
      <c r="AH18" s="267">
        <v>2.0833333333333301E-2</v>
      </c>
      <c r="AI18" s="267">
        <v>6.9444444444444397E-3</v>
      </c>
      <c r="AJ18" s="267">
        <v>2.0833333333333301E-2</v>
      </c>
      <c r="AK18" s="267">
        <v>6.9444444444444397E-3</v>
      </c>
      <c r="AL18" s="267">
        <v>3.125E-2</v>
      </c>
      <c r="AM18" s="271">
        <v>1</v>
      </c>
      <c r="AN18" s="292">
        <f t="shared" si="5"/>
        <v>0.12222222222222218</v>
      </c>
      <c r="AO18" s="291">
        <f t="shared" si="6"/>
        <v>117.3333333333333</v>
      </c>
      <c r="AP18" s="272">
        <f t="shared" si="7"/>
        <v>117.3333333333333</v>
      </c>
      <c r="AR18" s="273">
        <f t="shared" si="8"/>
        <v>757.86330100000009</v>
      </c>
      <c r="AS18" s="274">
        <f t="shared" si="9"/>
        <v>117.3333333333333</v>
      </c>
      <c r="AT18" s="275">
        <v>1</v>
      </c>
      <c r="AU18" s="276">
        <f t="shared" si="10"/>
        <v>117.3333333333333</v>
      </c>
      <c r="AV18" s="293">
        <f t="shared" si="11"/>
        <v>875.19663433333335</v>
      </c>
      <c r="AW18" s="180">
        <v>80</v>
      </c>
      <c r="AX18" s="180">
        <f t="shared" si="12"/>
        <v>955.19663433333335</v>
      </c>
      <c r="AY18" s="275">
        <v>1</v>
      </c>
    </row>
    <row r="19" spans="1:51" ht="27" customHeight="1" x14ac:dyDescent="0.3">
      <c r="A19" s="224" t="s">
        <v>234</v>
      </c>
      <c r="B19" s="225" t="s">
        <v>1384</v>
      </c>
      <c r="C19" s="228">
        <v>30</v>
      </c>
      <c r="D19" s="263">
        <f>C19*D5</f>
        <v>587.70000000000005</v>
      </c>
      <c r="E19" s="228">
        <v>13.5</v>
      </c>
      <c r="F19" s="263">
        <f>E19*F5</f>
        <v>264.46499999999997</v>
      </c>
      <c r="G19" s="227">
        <f t="shared" si="0"/>
        <v>852.16499999999996</v>
      </c>
      <c r="H19" s="228">
        <v>3.9</v>
      </c>
      <c r="I19" s="227">
        <f>H19*PARÂMETROS!$E$22</f>
        <v>165.24299999999999</v>
      </c>
      <c r="J19" s="228">
        <v>0.30099999999999999</v>
      </c>
      <c r="K19" s="227">
        <f>J19*PARÂMETROS!$E$22</f>
        <v>12.753369999999999</v>
      </c>
      <c r="L19" s="228">
        <v>2E-3</v>
      </c>
      <c r="M19" s="230">
        <f>L19*PARÂMETROS!$E$8</f>
        <v>6.1780000000000002E-2</v>
      </c>
      <c r="N19" s="228">
        <f t="shared" si="1"/>
        <v>3.9E-2</v>
      </c>
      <c r="O19" s="230">
        <f>N19*PARÂMETROS!$E$8</f>
        <v>1.2047099999999999</v>
      </c>
      <c r="P19" s="228">
        <f t="shared" si="2"/>
        <v>3.0100000000000002E-2</v>
      </c>
      <c r="Q19" s="230">
        <f>P19*PARÂMETROS!$E$8</f>
        <v>0.92978900000000009</v>
      </c>
      <c r="R19" s="228">
        <f t="shared" si="3"/>
        <v>3.9000000000000003E-3</v>
      </c>
      <c r="S19" s="230">
        <f>R19*PARÂMETROS!$E$8</f>
        <v>0.12047100000000001</v>
      </c>
      <c r="T19" s="231">
        <v>1.62</v>
      </c>
      <c r="U19" s="230">
        <f>T19*PARÂMETROS!$E$27</f>
        <v>4.8600000000000003</v>
      </c>
      <c r="V19" s="228">
        <v>3.9E-2</v>
      </c>
      <c r="W19" s="230">
        <f>V19*PARÂMETROS!$E$8</f>
        <v>1.2047099999999999</v>
      </c>
      <c r="X19" s="228">
        <v>3.0100000000000001E-3</v>
      </c>
      <c r="Y19" s="230">
        <f>X19*PARÂMETROS!$E$8</f>
        <v>9.2978900000000003E-2</v>
      </c>
      <c r="Z19" s="23"/>
      <c r="AA19" s="232" t="s">
        <v>1397</v>
      </c>
      <c r="AB19" s="264">
        <f t="shared" si="4"/>
        <v>1038.6358088999998</v>
      </c>
      <c r="AC19" s="23"/>
      <c r="AD19" s="224" t="s">
        <v>234</v>
      </c>
      <c r="AE19" s="291">
        <f>PARÂMETROS!$H$3</f>
        <v>40</v>
      </c>
      <c r="AF19" s="267">
        <v>2.1527777777777798E-2</v>
      </c>
      <c r="AG19" s="267">
        <v>1.7361111111111101E-2</v>
      </c>
      <c r="AH19" s="267">
        <v>2.0833333333333301E-2</v>
      </c>
      <c r="AI19" s="267">
        <v>6.9444444444444397E-3</v>
      </c>
      <c r="AJ19" s="267">
        <v>2.0833333333333301E-2</v>
      </c>
      <c r="AK19" s="267">
        <v>6.9444444444444397E-3</v>
      </c>
      <c r="AL19" s="267">
        <v>3.125E-2</v>
      </c>
      <c r="AM19" s="271">
        <v>1</v>
      </c>
      <c r="AN19" s="292">
        <f t="shared" si="5"/>
        <v>0.12569444444444439</v>
      </c>
      <c r="AO19" s="291">
        <f t="shared" si="6"/>
        <v>120.6666666666666</v>
      </c>
      <c r="AP19" s="272">
        <f t="shared" si="7"/>
        <v>120.6666666666666</v>
      </c>
      <c r="AR19" s="273">
        <f t="shared" si="8"/>
        <v>1038.6358088999998</v>
      </c>
      <c r="AS19" s="274">
        <f t="shared" si="9"/>
        <v>120.6666666666666</v>
      </c>
      <c r="AT19" s="275">
        <v>1</v>
      </c>
      <c r="AU19" s="276">
        <f t="shared" si="10"/>
        <v>120.6666666666666</v>
      </c>
      <c r="AV19" s="293">
        <f t="shared" si="11"/>
        <v>1159.3024755666663</v>
      </c>
      <c r="AW19" s="180">
        <v>80</v>
      </c>
      <c r="AX19" s="180">
        <f t="shared" si="12"/>
        <v>1239.3024755666663</v>
      </c>
      <c r="AY19" s="275">
        <v>1</v>
      </c>
    </row>
    <row r="20" spans="1:51" ht="27" customHeight="1" x14ac:dyDescent="0.3">
      <c r="A20" s="224" t="s">
        <v>238</v>
      </c>
      <c r="B20" s="225" t="s">
        <v>1384</v>
      </c>
      <c r="C20" s="228">
        <v>34</v>
      </c>
      <c r="D20" s="263">
        <f>C20*D5</f>
        <v>666.06</v>
      </c>
      <c r="E20" s="228">
        <v>15.3</v>
      </c>
      <c r="F20" s="263">
        <f>E20*F5</f>
        <v>299.72700000000003</v>
      </c>
      <c r="G20" s="227">
        <f t="shared" si="0"/>
        <v>965.78700000000003</v>
      </c>
      <c r="H20" s="228">
        <v>4.5</v>
      </c>
      <c r="I20" s="227">
        <f>H20*PARÂMETROS!$E$22</f>
        <v>190.66499999999999</v>
      </c>
      <c r="J20" s="228">
        <v>0.35699999999999998</v>
      </c>
      <c r="K20" s="227">
        <f>J20*PARÂMETROS!$E$22</f>
        <v>15.126089999999998</v>
      </c>
      <c r="L20" s="228">
        <v>2E-3</v>
      </c>
      <c r="M20" s="230">
        <f>L20*PARÂMETROS!$E$8</f>
        <v>6.1780000000000002E-2</v>
      </c>
      <c r="N20" s="228">
        <f t="shared" si="1"/>
        <v>4.4999999999999998E-2</v>
      </c>
      <c r="O20" s="230">
        <f>N20*PARÂMETROS!$E$8</f>
        <v>1.39005</v>
      </c>
      <c r="P20" s="228">
        <f t="shared" si="2"/>
        <v>3.5700000000000003E-2</v>
      </c>
      <c r="Q20" s="230">
        <f>P20*PARÂMETROS!$E$8</f>
        <v>1.102773</v>
      </c>
      <c r="R20" s="228">
        <f t="shared" si="3"/>
        <v>4.4999999999999997E-3</v>
      </c>
      <c r="S20" s="230">
        <f>R20*PARÂMETROS!$E$8</f>
        <v>0.13900499999999999</v>
      </c>
      <c r="T20" s="231">
        <v>1.72</v>
      </c>
      <c r="U20" s="230">
        <f>T20*PARÂMETROS!$E$27</f>
        <v>5.16</v>
      </c>
      <c r="V20" s="228">
        <v>4.4999999999999998E-2</v>
      </c>
      <c r="W20" s="230">
        <f>V20*PARÂMETROS!$E$8</f>
        <v>1.39005</v>
      </c>
      <c r="X20" s="228">
        <v>3.5699999999999998E-3</v>
      </c>
      <c r="Y20" s="230">
        <f>X20*PARÂMETROS!$E$8</f>
        <v>0.11027729999999999</v>
      </c>
      <c r="Z20" s="23"/>
      <c r="AA20" s="232" t="s">
        <v>1398</v>
      </c>
      <c r="AB20" s="264">
        <f t="shared" si="4"/>
        <v>1180.9320253000001</v>
      </c>
      <c r="AC20" s="23"/>
      <c r="AD20" s="224" t="s">
        <v>238</v>
      </c>
      <c r="AE20" s="291">
        <f>PARÂMETROS!$H$3</f>
        <v>40</v>
      </c>
      <c r="AF20" s="267">
        <v>4.1666666666666699E-2</v>
      </c>
      <c r="AG20" s="267">
        <v>1.7361111111111101E-2</v>
      </c>
      <c r="AH20" s="267">
        <v>2.0833333333333301E-2</v>
      </c>
      <c r="AI20" s="267">
        <v>6.9444444444444397E-3</v>
      </c>
      <c r="AJ20" s="267">
        <v>2.0833333333333301E-2</v>
      </c>
      <c r="AK20" s="267">
        <v>6.9444444444444397E-3</v>
      </c>
      <c r="AL20" s="267">
        <v>3.125E-2</v>
      </c>
      <c r="AM20" s="271">
        <v>1</v>
      </c>
      <c r="AN20" s="292">
        <f t="shared" si="5"/>
        <v>0.14583333333333329</v>
      </c>
      <c r="AO20" s="291">
        <f t="shared" si="6"/>
        <v>139.99999999999994</v>
      </c>
      <c r="AP20" s="272">
        <f t="shared" si="7"/>
        <v>139.99999999999994</v>
      </c>
      <c r="AR20" s="273">
        <f t="shared" si="8"/>
        <v>1180.9320253000001</v>
      </c>
      <c r="AS20" s="274">
        <f t="shared" si="9"/>
        <v>139.99999999999994</v>
      </c>
      <c r="AT20" s="275">
        <v>1</v>
      </c>
      <c r="AU20" s="276">
        <f t="shared" si="10"/>
        <v>139.99999999999994</v>
      </c>
      <c r="AV20" s="293">
        <f t="shared" si="11"/>
        <v>1320.9320253000001</v>
      </c>
      <c r="AW20" s="180">
        <v>80</v>
      </c>
      <c r="AX20" s="180">
        <f t="shared" si="12"/>
        <v>1400.9320253000001</v>
      </c>
      <c r="AY20" s="275">
        <v>1</v>
      </c>
    </row>
    <row r="21" spans="1:51" ht="27" customHeight="1" x14ac:dyDescent="0.3">
      <c r="A21" s="224" t="s">
        <v>242</v>
      </c>
      <c r="B21" s="225" t="s">
        <v>1384</v>
      </c>
      <c r="C21" s="228">
        <v>42</v>
      </c>
      <c r="D21" s="263">
        <f>C21*D5</f>
        <v>822.78</v>
      </c>
      <c r="E21" s="228">
        <v>18.899999999999999</v>
      </c>
      <c r="F21" s="263">
        <f>E21*F5</f>
        <v>370.25099999999998</v>
      </c>
      <c r="G21" s="227">
        <f t="shared" si="0"/>
        <v>1193.0309999999999</v>
      </c>
      <c r="H21" s="228">
        <v>5</v>
      </c>
      <c r="I21" s="227">
        <f>H21*PARÂMETROS!$E$22</f>
        <v>211.85</v>
      </c>
      <c r="J21" s="228">
        <v>0.41799999999999998</v>
      </c>
      <c r="K21" s="227">
        <f>J21*PARÂMETROS!$E$22</f>
        <v>17.710659999999997</v>
      </c>
      <c r="L21" s="228">
        <v>2E-3</v>
      </c>
      <c r="M21" s="230">
        <f>L21*PARÂMETROS!$E$8</f>
        <v>6.1780000000000002E-2</v>
      </c>
      <c r="N21" s="228">
        <f t="shared" si="1"/>
        <v>0.05</v>
      </c>
      <c r="O21" s="230">
        <f>N21*PARÂMETROS!$E$8</f>
        <v>1.5445000000000002</v>
      </c>
      <c r="P21" s="228">
        <f t="shared" si="2"/>
        <v>4.1800000000000004E-2</v>
      </c>
      <c r="Q21" s="230">
        <f>P21*PARÂMETROS!$E$8</f>
        <v>1.2912020000000002</v>
      </c>
      <c r="R21" s="228">
        <f t="shared" si="3"/>
        <v>5.000000000000001E-3</v>
      </c>
      <c r="S21" s="230">
        <f>R21*PARÂMETROS!$E$8</f>
        <v>0.15445000000000003</v>
      </c>
      <c r="T21" s="231">
        <v>1.82</v>
      </c>
      <c r="U21" s="230">
        <f>T21*PARÂMETROS!$E$27</f>
        <v>5.46</v>
      </c>
      <c r="V21" s="228">
        <v>0.05</v>
      </c>
      <c r="W21" s="230">
        <f>V21*PARÂMETROS!$E$8</f>
        <v>1.5445000000000002</v>
      </c>
      <c r="X21" s="228">
        <v>4.1799999999999997E-3</v>
      </c>
      <c r="Y21" s="230">
        <f>X21*PARÂMETROS!$E$8</f>
        <v>0.12912019999999999</v>
      </c>
      <c r="Z21" s="23"/>
      <c r="AA21" s="232" t="s">
        <v>1399</v>
      </c>
      <c r="AB21" s="264">
        <f t="shared" si="4"/>
        <v>1432.7772121999999</v>
      </c>
      <c r="AC21" s="23"/>
      <c r="AD21" s="224" t="s">
        <v>242</v>
      </c>
      <c r="AE21" s="291">
        <f>PARÂMETROS!$H$3</f>
        <v>40</v>
      </c>
      <c r="AF21" s="267">
        <v>4.1666666666666699E-2</v>
      </c>
      <c r="AG21" s="267">
        <v>1.7361111111111101E-2</v>
      </c>
      <c r="AH21" s="267">
        <v>2.7777777777777801E-2</v>
      </c>
      <c r="AI21" s="267">
        <v>6.9444444444444397E-3</v>
      </c>
      <c r="AJ21" s="267">
        <v>2.0833333333333301E-2</v>
      </c>
      <c r="AK21" s="267">
        <v>6.9444444444444397E-3</v>
      </c>
      <c r="AL21" s="267">
        <v>3.125E-2</v>
      </c>
      <c r="AM21" s="271">
        <v>1</v>
      </c>
      <c r="AN21" s="292">
        <f t="shared" si="5"/>
        <v>0.15277777777777779</v>
      </c>
      <c r="AO21" s="291">
        <f t="shared" si="6"/>
        <v>146.66666666666669</v>
      </c>
      <c r="AP21" s="272">
        <f t="shared" si="7"/>
        <v>146.66666666666669</v>
      </c>
      <c r="AR21" s="273">
        <f t="shared" si="8"/>
        <v>1432.7772121999999</v>
      </c>
      <c r="AS21" s="274">
        <f t="shared" si="9"/>
        <v>146.66666666666669</v>
      </c>
      <c r="AT21" s="275">
        <v>1</v>
      </c>
      <c r="AU21" s="276">
        <f t="shared" si="10"/>
        <v>146.66666666666669</v>
      </c>
      <c r="AV21" s="293">
        <f t="shared" si="11"/>
        <v>1579.4438788666666</v>
      </c>
      <c r="AW21" s="180">
        <v>80</v>
      </c>
      <c r="AX21" s="180">
        <f t="shared" si="12"/>
        <v>1659.4438788666666</v>
      </c>
      <c r="AY21" s="275">
        <v>1</v>
      </c>
    </row>
    <row r="22" spans="1:51" ht="27" customHeight="1" x14ac:dyDescent="0.3">
      <c r="A22" s="224" t="s">
        <v>246</v>
      </c>
      <c r="B22" s="225" t="s">
        <v>1384</v>
      </c>
      <c r="C22" s="228">
        <v>49</v>
      </c>
      <c r="D22" s="263">
        <f>C22*D5</f>
        <v>959.91</v>
      </c>
      <c r="E22" s="228">
        <v>22.05</v>
      </c>
      <c r="F22" s="263">
        <f>E22*F5</f>
        <v>431.95949999999999</v>
      </c>
      <c r="G22" s="227">
        <f t="shared" si="0"/>
        <v>1391.8695</v>
      </c>
      <c r="H22" s="228">
        <v>5.4</v>
      </c>
      <c r="I22" s="227">
        <f>H22*PARÂMETROS!$E$22</f>
        <v>228.798</v>
      </c>
      <c r="J22" s="228">
        <v>0.498</v>
      </c>
      <c r="K22" s="227">
        <f>J22*PARÂMETROS!$E$22</f>
        <v>21.100259999999999</v>
      </c>
      <c r="L22" s="228">
        <v>2E-3</v>
      </c>
      <c r="M22" s="230">
        <f>L22*PARÂMETROS!$E$8</f>
        <v>6.1780000000000002E-2</v>
      </c>
      <c r="N22" s="228">
        <f t="shared" si="1"/>
        <v>5.4000000000000006E-2</v>
      </c>
      <c r="O22" s="230">
        <f>N22*PARÂMETROS!$E$8</f>
        <v>1.6680600000000003</v>
      </c>
      <c r="P22" s="228">
        <f t="shared" si="2"/>
        <v>4.9800000000000004E-2</v>
      </c>
      <c r="Q22" s="230">
        <f>P22*PARÂMETROS!$E$8</f>
        <v>1.5383220000000002</v>
      </c>
      <c r="R22" s="228">
        <f t="shared" si="3"/>
        <v>5.4000000000000012E-3</v>
      </c>
      <c r="S22" s="230">
        <f>R22*PARÂMETROS!$E$8</f>
        <v>0.16680600000000004</v>
      </c>
      <c r="T22" s="231">
        <v>1.92</v>
      </c>
      <c r="U22" s="230">
        <f>T22*PARÂMETROS!$E$27</f>
        <v>5.76</v>
      </c>
      <c r="V22" s="228">
        <v>5.3999999999999999E-2</v>
      </c>
      <c r="W22" s="230">
        <f>V22*PARÂMETROS!$E$8</f>
        <v>1.6680600000000001</v>
      </c>
      <c r="X22" s="228">
        <v>4.9800000000000001E-3</v>
      </c>
      <c r="Y22" s="230">
        <f>X22*PARÂMETROS!$E$8</f>
        <v>0.1538322</v>
      </c>
      <c r="Z22" s="23"/>
      <c r="AA22" s="232" t="s">
        <v>1400</v>
      </c>
      <c r="AB22" s="264">
        <f t="shared" si="4"/>
        <v>1652.7846201999998</v>
      </c>
      <c r="AC22" s="23"/>
      <c r="AD22" s="224" t="s">
        <v>246</v>
      </c>
      <c r="AE22" s="291">
        <f>PARÂMETROS!$H$3</f>
        <v>40</v>
      </c>
      <c r="AF22" s="267">
        <v>4.1666666666666699E-2</v>
      </c>
      <c r="AG22" s="267">
        <v>1.7361111111111101E-2</v>
      </c>
      <c r="AH22" s="267">
        <v>2.7777777777777801E-2</v>
      </c>
      <c r="AI22" s="267">
        <v>6.9444444444444397E-3</v>
      </c>
      <c r="AJ22" s="267">
        <v>2.0833333333333301E-2</v>
      </c>
      <c r="AK22" s="267">
        <v>6.9444444444444397E-3</v>
      </c>
      <c r="AL22" s="267">
        <v>3.125E-2</v>
      </c>
      <c r="AM22" s="271">
        <v>1</v>
      </c>
      <c r="AN22" s="292">
        <f t="shared" si="5"/>
        <v>0.15277777777777779</v>
      </c>
      <c r="AO22" s="291">
        <f t="shared" si="6"/>
        <v>146.66666666666669</v>
      </c>
      <c r="AP22" s="272">
        <f t="shared" si="7"/>
        <v>146.66666666666669</v>
      </c>
      <c r="AR22" s="273">
        <f t="shared" si="8"/>
        <v>1652.7846201999998</v>
      </c>
      <c r="AS22" s="274">
        <f t="shared" si="9"/>
        <v>146.66666666666669</v>
      </c>
      <c r="AT22" s="275">
        <v>1</v>
      </c>
      <c r="AU22" s="276">
        <f t="shared" si="10"/>
        <v>146.66666666666669</v>
      </c>
      <c r="AV22" s="293">
        <f t="shared" si="11"/>
        <v>1799.4512868666666</v>
      </c>
      <c r="AW22" s="180">
        <v>80</v>
      </c>
      <c r="AX22" s="180">
        <f t="shared" si="12"/>
        <v>1879.4512868666666</v>
      </c>
      <c r="AY22" s="275">
        <v>1</v>
      </c>
    </row>
    <row r="23" spans="1:51" ht="27" customHeight="1" x14ac:dyDescent="0.3">
      <c r="A23" s="224" t="s">
        <v>250</v>
      </c>
      <c r="B23" s="225" t="s">
        <v>1384</v>
      </c>
      <c r="C23" s="228">
        <v>74</v>
      </c>
      <c r="D23" s="263">
        <f>C23*D5</f>
        <v>1449.66</v>
      </c>
      <c r="E23" s="228">
        <v>33.299999999999997</v>
      </c>
      <c r="F23" s="263">
        <f>E23*F5</f>
        <v>652.34699999999998</v>
      </c>
      <c r="G23" s="227">
        <f t="shared" si="0"/>
        <v>2102.0070000000001</v>
      </c>
      <c r="H23" s="228">
        <v>6</v>
      </c>
      <c r="I23" s="227">
        <f>H23*PARÂMETROS!$E$22</f>
        <v>254.21999999999997</v>
      </c>
      <c r="J23" s="228">
        <v>0.54</v>
      </c>
      <c r="K23" s="227">
        <f>J23*PARÂMETROS!$E$22</f>
        <v>22.879799999999999</v>
      </c>
      <c r="L23" s="228">
        <v>2E-3</v>
      </c>
      <c r="M23" s="230">
        <f>L23*PARÂMETROS!$E$8</f>
        <v>6.1780000000000002E-2</v>
      </c>
      <c r="N23" s="228">
        <f t="shared" si="1"/>
        <v>0.06</v>
      </c>
      <c r="O23" s="230">
        <f>N23*PARÂMETROS!$E$8</f>
        <v>1.8533999999999999</v>
      </c>
      <c r="P23" s="228">
        <f t="shared" si="2"/>
        <v>5.4000000000000006E-2</v>
      </c>
      <c r="Q23" s="230">
        <f>P23*PARÂMETROS!$E$8</f>
        <v>1.6680600000000003</v>
      </c>
      <c r="R23" s="228">
        <f t="shared" si="3"/>
        <v>6.0000000000000001E-3</v>
      </c>
      <c r="S23" s="230">
        <f>R23*PARÂMETROS!$E$8</f>
        <v>0.18534</v>
      </c>
      <c r="T23" s="231">
        <v>2</v>
      </c>
      <c r="U23" s="230">
        <f>T23*PARÂMETROS!$E$27</f>
        <v>6</v>
      </c>
      <c r="V23" s="228">
        <v>0.06</v>
      </c>
      <c r="W23" s="230">
        <f>V23*PARÂMETROS!$E$8</f>
        <v>1.8533999999999999</v>
      </c>
      <c r="X23" s="228">
        <v>5.4000000000000003E-3</v>
      </c>
      <c r="Y23" s="230">
        <f>X23*PARÂMETROS!$E$8</f>
        <v>0.16680600000000001</v>
      </c>
      <c r="Z23" s="23"/>
      <c r="AA23" s="232" t="s">
        <v>1401</v>
      </c>
      <c r="AB23" s="264">
        <f t="shared" si="4"/>
        <v>2390.8955860000001</v>
      </c>
      <c r="AC23" s="23"/>
      <c r="AD23" s="224" t="s">
        <v>250</v>
      </c>
      <c r="AE23" s="291">
        <f>PARÂMETROS!$H$3</f>
        <v>40</v>
      </c>
      <c r="AF23" s="267">
        <v>4.1666666666666699E-2</v>
      </c>
      <c r="AG23" s="267">
        <v>2.4305555555555601E-2</v>
      </c>
      <c r="AH23" s="267">
        <v>7.6388888888888895E-2</v>
      </c>
      <c r="AI23" s="267">
        <v>6.9444444444444397E-3</v>
      </c>
      <c r="AJ23" s="267">
        <v>2.0833333333333301E-2</v>
      </c>
      <c r="AK23" s="267">
        <v>6.9444444444444397E-3</v>
      </c>
      <c r="AL23" s="267">
        <v>3.125E-2</v>
      </c>
      <c r="AM23" s="271">
        <v>1</v>
      </c>
      <c r="AN23" s="292">
        <f t="shared" si="5"/>
        <v>0.20833333333333337</v>
      </c>
      <c r="AO23" s="291">
        <f t="shared" si="6"/>
        <v>200.00000000000006</v>
      </c>
      <c r="AP23" s="272">
        <f t="shared" si="7"/>
        <v>200.00000000000006</v>
      </c>
      <c r="AR23" s="273">
        <f t="shared" si="8"/>
        <v>2390.8955860000001</v>
      </c>
      <c r="AS23" s="274">
        <f t="shared" si="9"/>
        <v>200.00000000000006</v>
      </c>
      <c r="AT23" s="275">
        <v>1</v>
      </c>
      <c r="AU23" s="276">
        <f t="shared" si="10"/>
        <v>200.00000000000006</v>
      </c>
      <c r="AV23" s="293">
        <f t="shared" si="11"/>
        <v>2590.8955860000001</v>
      </c>
      <c r="AW23" s="180">
        <v>80</v>
      </c>
      <c r="AX23" s="180">
        <f t="shared" si="12"/>
        <v>2670.8955860000001</v>
      </c>
      <c r="AY23" s="275">
        <v>1</v>
      </c>
    </row>
    <row r="24" spans="1:51" ht="27" customHeight="1" x14ac:dyDescent="0.3">
      <c r="A24" s="224" t="s">
        <v>254</v>
      </c>
      <c r="B24" s="225" t="s">
        <v>1384</v>
      </c>
      <c r="C24" s="228">
        <v>84</v>
      </c>
      <c r="D24" s="263">
        <f>C24*D5</f>
        <v>1645.56</v>
      </c>
      <c r="E24" s="228">
        <v>37.799999999999997</v>
      </c>
      <c r="F24" s="263">
        <f>E24*F5</f>
        <v>740.50199999999995</v>
      </c>
      <c r="G24" s="227">
        <f t="shared" si="0"/>
        <v>2386.0619999999999</v>
      </c>
      <c r="H24" s="228">
        <v>6.4</v>
      </c>
      <c r="I24" s="227">
        <f>H24*PARÂMETROS!$E$22</f>
        <v>271.16800000000001</v>
      </c>
      <c r="J24" s="228">
        <v>0.61499999999999999</v>
      </c>
      <c r="K24" s="227">
        <f>J24*PARÂMETROS!$E$22</f>
        <v>26.057549999999999</v>
      </c>
      <c r="L24" s="228">
        <v>2E-3</v>
      </c>
      <c r="M24" s="230">
        <f>L24*PARÂMETROS!$E$8</f>
        <v>6.1780000000000002E-2</v>
      </c>
      <c r="N24" s="228">
        <f t="shared" si="1"/>
        <v>6.4000000000000001E-2</v>
      </c>
      <c r="O24" s="230">
        <f>N24*PARÂMETROS!$E$8</f>
        <v>1.9769600000000001</v>
      </c>
      <c r="P24" s="228">
        <f t="shared" si="2"/>
        <v>6.1499999999999999E-2</v>
      </c>
      <c r="Q24" s="230">
        <f>P24*PARÂMETROS!$E$8</f>
        <v>1.899735</v>
      </c>
      <c r="R24" s="228">
        <f t="shared" si="3"/>
        <v>6.4000000000000003E-3</v>
      </c>
      <c r="S24" s="230">
        <f>R24*PARÂMETROS!$E$8</f>
        <v>0.19769600000000001</v>
      </c>
      <c r="T24" s="231">
        <v>2.1</v>
      </c>
      <c r="U24" s="230">
        <f>T24*PARÂMETROS!$E$27</f>
        <v>6.3000000000000007</v>
      </c>
      <c r="V24" s="228">
        <v>6.4000000000000001E-2</v>
      </c>
      <c r="W24" s="230">
        <f>V24*PARÂMETROS!$E$8</f>
        <v>1.9769600000000001</v>
      </c>
      <c r="X24" s="228">
        <v>6.1500000000000001E-3</v>
      </c>
      <c r="Y24" s="230">
        <f>X24*PARÂMETROS!$E$8</f>
        <v>0.18997350000000002</v>
      </c>
      <c r="Z24" s="23"/>
      <c r="AA24" s="232" t="s">
        <v>1402</v>
      </c>
      <c r="AB24" s="264">
        <f t="shared" si="4"/>
        <v>2695.8906545</v>
      </c>
      <c r="AC24" s="23"/>
      <c r="AD24" s="224" t="s">
        <v>254</v>
      </c>
      <c r="AE24" s="291">
        <f>PARÂMETROS!$H$3</f>
        <v>40</v>
      </c>
      <c r="AF24" s="267">
        <v>4.1666666666666699E-2</v>
      </c>
      <c r="AG24" s="267">
        <v>2.4305555555555601E-2</v>
      </c>
      <c r="AH24" s="267">
        <v>7.6388888888888895E-2</v>
      </c>
      <c r="AI24" s="267">
        <v>6.9444444444444397E-3</v>
      </c>
      <c r="AJ24" s="267">
        <v>2.0833333333333301E-2</v>
      </c>
      <c r="AK24" s="267">
        <v>6.9444444444444397E-3</v>
      </c>
      <c r="AL24" s="267">
        <v>3.125E-2</v>
      </c>
      <c r="AM24" s="271">
        <v>1</v>
      </c>
      <c r="AN24" s="292">
        <f t="shared" si="5"/>
        <v>0.20833333333333337</v>
      </c>
      <c r="AO24" s="291">
        <f t="shared" si="6"/>
        <v>200.00000000000006</v>
      </c>
      <c r="AP24" s="272">
        <f t="shared" si="7"/>
        <v>200.00000000000006</v>
      </c>
      <c r="AR24" s="273">
        <f t="shared" si="8"/>
        <v>2695.8906545</v>
      </c>
      <c r="AS24" s="274">
        <f t="shared" si="9"/>
        <v>200.00000000000006</v>
      </c>
      <c r="AT24" s="275">
        <v>1</v>
      </c>
      <c r="AU24" s="276">
        <f t="shared" si="10"/>
        <v>200.00000000000006</v>
      </c>
      <c r="AV24" s="293">
        <f t="shared" si="11"/>
        <v>2895.8906545</v>
      </c>
      <c r="AW24" s="180">
        <v>80</v>
      </c>
      <c r="AX24" s="180">
        <f t="shared" si="12"/>
        <v>2975.8906545</v>
      </c>
      <c r="AY24" s="275">
        <v>1</v>
      </c>
    </row>
    <row r="25" spans="1:51" ht="27" customHeight="1" x14ac:dyDescent="0.3">
      <c r="A25" s="224" t="s">
        <v>258</v>
      </c>
      <c r="B25" s="225" t="s">
        <v>1384</v>
      </c>
      <c r="C25" s="228">
        <v>95</v>
      </c>
      <c r="D25" s="263">
        <f>C25*D5</f>
        <v>1861.05</v>
      </c>
      <c r="E25" s="228">
        <v>42.75</v>
      </c>
      <c r="F25" s="263">
        <f>E25*F5</f>
        <v>837.47249999999997</v>
      </c>
      <c r="G25" s="227">
        <f t="shared" si="0"/>
        <v>2698.5225</v>
      </c>
      <c r="H25" s="228">
        <v>7.7</v>
      </c>
      <c r="I25" s="227">
        <f>H25*PARÂMETROS!$E$22</f>
        <v>326.24899999999997</v>
      </c>
      <c r="J25" s="228">
        <v>0.71</v>
      </c>
      <c r="K25" s="227">
        <f>J25*PARÂMETROS!$E$22</f>
        <v>30.082699999999996</v>
      </c>
      <c r="L25" s="228">
        <v>2E-3</v>
      </c>
      <c r="M25" s="230">
        <f>L25*PARÂMETROS!$E$8</f>
        <v>6.1780000000000002E-2</v>
      </c>
      <c r="N25" s="228">
        <f t="shared" si="1"/>
        <v>7.6999999999999999E-2</v>
      </c>
      <c r="O25" s="230">
        <f>N25*PARÂMETROS!$E$8</f>
        <v>2.37853</v>
      </c>
      <c r="P25" s="228">
        <f t="shared" si="2"/>
        <v>7.0999999999999994E-2</v>
      </c>
      <c r="Q25" s="230">
        <f>P25*PARÂMETROS!$E$8</f>
        <v>2.19319</v>
      </c>
      <c r="R25" s="228">
        <f t="shared" si="3"/>
        <v>7.7000000000000002E-3</v>
      </c>
      <c r="S25" s="230">
        <f>R25*PARÂMETROS!$E$8</f>
        <v>0.23785300000000001</v>
      </c>
      <c r="T25" s="231">
        <v>2.2000000000000002</v>
      </c>
      <c r="U25" s="230">
        <f>T25*PARÂMETROS!$E$27</f>
        <v>6.6000000000000005</v>
      </c>
      <c r="V25" s="228">
        <v>7.6999999999999999E-2</v>
      </c>
      <c r="W25" s="230">
        <f>V25*PARÂMETROS!$E$8</f>
        <v>2.37853</v>
      </c>
      <c r="X25" s="228">
        <v>7.1000000000000004E-3</v>
      </c>
      <c r="Y25" s="230">
        <f>X25*PARÂMETROS!$E$8</f>
        <v>0.21931900000000001</v>
      </c>
      <c r="Z25" s="23"/>
      <c r="AA25" s="232" t="s">
        <v>1403</v>
      </c>
      <c r="AB25" s="264">
        <f t="shared" si="4"/>
        <v>3068.9234019999999</v>
      </c>
      <c r="AC25" s="23"/>
      <c r="AD25" s="224" t="s">
        <v>258</v>
      </c>
      <c r="AE25" s="291">
        <f>PARÂMETROS!$H$3</f>
        <v>40</v>
      </c>
      <c r="AF25" s="267">
        <v>4.1666666666666699E-2</v>
      </c>
      <c r="AG25" s="267">
        <v>2.4305555555555601E-2</v>
      </c>
      <c r="AH25" s="267">
        <v>7.6388888888888895E-2</v>
      </c>
      <c r="AI25" s="267">
        <v>6.9444444444444397E-3</v>
      </c>
      <c r="AJ25" s="267">
        <v>2.0833333333333301E-2</v>
      </c>
      <c r="AK25" s="267">
        <v>6.9444444444444397E-3</v>
      </c>
      <c r="AL25" s="267">
        <v>3.125E-2</v>
      </c>
      <c r="AM25" s="271">
        <v>1</v>
      </c>
      <c r="AN25" s="292">
        <f t="shared" si="5"/>
        <v>0.20833333333333337</v>
      </c>
      <c r="AO25" s="291">
        <f t="shared" si="6"/>
        <v>200.00000000000006</v>
      </c>
      <c r="AP25" s="272">
        <f t="shared" si="7"/>
        <v>200.00000000000006</v>
      </c>
      <c r="AR25" s="273">
        <f t="shared" si="8"/>
        <v>3068.9234019999999</v>
      </c>
      <c r="AS25" s="274">
        <f t="shared" si="9"/>
        <v>200.00000000000006</v>
      </c>
      <c r="AT25" s="275">
        <v>1</v>
      </c>
      <c r="AU25" s="276">
        <f t="shared" si="10"/>
        <v>200.00000000000006</v>
      </c>
      <c r="AV25" s="293">
        <f t="shared" si="11"/>
        <v>3268.9234019999999</v>
      </c>
      <c r="AW25" s="180">
        <v>80</v>
      </c>
      <c r="AX25" s="180">
        <f t="shared" si="12"/>
        <v>3348.9234019999999</v>
      </c>
      <c r="AY25" s="275">
        <v>1</v>
      </c>
    </row>
    <row r="26" spans="1:51" ht="27" customHeight="1" x14ac:dyDescent="0.3">
      <c r="A26" s="224" t="s">
        <v>262</v>
      </c>
      <c r="B26" s="225" t="s">
        <v>1384</v>
      </c>
      <c r="C26" s="228">
        <v>120</v>
      </c>
      <c r="D26" s="263">
        <f>C26*D5</f>
        <v>2350.8000000000002</v>
      </c>
      <c r="E26" s="228">
        <v>45</v>
      </c>
      <c r="F26" s="263">
        <f>E26*F5</f>
        <v>881.55</v>
      </c>
      <c r="G26" s="227">
        <f t="shared" si="0"/>
        <v>3232.3500000000004</v>
      </c>
      <c r="H26" s="228">
        <v>8.4</v>
      </c>
      <c r="I26" s="227">
        <f>H26*PARÂMETROS!$E$22</f>
        <v>355.90800000000002</v>
      </c>
      <c r="J26" s="228">
        <v>0.79500000000000004</v>
      </c>
      <c r="K26" s="227">
        <f>J26*PARÂMETROS!$E$22</f>
        <v>33.684150000000002</v>
      </c>
      <c r="L26" s="228">
        <v>2E-3</v>
      </c>
      <c r="M26" s="230">
        <f>L26*PARÂMETROS!$E$8</f>
        <v>6.1780000000000002E-2</v>
      </c>
      <c r="N26" s="228">
        <f t="shared" si="1"/>
        <v>8.4000000000000005E-2</v>
      </c>
      <c r="O26" s="230">
        <f>N26*PARÂMETROS!$E$8</f>
        <v>2.5947600000000004</v>
      </c>
      <c r="P26" s="228">
        <f t="shared" si="2"/>
        <v>7.9500000000000015E-2</v>
      </c>
      <c r="Q26" s="230">
        <f>P26*PARÂMETROS!$E$8</f>
        <v>2.4557550000000004</v>
      </c>
      <c r="R26" s="228">
        <f t="shared" si="3"/>
        <v>8.4000000000000012E-3</v>
      </c>
      <c r="S26" s="230">
        <f>R26*PARÂMETROS!$E$8</f>
        <v>0.25947600000000004</v>
      </c>
      <c r="T26" s="231">
        <v>2.2999999999999998</v>
      </c>
      <c r="U26" s="230">
        <f>T26*PARÂMETROS!$E$27</f>
        <v>6.8999999999999995</v>
      </c>
      <c r="V26" s="228">
        <v>8.4000000000000005E-2</v>
      </c>
      <c r="W26" s="230">
        <f>V26*PARÂMETROS!$E$8</f>
        <v>2.5947600000000004</v>
      </c>
      <c r="X26" s="228">
        <v>7.9500000000000005E-3</v>
      </c>
      <c r="Y26" s="230">
        <f>X26*PARÂMETROS!$E$8</f>
        <v>0.24557550000000003</v>
      </c>
      <c r="Z26" s="23"/>
      <c r="AA26" s="232" t="s">
        <v>1404</v>
      </c>
      <c r="AB26" s="264">
        <f t="shared" si="4"/>
        <v>3637.0542565000005</v>
      </c>
      <c r="AC26" s="23"/>
      <c r="AD26" s="224" t="s">
        <v>262</v>
      </c>
      <c r="AE26" s="291">
        <f>PARÂMETROS!$H$3</f>
        <v>40</v>
      </c>
      <c r="AF26" s="267">
        <v>4.1666666666666699E-2</v>
      </c>
      <c r="AG26" s="267">
        <v>2.4305555555555601E-2</v>
      </c>
      <c r="AH26" s="267">
        <v>7.6388888888888895E-2</v>
      </c>
      <c r="AI26" s="267">
        <v>6.9444444444444397E-3</v>
      </c>
      <c r="AJ26" s="267">
        <v>2.0833333333333301E-2</v>
      </c>
      <c r="AK26" s="267">
        <v>6.9444444444444397E-3</v>
      </c>
      <c r="AL26" s="267">
        <v>3.125E-2</v>
      </c>
      <c r="AM26" s="271">
        <v>1</v>
      </c>
      <c r="AN26" s="292">
        <f t="shared" si="5"/>
        <v>0.20833333333333337</v>
      </c>
      <c r="AO26" s="291">
        <f t="shared" si="6"/>
        <v>200.00000000000006</v>
      </c>
      <c r="AP26" s="272">
        <f t="shared" si="7"/>
        <v>200.00000000000006</v>
      </c>
      <c r="AR26" s="273">
        <f t="shared" si="8"/>
        <v>3637.0542565000005</v>
      </c>
      <c r="AS26" s="274">
        <f t="shared" si="9"/>
        <v>200.00000000000006</v>
      </c>
      <c r="AT26" s="275">
        <v>1</v>
      </c>
      <c r="AU26" s="276">
        <f t="shared" si="10"/>
        <v>200.00000000000006</v>
      </c>
      <c r="AV26" s="293">
        <f t="shared" si="11"/>
        <v>3837.0542565000005</v>
      </c>
      <c r="AW26" s="180">
        <v>80</v>
      </c>
      <c r="AX26" s="180">
        <f t="shared" si="12"/>
        <v>3917.0542565000005</v>
      </c>
      <c r="AY26" s="275">
        <v>1</v>
      </c>
    </row>
    <row r="27" spans="1:51" ht="27" customHeight="1" x14ac:dyDescent="0.3">
      <c r="A27" s="224" t="s">
        <v>266</v>
      </c>
      <c r="B27" s="225" t="s">
        <v>1384</v>
      </c>
      <c r="C27" s="228">
        <v>140</v>
      </c>
      <c r="D27" s="263">
        <f>C27*D5</f>
        <v>2742.6</v>
      </c>
      <c r="E27" s="228">
        <v>63</v>
      </c>
      <c r="F27" s="263">
        <f>E27*F5</f>
        <v>1234.17</v>
      </c>
      <c r="G27" s="227">
        <f t="shared" si="0"/>
        <v>3976.77</v>
      </c>
      <c r="H27" s="228">
        <v>9</v>
      </c>
      <c r="I27" s="227">
        <f>H27*PARÂMETROS!$E$22</f>
        <v>381.33</v>
      </c>
      <c r="J27" s="228">
        <v>0.88500000000000001</v>
      </c>
      <c r="K27" s="227">
        <f>J27*PARÂMETROS!$E$22</f>
        <v>37.497450000000001</v>
      </c>
      <c r="L27" s="228">
        <v>2E-3</v>
      </c>
      <c r="M27" s="230">
        <f>L27*PARÂMETROS!$E$8</f>
        <v>6.1780000000000002E-2</v>
      </c>
      <c r="N27" s="228">
        <f t="shared" si="1"/>
        <v>0.09</v>
      </c>
      <c r="O27" s="230">
        <f>N27*PARÂMETROS!$E$8</f>
        <v>2.7801</v>
      </c>
      <c r="P27" s="228">
        <f t="shared" si="2"/>
        <v>8.8500000000000009E-2</v>
      </c>
      <c r="Q27" s="230">
        <f>P27*PARÂMETROS!$E$8</f>
        <v>2.7337650000000004</v>
      </c>
      <c r="R27" s="228">
        <f t="shared" si="3"/>
        <v>8.9999999999999993E-3</v>
      </c>
      <c r="S27" s="230">
        <f>R27*PARÂMETROS!$E$8</f>
        <v>0.27800999999999998</v>
      </c>
      <c r="T27" s="231">
        <v>2.4</v>
      </c>
      <c r="U27" s="230">
        <f>T27*PARÂMETROS!$E$27</f>
        <v>7.1999999999999993</v>
      </c>
      <c r="V27" s="228">
        <v>0.09</v>
      </c>
      <c r="W27" s="230">
        <f>V27*PARÂMETROS!$E$8</f>
        <v>2.7801</v>
      </c>
      <c r="X27" s="228">
        <v>8.8500000000000002E-3</v>
      </c>
      <c r="Y27" s="230">
        <f>X27*PARÂMETROS!$E$8</f>
        <v>0.27337650000000002</v>
      </c>
      <c r="Z27" s="23"/>
      <c r="AA27" s="232" t="s">
        <v>1405</v>
      </c>
      <c r="AB27" s="264">
        <f t="shared" si="4"/>
        <v>4411.7045815000001</v>
      </c>
      <c r="AC27" s="23"/>
      <c r="AD27" s="224" t="s">
        <v>266</v>
      </c>
      <c r="AE27" s="291">
        <f>PARÂMETROS!$H$3</f>
        <v>40</v>
      </c>
      <c r="AF27" s="267">
        <v>8.3333333333333301E-2</v>
      </c>
      <c r="AG27" s="267">
        <v>2.7777777777777801E-2</v>
      </c>
      <c r="AH27" s="267">
        <v>7.6388888888888895E-2</v>
      </c>
      <c r="AI27" s="267">
        <v>6.9444444444444397E-3</v>
      </c>
      <c r="AJ27" s="267">
        <v>2.0833333333333301E-2</v>
      </c>
      <c r="AK27" s="267">
        <v>6.9444444444444397E-3</v>
      </c>
      <c r="AL27" s="267">
        <v>3.125E-2</v>
      </c>
      <c r="AM27" s="271">
        <v>1</v>
      </c>
      <c r="AN27" s="292">
        <f t="shared" si="5"/>
        <v>0.25347222222222215</v>
      </c>
      <c r="AO27" s="291">
        <f t="shared" si="6"/>
        <v>243.33333333333326</v>
      </c>
      <c r="AP27" s="272">
        <f t="shared" si="7"/>
        <v>243.33333333333326</v>
      </c>
      <c r="AR27" s="273">
        <f t="shared" si="8"/>
        <v>4411.7045815000001</v>
      </c>
      <c r="AS27" s="274">
        <f t="shared" si="9"/>
        <v>243.33333333333326</v>
      </c>
      <c r="AT27" s="275">
        <v>1</v>
      </c>
      <c r="AU27" s="276">
        <f t="shared" si="10"/>
        <v>243.33333333333326</v>
      </c>
      <c r="AV27" s="293">
        <f t="shared" si="11"/>
        <v>4655.0379148333332</v>
      </c>
      <c r="AW27" s="180">
        <v>80</v>
      </c>
      <c r="AX27" s="180">
        <f t="shared" si="12"/>
        <v>4735.0379148333332</v>
      </c>
      <c r="AY27" s="275">
        <v>1</v>
      </c>
    </row>
    <row r="28" spans="1:51" ht="27" customHeight="1" x14ac:dyDescent="0.3">
      <c r="A28" s="224" t="s">
        <v>270</v>
      </c>
      <c r="B28" s="225" t="s">
        <v>1384</v>
      </c>
      <c r="C28" s="228">
        <v>150</v>
      </c>
      <c r="D28" s="263">
        <f>C28*D5</f>
        <v>2938.5</v>
      </c>
      <c r="E28" s="228">
        <v>68</v>
      </c>
      <c r="F28" s="263">
        <f>E28*F5</f>
        <v>1332.12</v>
      </c>
      <c r="G28" s="227">
        <f t="shared" si="0"/>
        <v>4270.62</v>
      </c>
      <c r="H28" s="228">
        <v>9.6999999999999993</v>
      </c>
      <c r="I28" s="227">
        <f>H28*PARÂMETROS!$E$22</f>
        <v>410.98899999999992</v>
      </c>
      <c r="J28" s="228">
        <v>0.96</v>
      </c>
      <c r="K28" s="227">
        <f>J28*PARÂMETROS!$E$22</f>
        <v>40.675199999999997</v>
      </c>
      <c r="L28" s="228">
        <v>2E-3</v>
      </c>
      <c r="M28" s="230">
        <f>L28*PARÂMETROS!$E$8</f>
        <v>6.1780000000000002E-2</v>
      </c>
      <c r="N28" s="228">
        <f t="shared" si="1"/>
        <v>9.6999999999999989E-2</v>
      </c>
      <c r="O28" s="230">
        <f>N28*PARÂMETROS!$E$8</f>
        <v>2.9963299999999995</v>
      </c>
      <c r="P28" s="228">
        <f t="shared" si="2"/>
        <v>9.6000000000000002E-2</v>
      </c>
      <c r="Q28" s="230">
        <f>P28*PARÂMETROS!$E$8</f>
        <v>2.9654400000000001</v>
      </c>
      <c r="R28" s="228">
        <f t="shared" si="3"/>
        <v>9.7000000000000003E-3</v>
      </c>
      <c r="S28" s="230">
        <f>R28*PARÂMETROS!$E$8</f>
        <v>0.29963300000000004</v>
      </c>
      <c r="T28" s="231">
        <v>2.5</v>
      </c>
      <c r="U28" s="230">
        <f>T28*PARÂMETROS!$E$27</f>
        <v>7.5</v>
      </c>
      <c r="V28" s="228">
        <v>9.7000000000000003E-2</v>
      </c>
      <c r="W28" s="230">
        <f>V28*PARÂMETROS!$E$8</f>
        <v>2.9963299999999999</v>
      </c>
      <c r="X28" s="228">
        <v>9.5999999999999992E-3</v>
      </c>
      <c r="Y28" s="230">
        <f>X28*PARÂMETROS!$E$8</f>
        <v>0.29654399999999997</v>
      </c>
      <c r="Z28" s="23"/>
      <c r="AA28" s="232" t="s">
        <v>1406</v>
      </c>
      <c r="AB28" s="264">
        <f t="shared" si="4"/>
        <v>4739.4002569999993</v>
      </c>
      <c r="AC28" s="23"/>
      <c r="AD28" s="224" t="s">
        <v>270</v>
      </c>
      <c r="AE28" s="291">
        <f>PARÂMETROS!$H$3</f>
        <v>40</v>
      </c>
      <c r="AF28" s="267">
        <v>8.3333333333333301E-2</v>
      </c>
      <c r="AG28" s="267">
        <v>2.7777777777777801E-2</v>
      </c>
      <c r="AH28" s="267">
        <v>7.6388888888888895E-2</v>
      </c>
      <c r="AI28" s="267">
        <v>6.9444444444444397E-3</v>
      </c>
      <c r="AJ28" s="267">
        <v>2.0833333333333301E-2</v>
      </c>
      <c r="AK28" s="267">
        <v>6.9444444444444397E-3</v>
      </c>
      <c r="AL28" s="267">
        <v>3.125E-2</v>
      </c>
      <c r="AM28" s="271">
        <v>1</v>
      </c>
      <c r="AN28" s="292">
        <f t="shared" si="5"/>
        <v>0.25347222222222215</v>
      </c>
      <c r="AO28" s="291">
        <f t="shared" si="6"/>
        <v>243.33333333333326</v>
      </c>
      <c r="AP28" s="272">
        <f t="shared" si="7"/>
        <v>243.33333333333326</v>
      </c>
      <c r="AR28" s="273">
        <f t="shared" si="8"/>
        <v>4739.4002569999993</v>
      </c>
      <c r="AS28" s="274">
        <f t="shared" si="9"/>
        <v>243.33333333333326</v>
      </c>
      <c r="AT28" s="275">
        <v>1</v>
      </c>
      <c r="AU28" s="276">
        <f t="shared" si="10"/>
        <v>243.33333333333326</v>
      </c>
      <c r="AV28" s="293">
        <f t="shared" si="11"/>
        <v>4982.7335903333324</v>
      </c>
      <c r="AW28" s="180">
        <v>80</v>
      </c>
      <c r="AX28" s="180">
        <f t="shared" si="12"/>
        <v>5062.7335903333324</v>
      </c>
      <c r="AY28" s="275">
        <v>1</v>
      </c>
    </row>
    <row r="29" spans="1:51" ht="27" customHeight="1" x14ac:dyDescent="0.3">
      <c r="A29" s="224" t="s">
        <v>274</v>
      </c>
      <c r="B29" s="225" t="s">
        <v>1384</v>
      </c>
      <c r="C29" s="228">
        <v>170</v>
      </c>
      <c r="D29" s="263">
        <f>C29*D5</f>
        <v>3330.3</v>
      </c>
      <c r="E29" s="228">
        <v>76.5</v>
      </c>
      <c r="F29" s="263">
        <f>E29*F5</f>
        <v>1498.635</v>
      </c>
      <c r="G29" s="227">
        <f t="shared" si="0"/>
        <v>4828.9350000000004</v>
      </c>
      <c r="H29" s="228">
        <v>10.4</v>
      </c>
      <c r="I29" s="227">
        <f>H29*PARÂMETROS!$E$22</f>
        <v>440.64799999999997</v>
      </c>
      <c r="J29" s="228">
        <v>1.079</v>
      </c>
      <c r="K29" s="227">
        <f>J29*PARÂMETROS!$E$22</f>
        <v>45.717229999999994</v>
      </c>
      <c r="L29" s="228">
        <v>2E-3</v>
      </c>
      <c r="M29" s="230">
        <f>L29*PARÂMETROS!$E$8</f>
        <v>6.1780000000000002E-2</v>
      </c>
      <c r="N29" s="228">
        <f t="shared" si="1"/>
        <v>0.10400000000000001</v>
      </c>
      <c r="O29" s="230">
        <f>N29*PARÂMETROS!$E$8</f>
        <v>3.2125600000000003</v>
      </c>
      <c r="P29" s="228">
        <f t="shared" si="2"/>
        <v>0.1079</v>
      </c>
      <c r="Q29" s="230">
        <f>P29*PARÂMETROS!$E$8</f>
        <v>3.3330310000000001</v>
      </c>
      <c r="R29" s="228">
        <f t="shared" si="3"/>
        <v>1.0400000000000001E-2</v>
      </c>
      <c r="S29" s="230">
        <f>R29*PARÂMETROS!$E$8</f>
        <v>0.32125600000000004</v>
      </c>
      <c r="T29" s="231">
        <v>2.6</v>
      </c>
      <c r="U29" s="230">
        <f>T29*PARÂMETROS!$E$27</f>
        <v>7.8000000000000007</v>
      </c>
      <c r="V29" s="228">
        <v>0.104</v>
      </c>
      <c r="W29" s="230">
        <f>V29*PARÂMETROS!$E$8</f>
        <v>3.2125599999999999</v>
      </c>
      <c r="X29" s="228">
        <v>1.0789999999999999E-2</v>
      </c>
      <c r="Y29" s="230">
        <f>X29*PARÂMETROS!$E$8</f>
        <v>0.33330309999999996</v>
      </c>
      <c r="Z29" s="23"/>
      <c r="AA29" s="232" t="s">
        <v>1407</v>
      </c>
      <c r="AB29" s="264">
        <f t="shared" si="4"/>
        <v>5333.5747201000004</v>
      </c>
      <c r="AC29" s="23"/>
      <c r="AD29" s="224" t="s">
        <v>274</v>
      </c>
      <c r="AE29" s="291">
        <f>PARÂMETROS!$H$3</f>
        <v>40</v>
      </c>
      <c r="AF29" s="267">
        <v>8.3333333333333301E-2</v>
      </c>
      <c r="AG29" s="267">
        <v>2.7777777777777801E-2</v>
      </c>
      <c r="AH29" s="267">
        <v>7.6388888888888895E-2</v>
      </c>
      <c r="AI29" s="267">
        <v>6.9444444444444397E-3</v>
      </c>
      <c r="AJ29" s="267">
        <v>2.0833333333333301E-2</v>
      </c>
      <c r="AK29" s="267">
        <v>6.9444444444444397E-3</v>
      </c>
      <c r="AL29" s="267">
        <v>3.125E-2</v>
      </c>
      <c r="AM29" s="271">
        <v>1</v>
      </c>
      <c r="AN29" s="292">
        <f t="shared" si="5"/>
        <v>0.25347222222222215</v>
      </c>
      <c r="AO29" s="291">
        <f t="shared" si="6"/>
        <v>243.33333333333326</v>
      </c>
      <c r="AP29" s="272">
        <f t="shared" si="7"/>
        <v>243.33333333333326</v>
      </c>
      <c r="AR29" s="273">
        <f t="shared" si="8"/>
        <v>5333.5747201000004</v>
      </c>
      <c r="AS29" s="274">
        <f t="shared" si="9"/>
        <v>243.33333333333326</v>
      </c>
      <c r="AT29" s="275">
        <v>1</v>
      </c>
      <c r="AU29" s="276">
        <f t="shared" si="10"/>
        <v>243.33333333333326</v>
      </c>
      <c r="AV29" s="293">
        <f t="shared" si="11"/>
        <v>5576.9080534333334</v>
      </c>
      <c r="AW29" s="180">
        <v>80</v>
      </c>
      <c r="AX29" s="180">
        <f t="shared" si="12"/>
        <v>5656.9080534333334</v>
      </c>
      <c r="AY29" s="275">
        <v>1</v>
      </c>
    </row>
    <row r="30" spans="1:51" ht="25.5" customHeight="1" x14ac:dyDescent="0.3">
      <c r="A30" s="224" t="s">
        <v>278</v>
      </c>
      <c r="B30" s="225" t="s">
        <v>1384</v>
      </c>
      <c r="C30" s="228">
        <v>200</v>
      </c>
      <c r="D30" s="263">
        <f>C30*D5</f>
        <v>3918</v>
      </c>
      <c r="E30" s="228">
        <v>90</v>
      </c>
      <c r="F30" s="263">
        <f>E30*F5</f>
        <v>1763.1</v>
      </c>
      <c r="G30" s="227">
        <f t="shared" si="0"/>
        <v>5681.1</v>
      </c>
      <c r="H30" s="228">
        <v>11.7</v>
      </c>
      <c r="I30" s="227">
        <f>H30*PARÂMETROS!$E$22</f>
        <v>495.72899999999993</v>
      </c>
      <c r="J30" s="228">
        <v>1.1599999999999999</v>
      </c>
      <c r="K30" s="227">
        <f>J30*PARÂMETROS!$E$22</f>
        <v>49.149199999999993</v>
      </c>
      <c r="L30" s="228">
        <v>2E-3</v>
      </c>
      <c r="M30" s="230">
        <f>L30*PARÂMETROS!$E$8</f>
        <v>6.1780000000000002E-2</v>
      </c>
      <c r="N30" s="228">
        <f t="shared" si="1"/>
        <v>0.11699999999999999</v>
      </c>
      <c r="O30" s="230">
        <f>N30*PARÂMETROS!$E$8</f>
        <v>3.6141299999999998</v>
      </c>
      <c r="P30" s="228">
        <f t="shared" si="2"/>
        <v>0.11599999999999999</v>
      </c>
      <c r="Q30" s="230">
        <f>P30*PARÂMETROS!$E$8</f>
        <v>3.58324</v>
      </c>
      <c r="R30" s="228">
        <f t="shared" si="3"/>
        <v>1.17E-2</v>
      </c>
      <c r="S30" s="230">
        <f>R30*PARÂMETROS!$E$8</f>
        <v>0.36141300000000004</v>
      </c>
      <c r="T30" s="231">
        <v>2.7</v>
      </c>
      <c r="U30" s="230">
        <f>T30*PARÂMETROS!$E$27</f>
        <v>8.1000000000000014</v>
      </c>
      <c r="V30" s="228">
        <v>0.11700000000000001</v>
      </c>
      <c r="W30" s="230">
        <f>V30*PARÂMETROS!$E$8</f>
        <v>3.6141300000000003</v>
      </c>
      <c r="X30" s="228">
        <v>1.1599999999999999E-2</v>
      </c>
      <c r="Y30" s="230">
        <f>X30*PARÂMETROS!$E$8</f>
        <v>0.35832399999999998</v>
      </c>
      <c r="Z30" s="23"/>
      <c r="AA30" s="232" t="s">
        <v>1408</v>
      </c>
      <c r="AB30" s="264">
        <f t="shared" si="4"/>
        <v>6245.6712170000001</v>
      </c>
      <c r="AC30" s="23"/>
      <c r="AD30" s="224" t="s">
        <v>278</v>
      </c>
      <c r="AE30" s="291">
        <f>PARÂMETROS!$H$3</f>
        <v>40</v>
      </c>
      <c r="AF30" s="267">
        <v>8.3333333333333301E-2</v>
      </c>
      <c r="AG30" s="267">
        <v>2.7777777777777801E-2</v>
      </c>
      <c r="AH30" s="267">
        <v>7.6388888888888895E-2</v>
      </c>
      <c r="AI30" s="267">
        <v>6.9444444444444397E-3</v>
      </c>
      <c r="AJ30" s="267">
        <v>2.0833333333333301E-2</v>
      </c>
      <c r="AK30" s="267">
        <v>6.9444444444444397E-3</v>
      </c>
      <c r="AL30" s="267">
        <v>3.125E-2</v>
      </c>
      <c r="AM30" s="271">
        <v>1</v>
      </c>
      <c r="AN30" s="292">
        <f t="shared" si="5"/>
        <v>0.25347222222222215</v>
      </c>
      <c r="AO30" s="291">
        <f t="shared" si="6"/>
        <v>243.33333333333326</v>
      </c>
      <c r="AP30" s="272">
        <f t="shared" si="7"/>
        <v>243.33333333333326</v>
      </c>
      <c r="AR30" s="273">
        <f t="shared" si="8"/>
        <v>6245.6712170000001</v>
      </c>
      <c r="AS30" s="274">
        <f t="shared" si="9"/>
        <v>243.33333333333326</v>
      </c>
      <c r="AT30" s="275">
        <v>1</v>
      </c>
      <c r="AU30" s="276">
        <f t="shared" si="10"/>
        <v>243.33333333333326</v>
      </c>
      <c r="AV30" s="293">
        <f t="shared" si="11"/>
        <v>6489.0045503333331</v>
      </c>
      <c r="AW30" s="180">
        <v>80</v>
      </c>
      <c r="AX30" s="180">
        <f t="shared" si="12"/>
        <v>6569.0045503333331</v>
      </c>
      <c r="AY30" s="275">
        <v>1</v>
      </c>
    </row>
    <row r="31" spans="1:51" ht="25.5" customHeight="1" x14ac:dyDescent="0.3">
      <c r="A31" s="224" t="s">
        <v>196</v>
      </c>
      <c r="B31" s="225" t="s">
        <v>1409</v>
      </c>
      <c r="C31" s="228">
        <v>0.06</v>
      </c>
      <c r="D31" s="263">
        <f>C31*C5</f>
        <v>1.1754</v>
      </c>
      <c r="E31" s="228">
        <v>0.03</v>
      </c>
      <c r="F31" s="263">
        <f>E31*F5</f>
        <v>0.5877</v>
      </c>
      <c r="G31" s="227">
        <f t="shared" si="0"/>
        <v>1.7631000000000001</v>
      </c>
      <c r="H31" s="228">
        <v>0.1</v>
      </c>
      <c r="I31" s="227">
        <f>H31*PARÂMETROS!$E$22</f>
        <v>4.2370000000000001</v>
      </c>
      <c r="J31" s="228">
        <v>3.0000000000000001E-3</v>
      </c>
      <c r="K31" s="227">
        <f>J31*PARÂMETROS!$E$22</f>
        <v>0.12711</v>
      </c>
      <c r="L31" s="228">
        <v>2E-3</v>
      </c>
      <c r="M31" s="230">
        <f>L31*PARÂMETROS!$E$8</f>
        <v>6.1780000000000002E-2</v>
      </c>
      <c r="N31" s="228">
        <f t="shared" si="1"/>
        <v>1E-3</v>
      </c>
      <c r="O31" s="230">
        <f>N31*PARÂMETROS!$E$8</f>
        <v>3.0890000000000001E-2</v>
      </c>
      <c r="P31" s="228">
        <f t="shared" si="2"/>
        <v>3.0000000000000003E-4</v>
      </c>
      <c r="Q31" s="230">
        <f>P31*PARÂMETROS!$E$8</f>
        <v>9.2670000000000009E-3</v>
      </c>
      <c r="R31" s="228">
        <f t="shared" si="3"/>
        <v>1E-4</v>
      </c>
      <c r="S31" s="230">
        <f>R31*PARÂMETROS!$E$8</f>
        <v>3.0890000000000002E-3</v>
      </c>
      <c r="T31" s="231">
        <v>0.3</v>
      </c>
      <c r="U31" s="230">
        <f>T31*PARÂMETROS!$E$27</f>
        <v>0.89999999999999991</v>
      </c>
      <c r="V31" s="228">
        <v>1E-3</v>
      </c>
      <c r="W31" s="230">
        <f>V31*PARÂMETROS!$E$8</f>
        <v>3.0890000000000001E-2</v>
      </c>
      <c r="X31" s="229">
        <v>3.0000000000000001E-5</v>
      </c>
      <c r="Y31" s="230">
        <f>X31*PARÂMETROS!$E$8</f>
        <v>9.2670000000000003E-4</v>
      </c>
      <c r="Z31" s="23"/>
      <c r="AA31" s="232" t="s">
        <v>1410</v>
      </c>
      <c r="AB31" s="264">
        <f t="shared" si="4"/>
        <v>7.1640527000000009</v>
      </c>
      <c r="AC31" s="23"/>
      <c r="AD31" s="224" t="s">
        <v>196</v>
      </c>
      <c r="AE31" s="291">
        <f>PARÂMETROS!$H$3</f>
        <v>40</v>
      </c>
      <c r="AF31" s="267">
        <v>4.1666666666666699E-2</v>
      </c>
      <c r="AG31" s="267">
        <v>1.38888888888889E-2</v>
      </c>
      <c r="AH31" s="267">
        <v>2.0833333333333301E-2</v>
      </c>
      <c r="AI31" s="267"/>
      <c r="AJ31" s="267">
        <v>2.0833333333333301E-2</v>
      </c>
      <c r="AK31" s="267">
        <v>6.9444444444444397E-3</v>
      </c>
      <c r="AL31" s="267">
        <v>3.125E-2</v>
      </c>
      <c r="AM31" s="271">
        <v>6</v>
      </c>
      <c r="AN31" s="292">
        <f t="shared" si="5"/>
        <v>0.13541666666666663</v>
      </c>
      <c r="AO31" s="291">
        <f t="shared" si="6"/>
        <v>129.99999999999997</v>
      </c>
      <c r="AP31" s="272">
        <f t="shared" si="7"/>
        <v>21.666666666666661</v>
      </c>
      <c r="AR31" s="273">
        <f t="shared" si="8"/>
        <v>7.1640527000000009</v>
      </c>
      <c r="AS31" s="274">
        <f t="shared" si="9"/>
        <v>21.666666666666661</v>
      </c>
      <c r="AT31" s="275">
        <v>5</v>
      </c>
      <c r="AU31" s="276">
        <f t="shared" si="10"/>
        <v>4.3333333333333321</v>
      </c>
      <c r="AV31" s="293">
        <f t="shared" si="11"/>
        <v>11.497386033333333</v>
      </c>
      <c r="AW31" s="180">
        <v>80</v>
      </c>
      <c r="AX31" s="180">
        <f t="shared" si="12"/>
        <v>91.497386033333328</v>
      </c>
      <c r="AY31" s="275">
        <v>5</v>
      </c>
    </row>
    <row r="32" spans="1:51" ht="25.5" customHeight="1" x14ac:dyDescent="0.3">
      <c r="A32" s="224" t="s">
        <v>200</v>
      </c>
      <c r="B32" s="225" t="s">
        <v>1409</v>
      </c>
      <c r="C32" s="228">
        <v>0.11</v>
      </c>
      <c r="D32" s="263">
        <f>C32*C5</f>
        <v>2.1549</v>
      </c>
      <c r="E32" s="228">
        <v>5.5E-2</v>
      </c>
      <c r="F32" s="263">
        <f>E32*F5</f>
        <v>1.07745</v>
      </c>
      <c r="G32" s="227">
        <f t="shared" si="0"/>
        <v>3.2323500000000003</v>
      </c>
      <c r="H32" s="228">
        <v>0.14000000000000001</v>
      </c>
      <c r="I32" s="227">
        <f>H32*PARÂMETROS!$E$22</f>
        <v>5.9318</v>
      </c>
      <c r="J32" s="228">
        <v>6.0000000000000001E-3</v>
      </c>
      <c r="K32" s="227">
        <f>J32*PARÂMETROS!$E$22</f>
        <v>0.25422</v>
      </c>
      <c r="L32" s="228">
        <v>2E-3</v>
      </c>
      <c r="M32" s="230">
        <f>L32*PARÂMETROS!$E$8</f>
        <v>6.1780000000000002E-2</v>
      </c>
      <c r="N32" s="228">
        <f t="shared" si="1"/>
        <v>1.4000000000000002E-3</v>
      </c>
      <c r="O32" s="230">
        <f>N32*PARÂMETROS!$E$8</f>
        <v>4.3246000000000007E-2</v>
      </c>
      <c r="P32" s="228">
        <f t="shared" si="2"/>
        <v>6.0000000000000006E-4</v>
      </c>
      <c r="Q32" s="230">
        <f>P32*PARÂMETROS!$E$8</f>
        <v>1.8534000000000002E-2</v>
      </c>
      <c r="R32" s="228">
        <f t="shared" si="3"/>
        <v>1.4000000000000001E-4</v>
      </c>
      <c r="S32" s="230">
        <f>R32*PARÂMETROS!$E$8</f>
        <v>4.3246000000000005E-3</v>
      </c>
      <c r="T32" s="231">
        <v>0.36</v>
      </c>
      <c r="U32" s="230">
        <f>T32*PARÂMETROS!$E$27</f>
        <v>1.08</v>
      </c>
      <c r="V32" s="228">
        <v>1.4E-3</v>
      </c>
      <c r="W32" s="230">
        <f>V32*PARÂMETROS!$E$8</f>
        <v>4.3246E-2</v>
      </c>
      <c r="X32" s="229">
        <v>6.0000000000000002E-5</v>
      </c>
      <c r="Y32" s="230">
        <f>X32*PARÂMETROS!$E$8</f>
        <v>1.8534000000000001E-3</v>
      </c>
      <c r="Z32" s="23"/>
      <c r="AA32" s="232" t="s">
        <v>1411</v>
      </c>
      <c r="AB32" s="264">
        <f t="shared" si="4"/>
        <v>10.671353999999999</v>
      </c>
      <c r="AC32" s="23"/>
      <c r="AD32" s="224" t="s">
        <v>200</v>
      </c>
      <c r="AE32" s="291">
        <f>PARÂMETROS!$H$3</f>
        <v>40</v>
      </c>
      <c r="AF32" s="267">
        <v>4.1666666666666699E-2</v>
      </c>
      <c r="AG32" s="267">
        <v>1.38888888888889E-2</v>
      </c>
      <c r="AH32" s="267">
        <v>2.0833333333333301E-2</v>
      </c>
      <c r="AI32" s="267"/>
      <c r="AJ32" s="267">
        <v>2.0833333333333301E-2</v>
      </c>
      <c r="AK32" s="267">
        <v>6.9444444444444397E-3</v>
      </c>
      <c r="AL32" s="267">
        <v>3.125E-2</v>
      </c>
      <c r="AM32" s="271">
        <v>6</v>
      </c>
      <c r="AN32" s="292">
        <f t="shared" si="5"/>
        <v>0.13541666666666663</v>
      </c>
      <c r="AO32" s="291">
        <f t="shared" si="6"/>
        <v>129.99999999999997</v>
      </c>
      <c r="AP32" s="272">
        <f t="shared" si="7"/>
        <v>21.666666666666661</v>
      </c>
      <c r="AR32" s="273">
        <f t="shared" si="8"/>
        <v>10.671353999999999</v>
      </c>
      <c r="AS32" s="274">
        <f t="shared" si="9"/>
        <v>21.666666666666661</v>
      </c>
      <c r="AT32" s="275">
        <v>5</v>
      </c>
      <c r="AU32" s="276">
        <f t="shared" si="10"/>
        <v>4.3333333333333321</v>
      </c>
      <c r="AV32" s="293">
        <f t="shared" si="11"/>
        <v>15.004687333333331</v>
      </c>
      <c r="AW32" s="180">
        <v>80</v>
      </c>
      <c r="AX32" s="180">
        <f t="shared" si="12"/>
        <v>95.004687333333337</v>
      </c>
      <c r="AY32" s="275">
        <v>5</v>
      </c>
    </row>
    <row r="33" spans="1:55" ht="25.5" customHeight="1" x14ac:dyDescent="0.3">
      <c r="A33" s="224" t="s">
        <v>185</v>
      </c>
      <c r="B33" s="225" t="s">
        <v>1409</v>
      </c>
      <c r="C33" s="228">
        <v>0.2</v>
      </c>
      <c r="D33" s="263">
        <f>C33*C5</f>
        <v>3.9180000000000001</v>
      </c>
      <c r="E33" s="228">
        <v>0.1</v>
      </c>
      <c r="F33" s="263">
        <f>E33*F5</f>
        <v>1.9590000000000001</v>
      </c>
      <c r="G33" s="227">
        <f t="shared" si="0"/>
        <v>5.8770000000000007</v>
      </c>
      <c r="H33" s="228">
        <v>0.26</v>
      </c>
      <c r="I33" s="227">
        <f>H33*PARÂMETROS!$E$22</f>
        <v>11.0162</v>
      </c>
      <c r="J33" s="228">
        <v>1.0999999999999999E-2</v>
      </c>
      <c r="K33" s="227">
        <f>J33*PARÂMETROS!$E$22</f>
        <v>0.46606999999999993</v>
      </c>
      <c r="L33" s="228">
        <v>2E-3</v>
      </c>
      <c r="M33" s="230">
        <f>L33*PARÂMETROS!$E$8</f>
        <v>6.1780000000000002E-2</v>
      </c>
      <c r="N33" s="228">
        <f t="shared" si="1"/>
        <v>2.6000000000000003E-3</v>
      </c>
      <c r="O33" s="230">
        <f>N33*PARÂMETROS!$E$8</f>
        <v>8.031400000000001E-2</v>
      </c>
      <c r="P33" s="228">
        <f t="shared" si="2"/>
        <v>1.1000000000000001E-3</v>
      </c>
      <c r="Q33" s="230">
        <f>P33*PARÂMETROS!$E$8</f>
        <v>3.3979000000000002E-2</v>
      </c>
      <c r="R33" s="228">
        <f t="shared" si="3"/>
        <v>2.6000000000000003E-4</v>
      </c>
      <c r="S33" s="230">
        <f>R33*PARÂMETROS!$E$8</f>
        <v>8.031400000000001E-3</v>
      </c>
      <c r="T33" s="231">
        <v>0.41</v>
      </c>
      <c r="U33" s="230">
        <f>T33*PARÂMETROS!$E$27</f>
        <v>1.23</v>
      </c>
      <c r="V33" s="228">
        <v>2.5999999999999999E-3</v>
      </c>
      <c r="W33" s="230">
        <f>V33*PARÂMETROS!$E$8</f>
        <v>8.0313999999999997E-2</v>
      </c>
      <c r="X33" s="229">
        <v>1.1E-4</v>
      </c>
      <c r="Y33" s="230">
        <f>X33*PARÂMETROS!$E$8</f>
        <v>3.3979000000000001E-3</v>
      </c>
      <c r="Z33" s="23"/>
      <c r="AA33" s="232" t="s">
        <v>1412</v>
      </c>
      <c r="AB33" s="264">
        <f t="shared" si="4"/>
        <v>18.857086300000002</v>
      </c>
      <c r="AC33" s="23"/>
      <c r="AD33" s="224" t="s">
        <v>185</v>
      </c>
      <c r="AE33" s="291">
        <f>PARÂMETROS!$H$3</f>
        <v>40</v>
      </c>
      <c r="AF33" s="267">
        <v>4.1666666666666699E-2</v>
      </c>
      <c r="AG33" s="267">
        <v>1.38888888888889E-2</v>
      </c>
      <c r="AH33" s="267">
        <v>1.38888888888889E-2</v>
      </c>
      <c r="AI33" s="267"/>
      <c r="AJ33" s="267">
        <v>2.0833333333333301E-2</v>
      </c>
      <c r="AK33" s="267">
        <v>6.9444444444444397E-3</v>
      </c>
      <c r="AL33" s="267">
        <v>3.125E-2</v>
      </c>
      <c r="AM33" s="271">
        <v>4</v>
      </c>
      <c r="AN33" s="292">
        <f t="shared" si="5"/>
        <v>0.12847222222222224</v>
      </c>
      <c r="AO33" s="291">
        <f t="shared" si="6"/>
        <v>123.33333333333334</v>
      </c>
      <c r="AP33" s="272">
        <f t="shared" si="7"/>
        <v>30.833333333333336</v>
      </c>
      <c r="AR33" s="273">
        <f t="shared" si="8"/>
        <v>18.857086300000002</v>
      </c>
      <c r="AS33" s="274">
        <f t="shared" si="9"/>
        <v>30.833333333333336</v>
      </c>
      <c r="AT33" s="275">
        <v>3</v>
      </c>
      <c r="AU33" s="276">
        <f t="shared" si="10"/>
        <v>10.277777777777779</v>
      </c>
      <c r="AV33" s="293">
        <f t="shared" si="11"/>
        <v>29.134864077777781</v>
      </c>
      <c r="AW33" s="180">
        <v>80</v>
      </c>
      <c r="AX33" s="180">
        <f t="shared" si="12"/>
        <v>109.13486407777778</v>
      </c>
      <c r="AY33" s="275">
        <v>3</v>
      </c>
    </row>
    <row r="34" spans="1:55" ht="25.5" customHeight="1" x14ac:dyDescent="0.3">
      <c r="A34" s="224" t="s">
        <v>39</v>
      </c>
      <c r="B34" s="225" t="s">
        <v>1409</v>
      </c>
      <c r="C34" s="228">
        <v>0.75</v>
      </c>
      <c r="D34" s="263">
        <f>C34*C5</f>
        <v>14.692499999999999</v>
      </c>
      <c r="E34" s="228">
        <v>0.375</v>
      </c>
      <c r="F34" s="263">
        <f>E34*F5</f>
        <v>7.3462499999999995</v>
      </c>
      <c r="G34" s="227">
        <f t="shared" si="0"/>
        <v>22.03875</v>
      </c>
      <c r="H34" s="228">
        <v>0.5</v>
      </c>
      <c r="I34" s="227">
        <f>H34*PARÂMETROS!$E$22</f>
        <v>21.184999999999999</v>
      </c>
      <c r="J34" s="228">
        <v>2.5000000000000001E-2</v>
      </c>
      <c r="K34" s="227">
        <f>J34*PARÂMETROS!$E$22</f>
        <v>1.05925</v>
      </c>
      <c r="L34" s="228">
        <v>2E-3</v>
      </c>
      <c r="M34" s="230">
        <f>L34*PARÂMETROS!$E$8</f>
        <v>6.1780000000000002E-2</v>
      </c>
      <c r="N34" s="228">
        <f t="shared" si="1"/>
        <v>5.0000000000000001E-3</v>
      </c>
      <c r="O34" s="230">
        <f>N34*PARÂMETROS!$E$8</f>
        <v>0.15445</v>
      </c>
      <c r="P34" s="228">
        <f t="shared" si="2"/>
        <v>2.5000000000000005E-3</v>
      </c>
      <c r="Q34" s="230">
        <f>P34*PARÂMETROS!$E$8</f>
        <v>7.7225000000000016E-2</v>
      </c>
      <c r="R34" s="228">
        <f t="shared" si="3"/>
        <v>5.0000000000000001E-4</v>
      </c>
      <c r="S34" s="230">
        <f>R34*PARÂMETROS!$E$8</f>
        <v>1.5445E-2</v>
      </c>
      <c r="T34" s="231">
        <v>0.82</v>
      </c>
      <c r="U34" s="230">
        <f>T34*PARÂMETROS!$E$27</f>
        <v>2.46</v>
      </c>
      <c r="V34" s="228">
        <v>5.0000000000000001E-3</v>
      </c>
      <c r="W34" s="230">
        <f>V34*PARÂMETROS!$E$8</f>
        <v>0.15445</v>
      </c>
      <c r="X34" s="229">
        <v>2.5000000000000001E-4</v>
      </c>
      <c r="Y34" s="230">
        <f>X34*PARÂMETROS!$E$8</f>
        <v>7.7225000000000002E-3</v>
      </c>
      <c r="Z34" s="23"/>
      <c r="AA34" s="232" t="s">
        <v>1413</v>
      </c>
      <c r="AB34" s="264">
        <f t="shared" si="4"/>
        <v>47.2140725</v>
      </c>
      <c r="AC34" s="23"/>
      <c r="AD34" s="224" t="s">
        <v>39</v>
      </c>
      <c r="AE34" s="291">
        <f>PARÂMETROS!$H$3</f>
        <v>40</v>
      </c>
      <c r="AF34" s="267">
        <v>4.1666666666666699E-2</v>
      </c>
      <c r="AG34" s="267">
        <v>1.38888888888889E-2</v>
      </c>
      <c r="AH34" s="267">
        <v>1.38888888888889E-2</v>
      </c>
      <c r="AI34" s="267"/>
      <c r="AJ34" s="267">
        <v>2.0833333333333301E-2</v>
      </c>
      <c r="AK34" s="267">
        <v>6.9444444444444397E-3</v>
      </c>
      <c r="AL34" s="267">
        <v>3.125E-2</v>
      </c>
      <c r="AM34" s="271">
        <v>4</v>
      </c>
      <c r="AN34" s="292">
        <f t="shared" si="5"/>
        <v>0.12847222222222224</v>
      </c>
      <c r="AO34" s="291">
        <f t="shared" si="6"/>
        <v>123.33333333333334</v>
      </c>
      <c r="AP34" s="272">
        <f t="shared" si="7"/>
        <v>30.833333333333336</v>
      </c>
      <c r="AR34" s="273">
        <f t="shared" si="8"/>
        <v>47.2140725</v>
      </c>
      <c r="AS34" s="274">
        <f t="shared" si="9"/>
        <v>30.833333333333336</v>
      </c>
      <c r="AT34" s="275">
        <v>3</v>
      </c>
      <c r="AU34" s="276">
        <f t="shared" si="10"/>
        <v>10.277777777777779</v>
      </c>
      <c r="AV34" s="293">
        <f t="shared" si="11"/>
        <v>57.491850277777779</v>
      </c>
      <c r="AW34" s="180">
        <v>80</v>
      </c>
      <c r="AX34" s="180">
        <f t="shared" si="12"/>
        <v>137.49185027777779</v>
      </c>
      <c r="AY34" s="275">
        <v>3</v>
      </c>
    </row>
    <row r="35" spans="1:55" ht="25.5" customHeight="1" x14ac:dyDescent="0.3">
      <c r="A35" s="224" t="s">
        <v>300</v>
      </c>
      <c r="B35" s="225" t="s">
        <v>1409</v>
      </c>
      <c r="C35" s="228">
        <v>1.1100000000000001</v>
      </c>
      <c r="D35" s="263">
        <f>C35*C5</f>
        <v>21.744900000000001</v>
      </c>
      <c r="E35" s="228">
        <v>0.55000000000000004</v>
      </c>
      <c r="F35" s="263">
        <f>E35*F5</f>
        <v>10.774500000000002</v>
      </c>
      <c r="G35" s="227">
        <f t="shared" si="0"/>
        <v>32.519400000000005</v>
      </c>
      <c r="H35" s="228">
        <v>0.65</v>
      </c>
      <c r="I35" s="227">
        <f>H35*PARÂMETROS!$E$22</f>
        <v>27.540499999999998</v>
      </c>
      <c r="J35" s="228">
        <v>3.2000000000000001E-2</v>
      </c>
      <c r="K35" s="227">
        <f>J35*PARÂMETROS!$E$22</f>
        <v>1.3558399999999999</v>
      </c>
      <c r="L35" s="228">
        <v>2E-3</v>
      </c>
      <c r="M35" s="230">
        <f>L35*PARÂMETROS!$E$8</f>
        <v>6.1780000000000002E-2</v>
      </c>
      <c r="N35" s="228">
        <f t="shared" si="1"/>
        <v>6.5000000000000006E-3</v>
      </c>
      <c r="O35" s="230">
        <f>N35*PARÂMETROS!$E$8</f>
        <v>0.20078500000000002</v>
      </c>
      <c r="P35" s="228">
        <f t="shared" si="2"/>
        <v>3.2000000000000002E-3</v>
      </c>
      <c r="Q35" s="230">
        <f>P35*PARÂMETROS!$E$8</f>
        <v>9.8848000000000005E-2</v>
      </c>
      <c r="R35" s="228">
        <f t="shared" si="3"/>
        <v>6.5000000000000008E-4</v>
      </c>
      <c r="S35" s="230">
        <f>R35*PARÂMETROS!$E$8</f>
        <v>2.0078500000000003E-2</v>
      </c>
      <c r="T35" s="231">
        <v>0.86</v>
      </c>
      <c r="U35" s="230">
        <f>T35*PARÂMETROS!$E$27</f>
        <v>2.58</v>
      </c>
      <c r="V35" s="228">
        <v>6.4999999999999997E-3</v>
      </c>
      <c r="W35" s="230">
        <f>V35*PARÂMETROS!$E$8</f>
        <v>0.20078499999999999</v>
      </c>
      <c r="X35" s="229">
        <v>3.2000000000000003E-4</v>
      </c>
      <c r="Y35" s="230">
        <f>X35*PARÂMETROS!$E$8</f>
        <v>9.8848000000000009E-3</v>
      </c>
      <c r="Z35" s="23"/>
      <c r="AA35" s="232" t="s">
        <v>1414</v>
      </c>
      <c r="AB35" s="264">
        <f t="shared" si="4"/>
        <v>64.587901299999984</v>
      </c>
      <c r="AC35" s="23"/>
      <c r="AD35" s="224" t="s">
        <v>300</v>
      </c>
      <c r="AE35" s="291">
        <f>PARÂMETROS!$H$3</f>
        <v>40</v>
      </c>
      <c r="AF35" s="267">
        <v>2.1527777777777798E-2</v>
      </c>
      <c r="AG35" s="267">
        <v>6.9444444444444397E-3</v>
      </c>
      <c r="AH35" s="267">
        <v>1.38888888888889E-2</v>
      </c>
      <c r="AI35" s="267"/>
      <c r="AJ35" s="267">
        <v>2.0833333333333301E-2</v>
      </c>
      <c r="AK35" s="267">
        <v>6.9444444444444397E-3</v>
      </c>
      <c r="AL35" s="267">
        <v>3.125E-2</v>
      </c>
      <c r="AM35" s="271">
        <v>2</v>
      </c>
      <c r="AN35" s="292">
        <f t="shared" si="5"/>
        <v>0.10138888888888888</v>
      </c>
      <c r="AO35" s="291">
        <f t="shared" si="6"/>
        <v>97.333333333333329</v>
      </c>
      <c r="AP35" s="272">
        <f t="shared" si="7"/>
        <v>48.666666666666664</v>
      </c>
      <c r="AR35" s="273">
        <f t="shared" si="8"/>
        <v>64.587901299999984</v>
      </c>
      <c r="AS35" s="274">
        <f t="shared" si="9"/>
        <v>48.666666666666664</v>
      </c>
      <c r="AT35" s="275">
        <v>3</v>
      </c>
      <c r="AU35" s="276">
        <f t="shared" si="10"/>
        <v>16.222222222222221</v>
      </c>
      <c r="AV35" s="293">
        <f t="shared" si="11"/>
        <v>80.810123522222199</v>
      </c>
      <c r="AW35" s="180">
        <v>80</v>
      </c>
      <c r="AX35" s="180">
        <f t="shared" si="12"/>
        <v>160.8101235222222</v>
      </c>
      <c r="AY35" s="275">
        <v>3</v>
      </c>
    </row>
    <row r="36" spans="1:55" ht="25.5" customHeight="1" x14ac:dyDescent="0.3">
      <c r="A36" s="224" t="s">
        <v>41</v>
      </c>
      <c r="B36" s="225" t="s">
        <v>1409</v>
      </c>
      <c r="C36" s="228">
        <v>1.55</v>
      </c>
      <c r="D36" s="263">
        <f>C36*C5</f>
        <v>30.3645</v>
      </c>
      <c r="E36" s="228">
        <v>0.77500000000000002</v>
      </c>
      <c r="F36" s="263">
        <f>E36*F5</f>
        <v>15.18225</v>
      </c>
      <c r="G36" s="227">
        <f t="shared" si="0"/>
        <v>45.546750000000003</v>
      </c>
      <c r="H36" s="228">
        <v>0.8</v>
      </c>
      <c r="I36" s="227">
        <f>H36*PARÂMETROS!$E$22</f>
        <v>33.896000000000001</v>
      </c>
      <c r="J36" s="228">
        <v>4.2000000000000003E-2</v>
      </c>
      <c r="K36" s="227">
        <f>J36*PARÂMETROS!$E$22</f>
        <v>1.7795399999999999</v>
      </c>
      <c r="L36" s="228">
        <v>2E-3</v>
      </c>
      <c r="M36" s="230">
        <f>L36*PARÂMETROS!$E$8</f>
        <v>6.1780000000000002E-2</v>
      </c>
      <c r="N36" s="228">
        <f t="shared" si="1"/>
        <v>8.0000000000000002E-3</v>
      </c>
      <c r="O36" s="230">
        <f>N36*PARÂMETROS!$E$8</f>
        <v>0.24712000000000001</v>
      </c>
      <c r="P36" s="228">
        <f t="shared" si="2"/>
        <v>4.2000000000000006E-3</v>
      </c>
      <c r="Q36" s="230">
        <f>P36*PARÂMETROS!$E$8</f>
        <v>0.12973800000000002</v>
      </c>
      <c r="R36" s="228">
        <f t="shared" si="3"/>
        <v>8.0000000000000004E-4</v>
      </c>
      <c r="S36" s="230">
        <f>R36*PARÂMETROS!$E$8</f>
        <v>2.4712000000000001E-2</v>
      </c>
      <c r="T36" s="231">
        <v>0.92</v>
      </c>
      <c r="U36" s="230">
        <f>T36*PARÂMETROS!$E$27</f>
        <v>2.7600000000000002</v>
      </c>
      <c r="V36" s="228">
        <v>8.0000000000000002E-3</v>
      </c>
      <c r="W36" s="230">
        <f>V36*PARÂMETROS!$E$8</f>
        <v>0.24712000000000001</v>
      </c>
      <c r="X36" s="229">
        <v>4.2000000000000002E-4</v>
      </c>
      <c r="Y36" s="230">
        <f>X36*PARÂMETROS!$E$8</f>
        <v>1.2973800000000001E-2</v>
      </c>
      <c r="Z36" s="23"/>
      <c r="AA36" s="232" t="s">
        <v>1415</v>
      </c>
      <c r="AB36" s="264">
        <f t="shared" si="4"/>
        <v>84.70573379999999</v>
      </c>
      <c r="AC36" s="23"/>
      <c r="AD36" s="224" t="s">
        <v>41</v>
      </c>
      <c r="AE36" s="291">
        <f>PARÂMETROS!$H$3</f>
        <v>40</v>
      </c>
      <c r="AF36" s="267">
        <v>2.1527777777777798E-2</v>
      </c>
      <c r="AG36" s="267">
        <v>6.9444444444444397E-3</v>
      </c>
      <c r="AH36" s="267">
        <v>1.38888888888889E-2</v>
      </c>
      <c r="AI36" s="267"/>
      <c r="AJ36" s="267">
        <v>2.0833333333333301E-2</v>
      </c>
      <c r="AK36" s="267">
        <v>6.9444444444444397E-3</v>
      </c>
      <c r="AL36" s="267">
        <v>3.125E-2</v>
      </c>
      <c r="AM36" s="271">
        <v>2</v>
      </c>
      <c r="AN36" s="292">
        <f t="shared" si="5"/>
        <v>0.10138888888888888</v>
      </c>
      <c r="AO36" s="291">
        <f t="shared" si="6"/>
        <v>97.333333333333329</v>
      </c>
      <c r="AP36" s="272">
        <f t="shared" si="7"/>
        <v>48.666666666666664</v>
      </c>
      <c r="AR36" s="273">
        <f t="shared" si="8"/>
        <v>84.70573379999999</v>
      </c>
      <c r="AS36" s="274">
        <f t="shared" si="9"/>
        <v>48.666666666666664</v>
      </c>
      <c r="AT36" s="275">
        <v>2</v>
      </c>
      <c r="AU36" s="276">
        <f t="shared" si="10"/>
        <v>24.333333333333332</v>
      </c>
      <c r="AV36" s="293">
        <f t="shared" si="11"/>
        <v>109.03906713333332</v>
      </c>
      <c r="AW36" s="180">
        <v>80</v>
      </c>
      <c r="AX36" s="180">
        <f t="shared" si="12"/>
        <v>189.03906713333333</v>
      </c>
      <c r="AY36" s="275">
        <v>2</v>
      </c>
    </row>
    <row r="37" spans="1:55" ht="25.5" customHeight="1" x14ac:dyDescent="0.3">
      <c r="A37" s="224" t="s">
        <v>43</v>
      </c>
      <c r="B37" s="225" t="s">
        <v>1409</v>
      </c>
      <c r="C37" s="228">
        <v>3.22</v>
      </c>
      <c r="D37" s="263">
        <f>C37*C5</f>
        <v>63.079800000000006</v>
      </c>
      <c r="E37" s="228">
        <v>1.61</v>
      </c>
      <c r="F37" s="263">
        <f>E37*F5</f>
        <v>31.539900000000003</v>
      </c>
      <c r="G37" s="227">
        <f t="shared" si="0"/>
        <v>94.619700000000009</v>
      </c>
      <c r="H37" s="228">
        <v>1</v>
      </c>
      <c r="I37" s="227">
        <f>H37*PARÂMETROS!$E$22</f>
        <v>42.37</v>
      </c>
      <c r="J37" s="228">
        <v>6.5000000000000002E-2</v>
      </c>
      <c r="K37" s="227">
        <f>J37*PARÂMETROS!$E$22</f>
        <v>2.7540499999999999</v>
      </c>
      <c r="L37" s="228">
        <v>2E-3</v>
      </c>
      <c r="M37" s="230">
        <f>L37*PARÂMETROS!$E$8</f>
        <v>6.1780000000000002E-2</v>
      </c>
      <c r="N37" s="228">
        <f t="shared" si="1"/>
        <v>0.01</v>
      </c>
      <c r="O37" s="230">
        <f>N37*PARÂMETROS!$E$8</f>
        <v>0.30890000000000001</v>
      </c>
      <c r="P37" s="228">
        <f t="shared" si="2"/>
        <v>6.5000000000000006E-3</v>
      </c>
      <c r="Q37" s="230">
        <f>P37*PARÂMETROS!$E$8</f>
        <v>0.20078500000000002</v>
      </c>
      <c r="R37" s="228">
        <f t="shared" si="3"/>
        <v>1E-3</v>
      </c>
      <c r="S37" s="230">
        <f>R37*PARÂMETROS!$E$8</f>
        <v>3.0890000000000001E-2</v>
      </c>
      <c r="T37" s="231">
        <v>1.02</v>
      </c>
      <c r="U37" s="230">
        <f>T37*PARÂMETROS!$E$27</f>
        <v>3.06</v>
      </c>
      <c r="V37" s="228">
        <v>0.01</v>
      </c>
      <c r="W37" s="230">
        <f>V37*PARÂMETROS!$E$8</f>
        <v>0.30890000000000001</v>
      </c>
      <c r="X37" s="228">
        <v>6.4999999999999997E-4</v>
      </c>
      <c r="Y37" s="230">
        <f>X37*PARÂMETROS!$E$8</f>
        <v>2.0078499999999999E-2</v>
      </c>
      <c r="Z37" s="23"/>
      <c r="AA37" s="232" t="s">
        <v>1416</v>
      </c>
      <c r="AB37" s="264">
        <f t="shared" si="4"/>
        <v>143.7350835</v>
      </c>
      <c r="AC37" s="23"/>
      <c r="AD37" s="224" t="s">
        <v>43</v>
      </c>
      <c r="AE37" s="291">
        <f>PARÂMETROS!$H$3</f>
        <v>40</v>
      </c>
      <c r="AF37" s="267">
        <v>2.1527777777777798E-2</v>
      </c>
      <c r="AG37" s="267">
        <v>1.0416666666666701E-2</v>
      </c>
      <c r="AH37" s="267">
        <v>1.38888888888889E-2</v>
      </c>
      <c r="AI37" s="267">
        <v>6.9444444444444397E-3</v>
      </c>
      <c r="AJ37" s="267">
        <v>2.0833333333333301E-2</v>
      </c>
      <c r="AK37" s="267">
        <v>6.9444444444444397E-3</v>
      </c>
      <c r="AL37" s="267">
        <v>3.125E-2</v>
      </c>
      <c r="AM37" s="271">
        <v>2</v>
      </c>
      <c r="AN37" s="292">
        <f t="shared" si="5"/>
        <v>0.11180555555555557</v>
      </c>
      <c r="AO37" s="291">
        <f t="shared" si="6"/>
        <v>107.33333333333336</v>
      </c>
      <c r="AP37" s="272">
        <f t="shared" si="7"/>
        <v>53.666666666666679</v>
      </c>
      <c r="AR37" s="273">
        <f t="shared" si="8"/>
        <v>143.7350835</v>
      </c>
      <c r="AS37" s="274">
        <f t="shared" si="9"/>
        <v>53.666666666666679</v>
      </c>
      <c r="AT37" s="275">
        <v>2</v>
      </c>
      <c r="AU37" s="276">
        <f t="shared" si="10"/>
        <v>26.833333333333339</v>
      </c>
      <c r="AV37" s="293">
        <f t="shared" si="11"/>
        <v>170.56841683333334</v>
      </c>
      <c r="AW37" s="180">
        <v>80</v>
      </c>
      <c r="AX37" s="180">
        <f t="shared" si="12"/>
        <v>250.56841683333334</v>
      </c>
      <c r="AY37" s="275">
        <v>2</v>
      </c>
      <c r="BC37" s="294"/>
    </row>
    <row r="38" spans="1:55" ht="25.5" customHeight="1" x14ac:dyDescent="0.3">
      <c r="A38" s="224" t="s">
        <v>45</v>
      </c>
      <c r="B38" s="225" t="s">
        <v>1409</v>
      </c>
      <c r="C38" s="228">
        <v>5.3140000000000001</v>
      </c>
      <c r="D38" s="263">
        <f>C38*C5</f>
        <v>104.10126</v>
      </c>
      <c r="E38" s="228">
        <v>2.657</v>
      </c>
      <c r="F38" s="263">
        <f>E38*F5</f>
        <v>52.050629999999998</v>
      </c>
      <c r="G38" s="227">
        <f t="shared" si="0"/>
        <v>156.15188999999998</v>
      </c>
      <c r="H38" s="228">
        <v>1.4</v>
      </c>
      <c r="I38" s="227">
        <f>H38*PARÂMETROS!$E$22</f>
        <v>59.317999999999991</v>
      </c>
      <c r="J38" s="228">
        <v>9.1999999999999998E-2</v>
      </c>
      <c r="K38" s="227">
        <f>J38*PARÂMETROS!$E$22</f>
        <v>3.8980399999999995</v>
      </c>
      <c r="L38" s="228">
        <v>2E-3</v>
      </c>
      <c r="M38" s="230">
        <f>L38*PARÂMETROS!$E$8</f>
        <v>6.1780000000000002E-2</v>
      </c>
      <c r="N38" s="228">
        <f t="shared" si="1"/>
        <v>1.3999999999999999E-2</v>
      </c>
      <c r="O38" s="230">
        <f>N38*PARÂMETROS!$E$8</f>
        <v>0.43245999999999996</v>
      </c>
      <c r="P38" s="228">
        <f t="shared" si="2"/>
        <v>9.1999999999999998E-3</v>
      </c>
      <c r="Q38" s="230">
        <f>P38*PARÂMETROS!$E$8</f>
        <v>0.284188</v>
      </c>
      <c r="R38" s="228">
        <f t="shared" si="3"/>
        <v>1.4E-3</v>
      </c>
      <c r="S38" s="230">
        <f>R38*PARÂMETROS!$E$8</f>
        <v>4.3246E-2</v>
      </c>
      <c r="T38" s="231">
        <v>1.1200000000000001</v>
      </c>
      <c r="U38" s="230">
        <f>T38*PARÂMETROS!$E$27</f>
        <v>3.3600000000000003</v>
      </c>
      <c r="V38" s="228">
        <v>1.4E-2</v>
      </c>
      <c r="W38" s="230">
        <f>V38*PARÂMETROS!$E$8</f>
        <v>0.43246000000000001</v>
      </c>
      <c r="X38" s="228">
        <v>9.2000000000000003E-4</v>
      </c>
      <c r="Y38" s="230">
        <f>X38*PARÂMETROS!$E$8</f>
        <v>2.8418800000000001E-2</v>
      </c>
      <c r="Z38" s="23"/>
      <c r="AA38" s="232" t="s">
        <v>1417</v>
      </c>
      <c r="AB38" s="264">
        <f t="shared" si="4"/>
        <v>224.01048279999998</v>
      </c>
      <c r="AC38" s="23"/>
      <c r="AD38" s="224" t="s">
        <v>45</v>
      </c>
      <c r="AE38" s="291">
        <f>PARÂMETROS!$H$3</f>
        <v>40</v>
      </c>
      <c r="AF38" s="267">
        <v>2.1527777777777798E-2</v>
      </c>
      <c r="AG38" s="267">
        <v>1.0416666666666701E-2</v>
      </c>
      <c r="AH38" s="267">
        <v>1.38888888888889E-2</v>
      </c>
      <c r="AI38" s="267">
        <v>6.9444444444444397E-3</v>
      </c>
      <c r="AJ38" s="267">
        <v>2.0833333333333301E-2</v>
      </c>
      <c r="AK38" s="267">
        <v>6.9444444444444397E-3</v>
      </c>
      <c r="AL38" s="267">
        <v>3.125E-2</v>
      </c>
      <c r="AM38" s="271">
        <v>2</v>
      </c>
      <c r="AN38" s="292">
        <f t="shared" si="5"/>
        <v>0.11180555555555557</v>
      </c>
      <c r="AO38" s="291">
        <f t="shared" si="6"/>
        <v>107.33333333333336</v>
      </c>
      <c r="AP38" s="272">
        <f t="shared" si="7"/>
        <v>53.666666666666679</v>
      </c>
      <c r="AR38" s="273">
        <f t="shared" si="8"/>
        <v>224.01048279999998</v>
      </c>
      <c r="AS38" s="274">
        <f t="shared" si="9"/>
        <v>53.666666666666679</v>
      </c>
      <c r="AT38" s="275">
        <v>2</v>
      </c>
      <c r="AU38" s="276">
        <f t="shared" si="10"/>
        <v>26.833333333333339</v>
      </c>
      <c r="AV38" s="293">
        <f t="shared" si="11"/>
        <v>250.84381613333332</v>
      </c>
      <c r="AW38" s="180">
        <v>80</v>
      </c>
      <c r="AX38" s="180">
        <f t="shared" si="12"/>
        <v>330.84381613333335</v>
      </c>
      <c r="AY38" s="275">
        <v>2</v>
      </c>
      <c r="BC38" s="294"/>
    </row>
    <row r="39" spans="1:55" ht="25.5" customHeight="1" x14ac:dyDescent="0.3">
      <c r="A39" s="224" t="s">
        <v>47</v>
      </c>
      <c r="B39" s="225" t="s">
        <v>1409</v>
      </c>
      <c r="C39" s="228">
        <v>7.8</v>
      </c>
      <c r="D39" s="263">
        <f>C39*C5</f>
        <v>152.80199999999999</v>
      </c>
      <c r="E39" s="228">
        <v>3.9</v>
      </c>
      <c r="F39" s="263">
        <f>E39*F5</f>
        <v>76.400999999999996</v>
      </c>
      <c r="G39" s="227">
        <f t="shared" si="0"/>
        <v>229.20299999999997</v>
      </c>
      <c r="H39" s="228">
        <v>1.8</v>
      </c>
      <c r="I39" s="227">
        <f>H39*PARÂMETROS!$E$22</f>
        <v>76.265999999999991</v>
      </c>
      <c r="J39" s="228">
        <v>0.124</v>
      </c>
      <c r="K39" s="227">
        <f>J39*PARÂMETROS!$E$22</f>
        <v>5.2538799999999997</v>
      </c>
      <c r="L39" s="228">
        <v>2E-3</v>
      </c>
      <c r="M39" s="230">
        <f>L39*PARÂMETROS!$E$8</f>
        <v>6.1780000000000002E-2</v>
      </c>
      <c r="N39" s="228">
        <f t="shared" si="1"/>
        <v>1.8000000000000002E-2</v>
      </c>
      <c r="O39" s="230">
        <f>N39*PARÂMETROS!$E$8</f>
        <v>0.55602000000000007</v>
      </c>
      <c r="P39" s="228">
        <f t="shared" si="2"/>
        <v>1.2400000000000001E-2</v>
      </c>
      <c r="Q39" s="230">
        <f>P39*PARÂMETROS!$E$8</f>
        <v>0.38303600000000004</v>
      </c>
      <c r="R39" s="228">
        <f t="shared" si="3"/>
        <v>1.8000000000000004E-3</v>
      </c>
      <c r="S39" s="230">
        <f>R39*PARÂMETROS!$E$8</f>
        <v>5.5602000000000013E-2</v>
      </c>
      <c r="T39" s="231">
        <v>1.22</v>
      </c>
      <c r="U39" s="230">
        <f>T39*PARÂMETROS!$E$27</f>
        <v>3.66</v>
      </c>
      <c r="V39" s="228">
        <v>1.7999999999999999E-2</v>
      </c>
      <c r="W39" s="230">
        <f>V39*PARÂMETROS!$E$8</f>
        <v>0.55601999999999996</v>
      </c>
      <c r="X39" s="228">
        <v>1.24E-3</v>
      </c>
      <c r="Y39" s="230">
        <f>X39*PARÂMETROS!$E$8</f>
        <v>3.83036E-2</v>
      </c>
      <c r="Z39" s="23"/>
      <c r="AA39" s="232" t="s">
        <v>1418</v>
      </c>
      <c r="AB39" s="264">
        <f t="shared" si="4"/>
        <v>316.03364159999995</v>
      </c>
      <c r="AC39" s="23"/>
      <c r="AD39" s="224" t="s">
        <v>47</v>
      </c>
      <c r="AE39" s="291">
        <f>PARÂMETROS!$H$3</f>
        <v>40</v>
      </c>
      <c r="AF39" s="267">
        <v>2.1527777777777798E-2</v>
      </c>
      <c r="AG39" s="267">
        <v>1.0416666666666701E-2</v>
      </c>
      <c r="AH39" s="267">
        <v>1.38888888888889E-2</v>
      </c>
      <c r="AI39" s="267">
        <v>6.9444444444444397E-3</v>
      </c>
      <c r="AJ39" s="267">
        <v>2.0833333333333301E-2</v>
      </c>
      <c r="AK39" s="267">
        <v>6.9444444444444397E-3</v>
      </c>
      <c r="AL39" s="267">
        <v>3.125E-2</v>
      </c>
      <c r="AM39" s="271">
        <v>1</v>
      </c>
      <c r="AN39" s="292">
        <f t="shared" si="5"/>
        <v>0.11180555555555557</v>
      </c>
      <c r="AO39" s="291">
        <f t="shared" si="6"/>
        <v>107.33333333333336</v>
      </c>
      <c r="AP39" s="272">
        <f t="shared" si="7"/>
        <v>107.33333333333336</v>
      </c>
      <c r="AR39" s="273">
        <f t="shared" si="8"/>
        <v>316.03364159999995</v>
      </c>
      <c r="AS39" s="274">
        <f t="shared" si="9"/>
        <v>107.33333333333336</v>
      </c>
      <c r="AT39" s="275">
        <v>2</v>
      </c>
      <c r="AU39" s="276">
        <f t="shared" si="10"/>
        <v>53.666666666666679</v>
      </c>
      <c r="AV39" s="293">
        <f t="shared" si="11"/>
        <v>369.70030826666664</v>
      </c>
      <c r="AW39" s="180">
        <v>80</v>
      </c>
      <c r="AX39" s="180">
        <f t="shared" si="12"/>
        <v>449.70030826666664</v>
      </c>
      <c r="AY39" s="275">
        <v>2</v>
      </c>
    </row>
    <row r="40" spans="1:55" ht="25.5" customHeight="1" x14ac:dyDescent="0.3">
      <c r="A40" s="224" t="s">
        <v>222</v>
      </c>
      <c r="B40" s="225" t="s">
        <v>1409</v>
      </c>
      <c r="C40" s="228">
        <v>10.4</v>
      </c>
      <c r="D40" s="263">
        <f>C40*C5</f>
        <v>203.73600000000002</v>
      </c>
      <c r="E40" s="228">
        <v>5.2</v>
      </c>
      <c r="F40" s="263">
        <f>E40*F5</f>
        <v>101.86800000000001</v>
      </c>
      <c r="G40" s="227">
        <f t="shared" si="0"/>
        <v>305.60400000000004</v>
      </c>
      <c r="H40" s="228">
        <v>2.5</v>
      </c>
      <c r="I40" s="227">
        <f>H40*PARÂMETROS!$E$22</f>
        <v>105.925</v>
      </c>
      <c r="J40" s="228">
        <v>0.161</v>
      </c>
      <c r="K40" s="227">
        <f>J40*PARÂMETROS!$E$22</f>
        <v>6.8215699999999995</v>
      </c>
      <c r="L40" s="228">
        <v>2E-3</v>
      </c>
      <c r="M40" s="230">
        <f>L40*PARÂMETROS!$E$8</f>
        <v>6.1780000000000002E-2</v>
      </c>
      <c r="N40" s="228">
        <f t="shared" si="1"/>
        <v>2.5000000000000001E-2</v>
      </c>
      <c r="O40" s="230">
        <f>N40*PARÂMETROS!$E$8</f>
        <v>0.7722500000000001</v>
      </c>
      <c r="P40" s="228">
        <f t="shared" si="2"/>
        <v>1.61E-2</v>
      </c>
      <c r="Q40" s="230">
        <f>P40*PARÂMETROS!$E$8</f>
        <v>0.49732900000000002</v>
      </c>
      <c r="R40" s="228">
        <f t="shared" si="3"/>
        <v>2.5000000000000005E-3</v>
      </c>
      <c r="S40" s="230">
        <f>R40*PARÂMETROS!$E$8</f>
        <v>7.7225000000000016E-2</v>
      </c>
      <c r="T40" s="231">
        <v>1.31</v>
      </c>
      <c r="U40" s="230">
        <f>T40*PARÂMETROS!$E$27</f>
        <v>3.93</v>
      </c>
      <c r="V40" s="228">
        <v>2.5000000000000001E-2</v>
      </c>
      <c r="W40" s="230">
        <f>V40*PARÂMETROS!$E$8</f>
        <v>0.7722500000000001</v>
      </c>
      <c r="X40" s="228">
        <v>1.6100000000000001E-3</v>
      </c>
      <c r="Y40" s="230">
        <f>X40*PARÂMETROS!$E$8</f>
        <v>4.9732900000000003E-2</v>
      </c>
      <c r="Z40" s="23"/>
      <c r="AA40" s="232" t="s">
        <v>1419</v>
      </c>
      <c r="AB40" s="264">
        <f t="shared" si="4"/>
        <v>424.5111369</v>
      </c>
      <c r="AC40" s="23"/>
      <c r="AD40" s="224" t="s">
        <v>222</v>
      </c>
      <c r="AE40" s="291">
        <f>PARÂMETROS!$H$3</f>
        <v>40</v>
      </c>
      <c r="AF40" s="267">
        <v>2.1527777777777798E-2</v>
      </c>
      <c r="AG40" s="267">
        <v>1.38888888888889E-2</v>
      </c>
      <c r="AH40" s="267">
        <v>1.38888888888889E-2</v>
      </c>
      <c r="AI40" s="267">
        <v>6.9444444444444397E-3</v>
      </c>
      <c r="AJ40" s="267">
        <v>2.0833333333333301E-2</v>
      </c>
      <c r="AK40" s="267">
        <v>6.9444444444444397E-3</v>
      </c>
      <c r="AL40" s="267">
        <v>3.125E-2</v>
      </c>
      <c r="AM40" s="271">
        <v>1</v>
      </c>
      <c r="AN40" s="292">
        <f t="shared" si="5"/>
        <v>0.11527777777777777</v>
      </c>
      <c r="AO40" s="291">
        <f t="shared" si="6"/>
        <v>110.66666666666666</v>
      </c>
      <c r="AP40" s="272">
        <f t="shared" si="7"/>
        <v>110.66666666666666</v>
      </c>
      <c r="AR40" s="273">
        <f t="shared" si="8"/>
        <v>424.5111369</v>
      </c>
      <c r="AS40" s="274">
        <f t="shared" si="9"/>
        <v>110.66666666666666</v>
      </c>
      <c r="AT40" s="275">
        <v>1</v>
      </c>
      <c r="AU40" s="276">
        <f t="shared" si="10"/>
        <v>110.66666666666666</v>
      </c>
      <c r="AV40" s="293">
        <f t="shared" si="11"/>
        <v>535.17780356666663</v>
      </c>
      <c r="AW40" s="180">
        <v>80</v>
      </c>
      <c r="AX40" s="180">
        <f t="shared" si="12"/>
        <v>615.17780356666663</v>
      </c>
      <c r="AY40" s="275">
        <v>1</v>
      </c>
    </row>
    <row r="41" spans="1:55" ht="25.5" customHeight="1" x14ac:dyDescent="0.3">
      <c r="A41" s="224" t="s">
        <v>226</v>
      </c>
      <c r="B41" s="225" t="s">
        <v>1409</v>
      </c>
      <c r="C41" s="228">
        <v>18</v>
      </c>
      <c r="D41" s="263">
        <f>C41*C5</f>
        <v>352.62</v>
      </c>
      <c r="E41" s="228">
        <v>9</v>
      </c>
      <c r="F41" s="263">
        <f>E41*F5</f>
        <v>176.31</v>
      </c>
      <c r="G41" s="227">
        <f t="shared" si="0"/>
        <v>528.93000000000006</v>
      </c>
      <c r="H41" s="228">
        <v>3</v>
      </c>
      <c r="I41" s="227">
        <f>H41*PARÂMETROS!$E$22</f>
        <v>127.10999999999999</v>
      </c>
      <c r="J41" s="228">
        <v>0.19400000000000001</v>
      </c>
      <c r="K41" s="227">
        <f>J41*PARÂMETROS!$E$22</f>
        <v>8.2197800000000001</v>
      </c>
      <c r="L41" s="228">
        <v>2E-3</v>
      </c>
      <c r="M41" s="230">
        <f>L41*PARÂMETROS!$E$8</f>
        <v>6.1780000000000002E-2</v>
      </c>
      <c r="N41" s="228">
        <f t="shared" si="1"/>
        <v>0.03</v>
      </c>
      <c r="O41" s="230">
        <f>N41*PARÂMETROS!$E$8</f>
        <v>0.92669999999999997</v>
      </c>
      <c r="P41" s="228">
        <f t="shared" si="2"/>
        <v>1.9400000000000001E-2</v>
      </c>
      <c r="Q41" s="230">
        <f>P41*PARÂMETROS!$E$8</f>
        <v>0.59926600000000008</v>
      </c>
      <c r="R41" s="228">
        <f t="shared" si="3"/>
        <v>3.0000000000000001E-3</v>
      </c>
      <c r="S41" s="230">
        <f>R41*PARÂMETROS!$E$8</f>
        <v>9.2670000000000002E-2</v>
      </c>
      <c r="T41" s="231">
        <v>1.4</v>
      </c>
      <c r="U41" s="230">
        <f>T41*PARÂMETROS!$E$27</f>
        <v>4.1999999999999993</v>
      </c>
      <c r="V41" s="228">
        <v>0.03</v>
      </c>
      <c r="W41" s="230">
        <f>V41*PARÂMETROS!$E$8</f>
        <v>0.92669999999999997</v>
      </c>
      <c r="X41" s="228">
        <v>1.9400000000000001E-3</v>
      </c>
      <c r="Y41" s="230">
        <f>X41*PARÂMETROS!$E$8</f>
        <v>5.9926600000000003E-2</v>
      </c>
      <c r="Z41" s="23"/>
      <c r="AA41" s="232" t="s">
        <v>1420</v>
      </c>
      <c r="AB41" s="264">
        <f t="shared" si="4"/>
        <v>671.12682260000008</v>
      </c>
      <c r="AC41" s="23"/>
      <c r="AD41" s="224" t="s">
        <v>226</v>
      </c>
      <c r="AE41" s="291">
        <f>PARÂMETROS!$H$3</f>
        <v>40</v>
      </c>
      <c r="AF41" s="267">
        <v>2.1527777777777798E-2</v>
      </c>
      <c r="AG41" s="267">
        <v>1.38888888888889E-2</v>
      </c>
      <c r="AH41" s="267">
        <v>1.38888888888889E-2</v>
      </c>
      <c r="AI41" s="267">
        <v>6.9444444444444397E-3</v>
      </c>
      <c r="AJ41" s="267">
        <v>2.0833333333333301E-2</v>
      </c>
      <c r="AK41" s="267">
        <v>6.9444444444444397E-3</v>
      </c>
      <c r="AL41" s="267">
        <v>3.125E-2</v>
      </c>
      <c r="AM41" s="271">
        <v>1</v>
      </c>
      <c r="AN41" s="292">
        <f t="shared" si="5"/>
        <v>0.11527777777777777</v>
      </c>
      <c r="AO41" s="291">
        <f t="shared" si="6"/>
        <v>110.66666666666666</v>
      </c>
      <c r="AP41" s="272">
        <f t="shared" si="7"/>
        <v>110.66666666666666</v>
      </c>
      <c r="AR41" s="273">
        <f t="shared" si="8"/>
        <v>671.12682260000008</v>
      </c>
      <c r="AS41" s="274">
        <f t="shared" si="9"/>
        <v>110.66666666666666</v>
      </c>
      <c r="AT41" s="275">
        <v>1</v>
      </c>
      <c r="AU41" s="276">
        <f t="shared" si="10"/>
        <v>110.66666666666666</v>
      </c>
      <c r="AV41" s="293">
        <f t="shared" si="11"/>
        <v>781.79348926666671</v>
      </c>
      <c r="AW41" s="180">
        <v>80</v>
      </c>
      <c r="AX41" s="180">
        <f t="shared" si="12"/>
        <v>861.79348926666671</v>
      </c>
      <c r="AY41" s="275">
        <v>1</v>
      </c>
    </row>
    <row r="42" spans="1:55" ht="25.5" customHeight="1" x14ac:dyDescent="0.3">
      <c r="A42" s="224" t="s">
        <v>230</v>
      </c>
      <c r="B42" s="225" t="s">
        <v>1409</v>
      </c>
      <c r="C42" s="228">
        <v>24</v>
      </c>
      <c r="D42" s="263">
        <f>C42*C5</f>
        <v>470.15999999999997</v>
      </c>
      <c r="E42" s="228">
        <v>12</v>
      </c>
      <c r="F42" s="263">
        <f>E42*F5</f>
        <v>235.07999999999998</v>
      </c>
      <c r="G42" s="227">
        <f t="shared" si="0"/>
        <v>705.24</v>
      </c>
      <c r="H42" s="228">
        <v>3.4</v>
      </c>
      <c r="I42" s="227">
        <f>H42*PARÂMETROS!$E$22</f>
        <v>144.05799999999999</v>
      </c>
      <c r="J42" s="228">
        <v>0.25</v>
      </c>
      <c r="K42" s="227">
        <f>J42*PARÂMETROS!$E$22</f>
        <v>10.592499999999999</v>
      </c>
      <c r="L42" s="228">
        <v>2E-3</v>
      </c>
      <c r="M42" s="230">
        <f>L42*PARÂMETROS!$E$8</f>
        <v>6.1780000000000002E-2</v>
      </c>
      <c r="N42" s="228">
        <f t="shared" si="1"/>
        <v>3.4000000000000002E-2</v>
      </c>
      <c r="O42" s="230">
        <f>N42*PARÂMETROS!$E$8</f>
        <v>1.0502600000000002</v>
      </c>
      <c r="P42" s="228">
        <f t="shared" si="2"/>
        <v>2.5000000000000001E-2</v>
      </c>
      <c r="Q42" s="230">
        <f>P42*PARÂMETROS!$E$8</f>
        <v>0.7722500000000001</v>
      </c>
      <c r="R42" s="228">
        <f t="shared" si="3"/>
        <v>3.4000000000000002E-3</v>
      </c>
      <c r="S42" s="230">
        <f>R42*PARÂMETROS!$E$8</f>
        <v>0.10502600000000001</v>
      </c>
      <c r="T42" s="231">
        <v>1.52</v>
      </c>
      <c r="U42" s="230">
        <f>T42*PARÂMETROS!$E$27</f>
        <v>4.5600000000000005</v>
      </c>
      <c r="V42" s="228">
        <v>3.4000000000000002E-2</v>
      </c>
      <c r="W42" s="230">
        <f>V42*PARÂMETROS!$E$8</f>
        <v>1.0502600000000002</v>
      </c>
      <c r="X42" s="228">
        <v>2.5000000000000001E-3</v>
      </c>
      <c r="Y42" s="230">
        <f>X42*PARÂMETROS!$E$8</f>
        <v>7.7225000000000002E-2</v>
      </c>
      <c r="Z42" s="23"/>
      <c r="AA42" s="232" t="s">
        <v>1421</v>
      </c>
      <c r="AB42" s="264">
        <f t="shared" si="4"/>
        <v>867.56730100000004</v>
      </c>
      <c r="AC42" s="23"/>
      <c r="AD42" s="224" t="s">
        <v>230</v>
      </c>
      <c r="AE42" s="291">
        <f>PARÂMETROS!$H$3</f>
        <v>40</v>
      </c>
      <c r="AF42" s="267">
        <v>2.1527777777777798E-2</v>
      </c>
      <c r="AG42" s="267">
        <v>1.38888888888889E-2</v>
      </c>
      <c r="AH42" s="267">
        <v>2.0833333333333301E-2</v>
      </c>
      <c r="AI42" s="267">
        <v>6.9444444444444397E-3</v>
      </c>
      <c r="AJ42" s="267">
        <v>2.0833333333333301E-2</v>
      </c>
      <c r="AK42" s="267">
        <v>6.9444444444444397E-3</v>
      </c>
      <c r="AL42" s="267">
        <v>3.125E-2</v>
      </c>
      <c r="AM42" s="271">
        <v>1</v>
      </c>
      <c r="AN42" s="292">
        <f t="shared" si="5"/>
        <v>0.12222222222222218</v>
      </c>
      <c r="AO42" s="291">
        <f t="shared" si="6"/>
        <v>117.3333333333333</v>
      </c>
      <c r="AP42" s="272">
        <f t="shared" si="7"/>
        <v>117.3333333333333</v>
      </c>
      <c r="AR42" s="273">
        <f t="shared" si="8"/>
        <v>867.56730100000004</v>
      </c>
      <c r="AS42" s="274">
        <f t="shared" si="9"/>
        <v>117.3333333333333</v>
      </c>
      <c r="AT42" s="275">
        <v>1</v>
      </c>
      <c r="AU42" s="276">
        <f t="shared" si="10"/>
        <v>117.3333333333333</v>
      </c>
      <c r="AV42" s="293">
        <f t="shared" si="11"/>
        <v>984.9006343333333</v>
      </c>
      <c r="AW42" s="180">
        <v>80</v>
      </c>
      <c r="AX42" s="180">
        <f t="shared" si="12"/>
        <v>1064.9006343333333</v>
      </c>
      <c r="AY42" s="275">
        <v>1</v>
      </c>
    </row>
    <row r="43" spans="1:55" ht="25.5" customHeight="1" x14ac:dyDescent="0.3">
      <c r="A43" s="224" t="s">
        <v>234</v>
      </c>
      <c r="B43" s="225" t="s">
        <v>1409</v>
      </c>
      <c r="C43" s="228">
        <v>34</v>
      </c>
      <c r="D43" s="263">
        <f>C43*C5</f>
        <v>666.06</v>
      </c>
      <c r="E43" s="228">
        <v>17</v>
      </c>
      <c r="F43" s="263">
        <f>E43*F5</f>
        <v>333.03</v>
      </c>
      <c r="G43" s="227">
        <f t="shared" si="0"/>
        <v>999.08999999999992</v>
      </c>
      <c r="H43" s="228">
        <v>3.9</v>
      </c>
      <c r="I43" s="227">
        <f>H43*PARÂMETROS!$E$22</f>
        <v>165.24299999999999</v>
      </c>
      <c r="J43" s="228">
        <v>0.30099999999999999</v>
      </c>
      <c r="K43" s="227">
        <f>J43*PARÂMETROS!$E$22</f>
        <v>12.753369999999999</v>
      </c>
      <c r="L43" s="228">
        <v>2E-3</v>
      </c>
      <c r="M43" s="230">
        <f>L43*PARÂMETROS!$E$8</f>
        <v>6.1780000000000002E-2</v>
      </c>
      <c r="N43" s="228">
        <f t="shared" si="1"/>
        <v>3.9E-2</v>
      </c>
      <c r="O43" s="230">
        <f>N43*PARÂMETROS!$E$8</f>
        <v>1.2047099999999999</v>
      </c>
      <c r="P43" s="228">
        <f t="shared" si="2"/>
        <v>3.0100000000000002E-2</v>
      </c>
      <c r="Q43" s="230">
        <f>P43*PARÂMETROS!$E$8</f>
        <v>0.92978900000000009</v>
      </c>
      <c r="R43" s="228">
        <f t="shared" si="3"/>
        <v>3.9000000000000003E-3</v>
      </c>
      <c r="S43" s="230">
        <f>R43*PARÂMETROS!$E$8</f>
        <v>0.12047100000000001</v>
      </c>
      <c r="T43" s="231">
        <v>1.62</v>
      </c>
      <c r="U43" s="230">
        <f>T43*PARÂMETROS!$E$27</f>
        <v>4.8600000000000003</v>
      </c>
      <c r="V43" s="228">
        <v>3.9E-2</v>
      </c>
      <c r="W43" s="230">
        <f>V43*PARÂMETROS!$E$8</f>
        <v>1.2047099999999999</v>
      </c>
      <c r="X43" s="228">
        <v>3.0100000000000001E-3</v>
      </c>
      <c r="Y43" s="230">
        <f>X43*PARÂMETROS!$E$8</f>
        <v>9.2978900000000003E-2</v>
      </c>
      <c r="Z43" s="23"/>
      <c r="AA43" s="232" t="s">
        <v>1422</v>
      </c>
      <c r="AB43" s="264">
        <f t="shared" si="4"/>
        <v>1185.5608088999998</v>
      </c>
      <c r="AC43" s="23"/>
      <c r="AD43" s="224" t="s">
        <v>234</v>
      </c>
      <c r="AE43" s="291">
        <f>PARÂMETROS!$H$3</f>
        <v>40</v>
      </c>
      <c r="AF43" s="267">
        <v>2.1527777777777798E-2</v>
      </c>
      <c r="AG43" s="267">
        <v>1.7361111111111101E-2</v>
      </c>
      <c r="AH43" s="267">
        <v>2.0833333333333301E-2</v>
      </c>
      <c r="AI43" s="267">
        <v>6.9444444444444397E-3</v>
      </c>
      <c r="AJ43" s="267">
        <v>2.0833333333333301E-2</v>
      </c>
      <c r="AK43" s="267">
        <v>6.9444444444444397E-3</v>
      </c>
      <c r="AL43" s="267">
        <v>3.125E-2</v>
      </c>
      <c r="AM43" s="271">
        <v>1</v>
      </c>
      <c r="AN43" s="292">
        <f t="shared" si="5"/>
        <v>0.12569444444444439</v>
      </c>
      <c r="AO43" s="291">
        <f t="shared" si="6"/>
        <v>120.6666666666666</v>
      </c>
      <c r="AP43" s="272">
        <f t="shared" si="7"/>
        <v>120.6666666666666</v>
      </c>
      <c r="AR43" s="273">
        <f t="shared" si="8"/>
        <v>1185.5608088999998</v>
      </c>
      <c r="AS43" s="274">
        <f t="shared" si="9"/>
        <v>120.6666666666666</v>
      </c>
      <c r="AT43" s="275">
        <v>1</v>
      </c>
      <c r="AU43" s="276">
        <f t="shared" si="10"/>
        <v>120.6666666666666</v>
      </c>
      <c r="AV43" s="293">
        <f t="shared" si="11"/>
        <v>1306.2274755666663</v>
      </c>
      <c r="AW43" s="180">
        <v>80</v>
      </c>
      <c r="AX43" s="180">
        <f t="shared" si="12"/>
        <v>1386.2274755666663</v>
      </c>
      <c r="AY43" s="275">
        <v>1</v>
      </c>
    </row>
    <row r="44" spans="1:55" ht="25.5" customHeight="1" x14ac:dyDescent="0.3">
      <c r="A44" s="224" t="s">
        <v>238</v>
      </c>
      <c r="B44" s="225" t="s">
        <v>1409</v>
      </c>
      <c r="C44" s="228">
        <v>40</v>
      </c>
      <c r="D44" s="263">
        <f>C44*C5</f>
        <v>783.6</v>
      </c>
      <c r="E44" s="228">
        <v>20</v>
      </c>
      <c r="F44" s="263">
        <f>E44*F5</f>
        <v>391.8</v>
      </c>
      <c r="G44" s="227">
        <f t="shared" si="0"/>
        <v>1175.4000000000001</v>
      </c>
      <c r="H44" s="228">
        <v>4.5</v>
      </c>
      <c r="I44" s="227">
        <f>H44*PARÂMETROS!$E$22</f>
        <v>190.66499999999999</v>
      </c>
      <c r="J44" s="228">
        <v>0.35699999999999998</v>
      </c>
      <c r="K44" s="227">
        <f>J44*PARÂMETROS!$E$22</f>
        <v>15.126089999999998</v>
      </c>
      <c r="L44" s="228">
        <v>2E-3</v>
      </c>
      <c r="M44" s="230">
        <f>L44*PARÂMETROS!$E$8</f>
        <v>6.1780000000000002E-2</v>
      </c>
      <c r="N44" s="228">
        <f t="shared" si="1"/>
        <v>4.4999999999999998E-2</v>
      </c>
      <c r="O44" s="230">
        <f>N44*PARÂMETROS!$E$8</f>
        <v>1.39005</v>
      </c>
      <c r="P44" s="228">
        <f t="shared" si="2"/>
        <v>3.5700000000000003E-2</v>
      </c>
      <c r="Q44" s="230">
        <f>P44*PARÂMETROS!$E$8</f>
        <v>1.102773</v>
      </c>
      <c r="R44" s="228">
        <f t="shared" si="3"/>
        <v>4.4999999999999997E-3</v>
      </c>
      <c r="S44" s="230">
        <f>R44*PARÂMETROS!$E$8</f>
        <v>0.13900499999999999</v>
      </c>
      <c r="T44" s="231">
        <v>1.72</v>
      </c>
      <c r="U44" s="230">
        <f>T44*PARÂMETROS!$E$27</f>
        <v>5.16</v>
      </c>
      <c r="V44" s="228">
        <v>4.4999999999999998E-2</v>
      </c>
      <c r="W44" s="230">
        <f>V44*PARÂMETROS!$E$8</f>
        <v>1.39005</v>
      </c>
      <c r="X44" s="228">
        <v>3.5699999999999998E-3</v>
      </c>
      <c r="Y44" s="230">
        <f>X44*PARÂMETROS!$E$8</f>
        <v>0.11027729999999999</v>
      </c>
      <c r="Z44" s="23"/>
      <c r="AA44" s="232" t="s">
        <v>1423</v>
      </c>
      <c r="AB44" s="264">
        <f t="shared" si="4"/>
        <v>1390.5450253000001</v>
      </c>
      <c r="AC44" s="23"/>
      <c r="AD44" s="224" t="s">
        <v>238</v>
      </c>
      <c r="AE44" s="291">
        <f>PARÂMETROS!$H$3</f>
        <v>40</v>
      </c>
      <c r="AF44" s="267">
        <v>4.1666666666666699E-2</v>
      </c>
      <c r="AG44" s="267">
        <v>1.7361111111111101E-2</v>
      </c>
      <c r="AH44" s="267">
        <v>2.0833333333333301E-2</v>
      </c>
      <c r="AI44" s="267">
        <v>6.9444444444444397E-3</v>
      </c>
      <c r="AJ44" s="267">
        <v>2.0833333333333301E-2</v>
      </c>
      <c r="AK44" s="267">
        <v>6.9444444444444397E-3</v>
      </c>
      <c r="AL44" s="267">
        <v>3.125E-2</v>
      </c>
      <c r="AM44" s="271">
        <v>1</v>
      </c>
      <c r="AN44" s="292">
        <f t="shared" si="5"/>
        <v>0.14583333333333329</v>
      </c>
      <c r="AO44" s="291">
        <f t="shared" si="6"/>
        <v>139.99999999999994</v>
      </c>
      <c r="AP44" s="272">
        <f t="shared" si="7"/>
        <v>139.99999999999994</v>
      </c>
      <c r="AR44" s="273">
        <f t="shared" si="8"/>
        <v>1390.5450253000001</v>
      </c>
      <c r="AS44" s="274">
        <f t="shared" si="9"/>
        <v>139.99999999999994</v>
      </c>
      <c r="AT44" s="275">
        <v>1</v>
      </c>
      <c r="AU44" s="276">
        <f t="shared" si="10"/>
        <v>139.99999999999994</v>
      </c>
      <c r="AV44" s="293">
        <f t="shared" si="11"/>
        <v>1530.5450253000001</v>
      </c>
      <c r="AW44" s="180">
        <v>80</v>
      </c>
      <c r="AX44" s="180">
        <f t="shared" si="12"/>
        <v>1610.5450253000001</v>
      </c>
      <c r="AY44" s="275">
        <v>1</v>
      </c>
    </row>
    <row r="45" spans="1:55" ht="25.5" customHeight="1" x14ac:dyDescent="0.3">
      <c r="A45" s="224" t="s">
        <v>242</v>
      </c>
      <c r="B45" s="225" t="s">
        <v>1409</v>
      </c>
      <c r="C45" s="228">
        <v>52</v>
      </c>
      <c r="D45" s="263">
        <f>C45*C5</f>
        <v>1018.68</v>
      </c>
      <c r="E45" s="228">
        <v>26</v>
      </c>
      <c r="F45" s="263">
        <f>E45*F5</f>
        <v>509.34</v>
      </c>
      <c r="G45" s="227">
        <f t="shared" si="0"/>
        <v>1528.02</v>
      </c>
      <c r="H45" s="228">
        <v>5</v>
      </c>
      <c r="I45" s="227">
        <f>H45*PARÂMETROS!$E$22</f>
        <v>211.85</v>
      </c>
      <c r="J45" s="228">
        <v>0.41799999999999998</v>
      </c>
      <c r="K45" s="227">
        <f>J45*PARÂMETROS!$E$22</f>
        <v>17.710659999999997</v>
      </c>
      <c r="L45" s="228">
        <v>2E-3</v>
      </c>
      <c r="M45" s="230">
        <f>L45*PARÂMETROS!$E$8</f>
        <v>6.1780000000000002E-2</v>
      </c>
      <c r="N45" s="228">
        <f t="shared" si="1"/>
        <v>0.05</v>
      </c>
      <c r="O45" s="230">
        <f>N45*PARÂMETROS!$E$8</f>
        <v>1.5445000000000002</v>
      </c>
      <c r="P45" s="228">
        <f t="shared" si="2"/>
        <v>4.1800000000000004E-2</v>
      </c>
      <c r="Q45" s="230">
        <f>P45*PARÂMETROS!$E$8</f>
        <v>1.2912020000000002</v>
      </c>
      <c r="R45" s="228">
        <f t="shared" si="3"/>
        <v>5.000000000000001E-3</v>
      </c>
      <c r="S45" s="230">
        <f>R45*PARÂMETROS!$E$8</f>
        <v>0.15445000000000003</v>
      </c>
      <c r="T45" s="231">
        <v>1.82</v>
      </c>
      <c r="U45" s="230">
        <f>T45*PARÂMETROS!$E$27</f>
        <v>5.46</v>
      </c>
      <c r="V45" s="228">
        <v>0.05</v>
      </c>
      <c r="W45" s="230">
        <f>V45*PARÂMETROS!$E$8</f>
        <v>1.5445000000000002</v>
      </c>
      <c r="X45" s="228">
        <v>4.1799999999999997E-3</v>
      </c>
      <c r="Y45" s="230">
        <f>X45*PARÂMETROS!$E$8</f>
        <v>0.12912019999999999</v>
      </c>
      <c r="Z45" s="23"/>
      <c r="AA45" s="232" t="s">
        <v>1424</v>
      </c>
      <c r="AB45" s="264">
        <f t="shared" si="4"/>
        <v>1767.7662121999999</v>
      </c>
      <c r="AC45" s="23"/>
      <c r="AD45" s="224" t="s">
        <v>242</v>
      </c>
      <c r="AE45" s="291">
        <f>PARÂMETROS!$H$3</f>
        <v>40</v>
      </c>
      <c r="AF45" s="267">
        <v>4.1666666666666699E-2</v>
      </c>
      <c r="AG45" s="267">
        <v>1.7361111111111101E-2</v>
      </c>
      <c r="AH45" s="267">
        <v>2.7777777777777801E-2</v>
      </c>
      <c r="AI45" s="267">
        <v>6.9444444444444397E-3</v>
      </c>
      <c r="AJ45" s="267">
        <v>2.0833333333333301E-2</v>
      </c>
      <c r="AK45" s="267">
        <v>6.9444444444444397E-3</v>
      </c>
      <c r="AL45" s="267">
        <v>3.125E-2</v>
      </c>
      <c r="AM45" s="271">
        <v>1</v>
      </c>
      <c r="AN45" s="292">
        <f t="shared" si="5"/>
        <v>0.15277777777777779</v>
      </c>
      <c r="AO45" s="291">
        <f t="shared" si="6"/>
        <v>146.66666666666669</v>
      </c>
      <c r="AP45" s="272">
        <f t="shared" si="7"/>
        <v>146.66666666666669</v>
      </c>
      <c r="AR45" s="273">
        <f t="shared" si="8"/>
        <v>1767.7662121999999</v>
      </c>
      <c r="AS45" s="274">
        <f t="shared" si="9"/>
        <v>146.66666666666669</v>
      </c>
      <c r="AT45" s="275">
        <v>1</v>
      </c>
      <c r="AU45" s="276">
        <f t="shared" si="10"/>
        <v>146.66666666666669</v>
      </c>
      <c r="AV45" s="293">
        <f t="shared" si="11"/>
        <v>1914.4328788666667</v>
      </c>
      <c r="AW45" s="180">
        <v>80</v>
      </c>
      <c r="AX45" s="180">
        <f t="shared" si="12"/>
        <v>1994.4328788666667</v>
      </c>
      <c r="AY45" s="275">
        <v>1</v>
      </c>
    </row>
    <row r="46" spans="1:55" ht="25.5" customHeight="1" x14ac:dyDescent="0.3">
      <c r="A46" s="224" t="s">
        <v>246</v>
      </c>
      <c r="B46" s="225" t="s">
        <v>1409</v>
      </c>
      <c r="C46" s="228">
        <v>66</v>
      </c>
      <c r="D46" s="263">
        <f>C46*C5</f>
        <v>1292.94</v>
      </c>
      <c r="E46" s="228">
        <v>33</v>
      </c>
      <c r="F46" s="263">
        <f>E46*F5</f>
        <v>646.47</v>
      </c>
      <c r="G46" s="227">
        <f t="shared" si="0"/>
        <v>1939.41</v>
      </c>
      <c r="H46" s="228">
        <v>5.4</v>
      </c>
      <c r="I46" s="227">
        <f>H46*PARÂMETROS!$E$22</f>
        <v>228.798</v>
      </c>
      <c r="J46" s="228">
        <v>0.498</v>
      </c>
      <c r="K46" s="227">
        <f>J46*PARÂMETROS!$E$22</f>
        <v>21.100259999999999</v>
      </c>
      <c r="L46" s="228">
        <v>2E-3</v>
      </c>
      <c r="M46" s="230">
        <f>L46*PARÂMETROS!$E$8</f>
        <v>6.1780000000000002E-2</v>
      </c>
      <c r="N46" s="228">
        <f t="shared" si="1"/>
        <v>5.4000000000000006E-2</v>
      </c>
      <c r="O46" s="230">
        <f>N46*PARÂMETROS!$E$8</f>
        <v>1.6680600000000003</v>
      </c>
      <c r="P46" s="228">
        <f t="shared" si="2"/>
        <v>4.9800000000000004E-2</v>
      </c>
      <c r="Q46" s="230">
        <f>P46*PARÂMETROS!$E$8</f>
        <v>1.5383220000000002</v>
      </c>
      <c r="R46" s="228">
        <f t="shared" si="3"/>
        <v>5.4000000000000012E-3</v>
      </c>
      <c r="S46" s="230">
        <f>R46*PARÂMETROS!$E$8</f>
        <v>0.16680600000000004</v>
      </c>
      <c r="T46" s="231">
        <v>1.92</v>
      </c>
      <c r="U46" s="230">
        <f>T46*PARÂMETROS!$E$27</f>
        <v>5.76</v>
      </c>
      <c r="V46" s="228">
        <v>5.3999999999999999E-2</v>
      </c>
      <c r="W46" s="230">
        <f>V46*PARÂMETROS!$E$8</f>
        <v>1.6680600000000001</v>
      </c>
      <c r="X46" s="228">
        <v>4.9800000000000001E-3</v>
      </c>
      <c r="Y46" s="230">
        <f>X46*PARÂMETROS!$E$8</f>
        <v>0.1538322</v>
      </c>
      <c r="Z46" s="23"/>
      <c r="AA46" s="232" t="s">
        <v>1425</v>
      </c>
      <c r="AB46" s="264">
        <f t="shared" si="4"/>
        <v>2200.3251202000001</v>
      </c>
      <c r="AC46" s="23"/>
      <c r="AD46" s="224" t="s">
        <v>246</v>
      </c>
      <c r="AE46" s="291">
        <f>PARÂMETROS!$H$3</f>
        <v>40</v>
      </c>
      <c r="AF46" s="267">
        <v>4.1666666666666699E-2</v>
      </c>
      <c r="AG46" s="267">
        <v>1.7361111111111101E-2</v>
      </c>
      <c r="AH46" s="267">
        <v>2.7777777777777801E-2</v>
      </c>
      <c r="AI46" s="267">
        <v>6.9444444444444397E-3</v>
      </c>
      <c r="AJ46" s="267">
        <v>2.0833333333333301E-2</v>
      </c>
      <c r="AK46" s="267">
        <v>6.9444444444444397E-3</v>
      </c>
      <c r="AL46" s="267">
        <v>3.125E-2</v>
      </c>
      <c r="AM46" s="271">
        <v>1</v>
      </c>
      <c r="AN46" s="292">
        <f t="shared" si="5"/>
        <v>0.15277777777777779</v>
      </c>
      <c r="AO46" s="291">
        <f t="shared" si="6"/>
        <v>146.66666666666669</v>
      </c>
      <c r="AP46" s="272">
        <f t="shared" si="7"/>
        <v>146.66666666666669</v>
      </c>
      <c r="AR46" s="273">
        <f t="shared" si="8"/>
        <v>2200.3251202000001</v>
      </c>
      <c r="AS46" s="274">
        <f t="shared" si="9"/>
        <v>146.66666666666669</v>
      </c>
      <c r="AT46" s="275">
        <v>1</v>
      </c>
      <c r="AU46" s="276">
        <f t="shared" si="10"/>
        <v>146.66666666666669</v>
      </c>
      <c r="AV46" s="293">
        <f t="shared" si="11"/>
        <v>2346.9917868666666</v>
      </c>
      <c r="AW46" s="180">
        <v>80</v>
      </c>
      <c r="AX46" s="180">
        <f t="shared" si="12"/>
        <v>2426.9917868666666</v>
      </c>
      <c r="AY46" s="275">
        <v>1</v>
      </c>
    </row>
    <row r="47" spans="1:55" ht="25.5" customHeight="1" x14ac:dyDescent="0.3">
      <c r="A47" s="224" t="s">
        <v>250</v>
      </c>
      <c r="B47" s="225" t="s">
        <v>1409</v>
      </c>
      <c r="C47" s="228">
        <v>86</v>
      </c>
      <c r="D47" s="263">
        <f>C47*C5</f>
        <v>1684.74</v>
      </c>
      <c r="E47" s="228">
        <v>43</v>
      </c>
      <c r="F47" s="263">
        <f>E47*F5</f>
        <v>842.37</v>
      </c>
      <c r="G47" s="227">
        <f t="shared" si="0"/>
        <v>2527.11</v>
      </c>
      <c r="H47" s="228">
        <v>6</v>
      </c>
      <c r="I47" s="227">
        <f>H47*PARÂMETROS!$E$22</f>
        <v>254.21999999999997</v>
      </c>
      <c r="J47" s="228">
        <v>0.54</v>
      </c>
      <c r="K47" s="227">
        <f>J47*PARÂMETROS!$E$22</f>
        <v>22.879799999999999</v>
      </c>
      <c r="L47" s="228">
        <v>2E-3</v>
      </c>
      <c r="M47" s="230">
        <f>L47*PARÂMETROS!$E$8</f>
        <v>6.1780000000000002E-2</v>
      </c>
      <c r="N47" s="228">
        <f t="shared" si="1"/>
        <v>0.06</v>
      </c>
      <c r="O47" s="230">
        <f>N47*PARÂMETROS!$E$8</f>
        <v>1.8533999999999999</v>
      </c>
      <c r="P47" s="228">
        <f t="shared" si="2"/>
        <v>5.4000000000000006E-2</v>
      </c>
      <c r="Q47" s="230">
        <f>P47*PARÂMETROS!$E$8</f>
        <v>1.6680600000000003</v>
      </c>
      <c r="R47" s="228">
        <f t="shared" si="3"/>
        <v>6.0000000000000001E-3</v>
      </c>
      <c r="S47" s="230">
        <f>R47*PARÂMETROS!$E$8</f>
        <v>0.18534</v>
      </c>
      <c r="T47" s="231">
        <v>2</v>
      </c>
      <c r="U47" s="230">
        <f>T47*PARÂMETROS!$E$27</f>
        <v>6</v>
      </c>
      <c r="V47" s="228">
        <v>0.06</v>
      </c>
      <c r="W47" s="230">
        <f>V47*PARÂMETROS!$E$8</f>
        <v>1.8533999999999999</v>
      </c>
      <c r="X47" s="228">
        <v>5.4000000000000003E-3</v>
      </c>
      <c r="Y47" s="230">
        <f>X47*PARÂMETROS!$E$8</f>
        <v>0.16680600000000001</v>
      </c>
      <c r="Z47" s="23"/>
      <c r="AA47" s="232" t="s">
        <v>1426</v>
      </c>
      <c r="AB47" s="264">
        <f t="shared" si="4"/>
        <v>2815.9985860000002</v>
      </c>
      <c r="AC47" s="23"/>
      <c r="AD47" s="224" t="s">
        <v>250</v>
      </c>
      <c r="AE47" s="291">
        <f>PARÂMETROS!$H$3</f>
        <v>40</v>
      </c>
      <c r="AF47" s="267">
        <v>4.1666666666666699E-2</v>
      </c>
      <c r="AG47" s="267">
        <v>2.4305555555555601E-2</v>
      </c>
      <c r="AH47" s="267">
        <v>7.6388888888888895E-2</v>
      </c>
      <c r="AI47" s="267">
        <v>6.9444444444444397E-3</v>
      </c>
      <c r="AJ47" s="267">
        <v>2.0833333333333301E-2</v>
      </c>
      <c r="AK47" s="267">
        <v>6.9444444444444397E-3</v>
      </c>
      <c r="AL47" s="267">
        <v>3.125E-2</v>
      </c>
      <c r="AM47" s="271">
        <v>1</v>
      </c>
      <c r="AN47" s="292">
        <f t="shared" si="5"/>
        <v>0.20833333333333337</v>
      </c>
      <c r="AO47" s="291">
        <f t="shared" si="6"/>
        <v>200.00000000000006</v>
      </c>
      <c r="AP47" s="272">
        <f t="shared" si="7"/>
        <v>200.00000000000006</v>
      </c>
      <c r="AR47" s="273">
        <f t="shared" si="8"/>
        <v>2815.9985860000002</v>
      </c>
      <c r="AS47" s="274">
        <f t="shared" si="9"/>
        <v>200.00000000000006</v>
      </c>
      <c r="AT47" s="275">
        <v>1</v>
      </c>
      <c r="AU47" s="276">
        <f t="shared" si="10"/>
        <v>200.00000000000006</v>
      </c>
      <c r="AV47" s="293">
        <f t="shared" si="11"/>
        <v>3015.9985860000002</v>
      </c>
      <c r="AW47" s="180">
        <v>80</v>
      </c>
      <c r="AX47" s="180">
        <f t="shared" si="12"/>
        <v>3095.9985860000002</v>
      </c>
      <c r="AY47" s="275">
        <v>1</v>
      </c>
    </row>
    <row r="48" spans="1:55" ht="25.5" customHeight="1" x14ac:dyDescent="0.3">
      <c r="A48" s="224" t="s">
        <v>254</v>
      </c>
      <c r="B48" s="225" t="s">
        <v>1409</v>
      </c>
      <c r="C48" s="228">
        <v>90</v>
      </c>
      <c r="D48" s="263">
        <f>C48*C5</f>
        <v>1763.1</v>
      </c>
      <c r="E48" s="228">
        <v>45</v>
      </c>
      <c r="F48" s="263">
        <f>E48*F5</f>
        <v>881.55</v>
      </c>
      <c r="G48" s="227">
        <f t="shared" si="0"/>
        <v>2644.6499999999996</v>
      </c>
      <c r="H48" s="228">
        <v>6.4</v>
      </c>
      <c r="I48" s="227">
        <f>H48*PARÂMETROS!$E$22</f>
        <v>271.16800000000001</v>
      </c>
      <c r="J48" s="228">
        <v>0.61499999999999999</v>
      </c>
      <c r="K48" s="227">
        <f>J48*PARÂMETROS!$E$22</f>
        <v>26.057549999999999</v>
      </c>
      <c r="L48" s="228">
        <v>2E-3</v>
      </c>
      <c r="M48" s="230">
        <f>L48*PARÂMETROS!$E$8</f>
        <v>6.1780000000000002E-2</v>
      </c>
      <c r="N48" s="228">
        <f t="shared" si="1"/>
        <v>6.4000000000000001E-2</v>
      </c>
      <c r="O48" s="230">
        <f>N48*PARÂMETROS!$E$8</f>
        <v>1.9769600000000001</v>
      </c>
      <c r="P48" s="228">
        <f t="shared" si="2"/>
        <v>6.1499999999999999E-2</v>
      </c>
      <c r="Q48" s="230">
        <f>P48*PARÂMETROS!$E$8</f>
        <v>1.899735</v>
      </c>
      <c r="R48" s="228">
        <f t="shared" si="3"/>
        <v>6.4000000000000003E-3</v>
      </c>
      <c r="S48" s="230">
        <f>R48*PARÂMETROS!$E$8</f>
        <v>0.19769600000000001</v>
      </c>
      <c r="T48" s="231">
        <v>2.1</v>
      </c>
      <c r="U48" s="230">
        <f>T48*PARÂMETROS!$E$27</f>
        <v>6.3000000000000007</v>
      </c>
      <c r="V48" s="228">
        <v>6.4000000000000001E-2</v>
      </c>
      <c r="W48" s="230">
        <f>V48*PARÂMETROS!$E$8</f>
        <v>1.9769600000000001</v>
      </c>
      <c r="X48" s="228">
        <v>6.1500000000000001E-3</v>
      </c>
      <c r="Y48" s="230">
        <f>X48*PARÂMETROS!$E$8</f>
        <v>0.18997350000000002</v>
      </c>
      <c r="Z48" s="23"/>
      <c r="AA48" s="232" t="s">
        <v>1427</v>
      </c>
      <c r="AB48" s="264">
        <f t="shared" si="4"/>
        <v>2954.4786544999997</v>
      </c>
      <c r="AC48" s="23"/>
      <c r="AD48" s="224" t="s">
        <v>254</v>
      </c>
      <c r="AE48" s="291">
        <f>PARÂMETROS!$H$3</f>
        <v>40</v>
      </c>
      <c r="AF48" s="267">
        <v>4.1666666666666699E-2</v>
      </c>
      <c r="AG48" s="267">
        <v>2.4305555555555601E-2</v>
      </c>
      <c r="AH48" s="267">
        <v>7.6388888888888895E-2</v>
      </c>
      <c r="AI48" s="267">
        <v>6.9444444444444397E-3</v>
      </c>
      <c r="AJ48" s="267">
        <v>2.0833333333333301E-2</v>
      </c>
      <c r="AK48" s="267">
        <v>6.9444444444444397E-3</v>
      </c>
      <c r="AL48" s="267">
        <v>3.125E-2</v>
      </c>
      <c r="AM48" s="271">
        <v>1</v>
      </c>
      <c r="AN48" s="292">
        <f t="shared" si="5"/>
        <v>0.20833333333333337</v>
      </c>
      <c r="AO48" s="291">
        <f t="shared" si="6"/>
        <v>200.00000000000006</v>
      </c>
      <c r="AP48" s="272">
        <f t="shared" si="7"/>
        <v>200.00000000000006</v>
      </c>
      <c r="AR48" s="273">
        <f t="shared" si="8"/>
        <v>2954.4786544999997</v>
      </c>
      <c r="AS48" s="274">
        <f t="shared" si="9"/>
        <v>200.00000000000006</v>
      </c>
      <c r="AT48" s="275">
        <v>1</v>
      </c>
      <c r="AU48" s="276">
        <f t="shared" si="10"/>
        <v>200.00000000000006</v>
      </c>
      <c r="AV48" s="293">
        <f t="shared" si="11"/>
        <v>3154.4786544999997</v>
      </c>
      <c r="AW48" s="180">
        <v>80</v>
      </c>
      <c r="AX48" s="180">
        <f t="shared" si="12"/>
        <v>3234.4786544999997</v>
      </c>
      <c r="AY48" s="275">
        <v>1</v>
      </c>
    </row>
    <row r="49" spans="1:70" ht="25.5" customHeight="1" x14ac:dyDescent="0.3">
      <c r="A49" s="224" t="s">
        <v>258</v>
      </c>
      <c r="B49" s="225" t="s">
        <v>1409</v>
      </c>
      <c r="C49" s="228">
        <v>115</v>
      </c>
      <c r="D49" s="263">
        <f>C49*C5</f>
        <v>2252.85</v>
      </c>
      <c r="E49" s="228">
        <v>57</v>
      </c>
      <c r="F49" s="263">
        <f>E49*F5</f>
        <v>1116.6299999999999</v>
      </c>
      <c r="G49" s="227">
        <f t="shared" si="0"/>
        <v>3369.4799999999996</v>
      </c>
      <c r="H49" s="228">
        <v>7.7</v>
      </c>
      <c r="I49" s="227">
        <f>H49*PARÂMETROS!$E$22</f>
        <v>326.24899999999997</v>
      </c>
      <c r="J49" s="228">
        <v>0.71</v>
      </c>
      <c r="K49" s="227">
        <f>J49*PARÂMETROS!$E$22</f>
        <v>30.082699999999996</v>
      </c>
      <c r="L49" s="228">
        <v>2E-3</v>
      </c>
      <c r="M49" s="230">
        <f>L49*PARÂMETROS!$E$8</f>
        <v>6.1780000000000002E-2</v>
      </c>
      <c r="N49" s="228">
        <f t="shared" si="1"/>
        <v>7.6999999999999999E-2</v>
      </c>
      <c r="O49" s="230">
        <f>N49*PARÂMETROS!$E$8</f>
        <v>2.37853</v>
      </c>
      <c r="P49" s="228">
        <f t="shared" si="2"/>
        <v>7.0999999999999994E-2</v>
      </c>
      <c r="Q49" s="230">
        <f>P49*PARÂMETROS!$E$8</f>
        <v>2.19319</v>
      </c>
      <c r="R49" s="228">
        <f t="shared" si="3"/>
        <v>7.7000000000000002E-3</v>
      </c>
      <c r="S49" s="230">
        <f>R49*PARÂMETROS!$E$8</f>
        <v>0.23785300000000001</v>
      </c>
      <c r="T49" s="231">
        <v>2.2000000000000002</v>
      </c>
      <c r="U49" s="230">
        <f>T49*PARÂMETROS!$E$27</f>
        <v>6.6000000000000005</v>
      </c>
      <c r="V49" s="228">
        <v>7.6999999999999999E-2</v>
      </c>
      <c r="W49" s="230">
        <f>V49*PARÂMETROS!$E$8</f>
        <v>2.37853</v>
      </c>
      <c r="X49" s="228">
        <v>7.1000000000000004E-3</v>
      </c>
      <c r="Y49" s="230">
        <f>X49*PARÂMETROS!$E$8</f>
        <v>0.21931900000000001</v>
      </c>
      <c r="Z49" s="23"/>
      <c r="AA49" s="232" t="s">
        <v>1428</v>
      </c>
      <c r="AB49" s="264">
        <f t="shared" si="4"/>
        <v>3739.8809019999994</v>
      </c>
      <c r="AC49" s="23"/>
      <c r="AD49" s="224" t="s">
        <v>258</v>
      </c>
      <c r="AE49" s="291">
        <f>PARÂMETROS!$H$3</f>
        <v>40</v>
      </c>
      <c r="AF49" s="267">
        <v>4.1666666666666699E-2</v>
      </c>
      <c r="AG49" s="267">
        <v>2.4305555555555601E-2</v>
      </c>
      <c r="AH49" s="267">
        <v>7.6388888888888895E-2</v>
      </c>
      <c r="AI49" s="267">
        <v>6.9444444444444397E-3</v>
      </c>
      <c r="AJ49" s="267">
        <v>2.0833333333333301E-2</v>
      </c>
      <c r="AK49" s="267">
        <v>6.9444444444444397E-3</v>
      </c>
      <c r="AL49" s="267">
        <v>3.125E-2</v>
      </c>
      <c r="AM49" s="271">
        <v>1</v>
      </c>
      <c r="AN49" s="292">
        <f t="shared" si="5"/>
        <v>0.20833333333333337</v>
      </c>
      <c r="AO49" s="291">
        <f t="shared" si="6"/>
        <v>200.00000000000006</v>
      </c>
      <c r="AP49" s="272">
        <f t="shared" si="7"/>
        <v>200.00000000000006</v>
      </c>
      <c r="AR49" s="273">
        <f t="shared" si="8"/>
        <v>3739.8809019999994</v>
      </c>
      <c r="AS49" s="274">
        <f t="shared" si="9"/>
        <v>200.00000000000006</v>
      </c>
      <c r="AT49" s="275">
        <v>1</v>
      </c>
      <c r="AU49" s="276">
        <f t="shared" si="10"/>
        <v>200.00000000000006</v>
      </c>
      <c r="AV49" s="293">
        <f t="shared" si="11"/>
        <v>3939.8809019999994</v>
      </c>
      <c r="AW49" s="180">
        <v>80</v>
      </c>
      <c r="AX49" s="180">
        <f t="shared" si="12"/>
        <v>4019.8809019999994</v>
      </c>
      <c r="AY49" s="275">
        <v>1</v>
      </c>
    </row>
    <row r="50" spans="1:70" ht="25.5" customHeight="1" x14ac:dyDescent="0.3">
      <c r="A50" s="224" t="s">
        <v>262</v>
      </c>
      <c r="B50" s="225" t="s">
        <v>1409</v>
      </c>
      <c r="C50" s="228">
        <v>140</v>
      </c>
      <c r="D50" s="263">
        <f>C50*C5</f>
        <v>2742.6</v>
      </c>
      <c r="E50" s="228">
        <v>70</v>
      </c>
      <c r="F50" s="263">
        <f>E50*F5</f>
        <v>1371.3</v>
      </c>
      <c r="G50" s="227">
        <f t="shared" si="0"/>
        <v>4113.8999999999996</v>
      </c>
      <c r="H50" s="228">
        <v>8.4</v>
      </c>
      <c r="I50" s="227">
        <f>H50*PARÂMETROS!$E$22</f>
        <v>355.90800000000002</v>
      </c>
      <c r="J50" s="228">
        <v>0.79500000000000004</v>
      </c>
      <c r="K50" s="227">
        <f>J50*PARÂMETROS!$E$22</f>
        <v>33.684150000000002</v>
      </c>
      <c r="L50" s="228">
        <v>2E-3</v>
      </c>
      <c r="M50" s="230">
        <f>L50*PARÂMETROS!$E$8</f>
        <v>6.1780000000000002E-2</v>
      </c>
      <c r="N50" s="228">
        <f t="shared" si="1"/>
        <v>8.4000000000000005E-2</v>
      </c>
      <c r="O50" s="230">
        <f>N50*PARÂMETROS!$E$8</f>
        <v>2.5947600000000004</v>
      </c>
      <c r="P50" s="228">
        <f t="shared" si="2"/>
        <v>7.9500000000000015E-2</v>
      </c>
      <c r="Q50" s="230">
        <f>P50*PARÂMETROS!$E$8</f>
        <v>2.4557550000000004</v>
      </c>
      <c r="R50" s="228">
        <f t="shared" si="3"/>
        <v>8.4000000000000012E-3</v>
      </c>
      <c r="S50" s="230">
        <f>R50*PARÂMETROS!$E$8</f>
        <v>0.25947600000000004</v>
      </c>
      <c r="T50" s="231">
        <v>2.2999999999999998</v>
      </c>
      <c r="U50" s="230">
        <f>T50*PARÂMETROS!$E$27</f>
        <v>6.8999999999999995</v>
      </c>
      <c r="V50" s="228">
        <v>8.4000000000000005E-2</v>
      </c>
      <c r="W50" s="230">
        <f>V50*PARÂMETROS!$E$8</f>
        <v>2.5947600000000004</v>
      </c>
      <c r="X50" s="228">
        <v>7.9500000000000005E-3</v>
      </c>
      <c r="Y50" s="230">
        <f>X50*PARÂMETROS!$E$8</f>
        <v>0.24557550000000003</v>
      </c>
      <c r="Z50" s="23"/>
      <c r="AA50" s="232" t="s">
        <v>1429</v>
      </c>
      <c r="AB50" s="264">
        <f t="shared" si="4"/>
        <v>4518.6042564999998</v>
      </c>
      <c r="AC50" s="23"/>
      <c r="AD50" s="224" t="s">
        <v>262</v>
      </c>
      <c r="AE50" s="291">
        <f>PARÂMETROS!$H$3</f>
        <v>40</v>
      </c>
      <c r="AF50" s="267">
        <v>4.1666666666666699E-2</v>
      </c>
      <c r="AG50" s="267">
        <v>2.4305555555555601E-2</v>
      </c>
      <c r="AH50" s="267">
        <v>7.6388888888888895E-2</v>
      </c>
      <c r="AI50" s="267">
        <v>6.9444444444444397E-3</v>
      </c>
      <c r="AJ50" s="267">
        <v>2.0833333333333301E-2</v>
      </c>
      <c r="AK50" s="267">
        <v>6.9444444444444397E-3</v>
      </c>
      <c r="AL50" s="267">
        <v>3.125E-2</v>
      </c>
      <c r="AM50" s="271">
        <v>1</v>
      </c>
      <c r="AN50" s="292">
        <f t="shared" si="5"/>
        <v>0.20833333333333337</v>
      </c>
      <c r="AO50" s="291">
        <f t="shared" si="6"/>
        <v>200.00000000000006</v>
      </c>
      <c r="AP50" s="272">
        <f t="shared" si="7"/>
        <v>200.00000000000006</v>
      </c>
      <c r="AR50" s="273">
        <f t="shared" si="8"/>
        <v>4518.6042564999998</v>
      </c>
      <c r="AS50" s="274">
        <f t="shared" si="9"/>
        <v>200.00000000000006</v>
      </c>
      <c r="AT50" s="275">
        <v>1</v>
      </c>
      <c r="AU50" s="276">
        <f t="shared" si="10"/>
        <v>200.00000000000006</v>
      </c>
      <c r="AV50" s="293">
        <f t="shared" si="11"/>
        <v>4718.6042564999998</v>
      </c>
      <c r="AW50" s="180">
        <v>80</v>
      </c>
      <c r="AX50" s="180">
        <f t="shared" si="12"/>
        <v>4798.6042564999998</v>
      </c>
      <c r="AY50" s="275">
        <v>1</v>
      </c>
    </row>
    <row r="51" spans="1:70" ht="25.5" customHeight="1" x14ac:dyDescent="0.3">
      <c r="A51" s="224" t="s">
        <v>266</v>
      </c>
      <c r="B51" s="225" t="s">
        <v>1409</v>
      </c>
      <c r="C51" s="228">
        <v>170</v>
      </c>
      <c r="D51" s="263">
        <f>C51*C5</f>
        <v>3330.3</v>
      </c>
      <c r="E51" s="228">
        <v>85</v>
      </c>
      <c r="F51" s="263">
        <f>E51*F5</f>
        <v>1665.15</v>
      </c>
      <c r="G51" s="227">
        <f t="shared" si="0"/>
        <v>4995.4500000000007</v>
      </c>
      <c r="H51" s="228">
        <v>9</v>
      </c>
      <c r="I51" s="227">
        <f>H51*PARÂMETROS!$E$22</f>
        <v>381.33</v>
      </c>
      <c r="J51" s="228">
        <v>0.88500000000000001</v>
      </c>
      <c r="K51" s="227">
        <f>J51*PARÂMETROS!$E$22</f>
        <v>37.497450000000001</v>
      </c>
      <c r="L51" s="228">
        <v>2E-3</v>
      </c>
      <c r="M51" s="230">
        <f>L51*PARÂMETROS!$E$8</f>
        <v>6.1780000000000002E-2</v>
      </c>
      <c r="N51" s="228">
        <f t="shared" si="1"/>
        <v>0.09</v>
      </c>
      <c r="O51" s="230">
        <f>N51*PARÂMETROS!$E$8</f>
        <v>2.7801</v>
      </c>
      <c r="P51" s="228">
        <f t="shared" si="2"/>
        <v>8.8500000000000009E-2</v>
      </c>
      <c r="Q51" s="230">
        <f>P51*PARÂMETROS!$E$8</f>
        <v>2.7337650000000004</v>
      </c>
      <c r="R51" s="228">
        <f t="shared" si="3"/>
        <v>8.9999999999999993E-3</v>
      </c>
      <c r="S51" s="230">
        <f>R51*PARÂMETROS!$E$8</f>
        <v>0.27800999999999998</v>
      </c>
      <c r="T51" s="231">
        <v>2.4</v>
      </c>
      <c r="U51" s="230">
        <f>T51*PARÂMETROS!$E$27</f>
        <v>7.1999999999999993</v>
      </c>
      <c r="V51" s="228">
        <v>0.09</v>
      </c>
      <c r="W51" s="230">
        <f>V51*PARÂMETROS!$E$8</f>
        <v>2.7801</v>
      </c>
      <c r="X51" s="228">
        <v>8.8500000000000002E-3</v>
      </c>
      <c r="Y51" s="230">
        <f>X51*PARÂMETROS!$E$8</f>
        <v>0.27337650000000002</v>
      </c>
      <c r="Z51" s="23"/>
      <c r="AA51" s="232" t="s">
        <v>1430</v>
      </c>
      <c r="AB51" s="264">
        <f t="shared" si="4"/>
        <v>5430.3845815000013</v>
      </c>
      <c r="AC51" s="23"/>
      <c r="AD51" s="224" t="s">
        <v>266</v>
      </c>
      <c r="AE51" s="291">
        <f>PARÂMETROS!$H$3</f>
        <v>40</v>
      </c>
      <c r="AF51" s="267">
        <v>8.3333333333333301E-2</v>
      </c>
      <c r="AG51" s="267">
        <v>2.7777777777777801E-2</v>
      </c>
      <c r="AH51" s="267">
        <v>7.6388888888888895E-2</v>
      </c>
      <c r="AI51" s="267">
        <v>6.9444444444444397E-3</v>
      </c>
      <c r="AJ51" s="267">
        <v>2.0833333333333301E-2</v>
      </c>
      <c r="AK51" s="267">
        <v>6.9444444444444397E-3</v>
      </c>
      <c r="AL51" s="267">
        <v>3.125E-2</v>
      </c>
      <c r="AM51" s="271">
        <v>1</v>
      </c>
      <c r="AN51" s="292">
        <f t="shared" si="5"/>
        <v>0.25347222222222215</v>
      </c>
      <c r="AO51" s="291">
        <f t="shared" si="6"/>
        <v>243.33333333333326</v>
      </c>
      <c r="AP51" s="272">
        <f t="shared" si="7"/>
        <v>243.33333333333326</v>
      </c>
      <c r="AR51" s="273">
        <f t="shared" si="8"/>
        <v>5430.3845815000013</v>
      </c>
      <c r="AS51" s="274">
        <f t="shared" si="9"/>
        <v>243.33333333333326</v>
      </c>
      <c r="AT51" s="275">
        <v>1</v>
      </c>
      <c r="AU51" s="276">
        <f t="shared" si="10"/>
        <v>243.33333333333326</v>
      </c>
      <c r="AV51" s="293">
        <f t="shared" si="11"/>
        <v>5673.7179148333344</v>
      </c>
      <c r="AW51" s="180">
        <v>80</v>
      </c>
      <c r="AX51" s="180">
        <f t="shared" si="12"/>
        <v>5753.7179148333344</v>
      </c>
      <c r="AY51" s="275">
        <v>1</v>
      </c>
    </row>
    <row r="52" spans="1:70" ht="25.5" customHeight="1" x14ac:dyDescent="0.3">
      <c r="A52" s="224" t="s">
        <v>270</v>
      </c>
      <c r="B52" s="225" t="s">
        <v>1409</v>
      </c>
      <c r="C52" s="228">
        <v>180</v>
      </c>
      <c r="D52" s="263">
        <f>C52*C5</f>
        <v>3526.2</v>
      </c>
      <c r="E52" s="228">
        <v>90</v>
      </c>
      <c r="F52" s="263">
        <f>E52*F5</f>
        <v>1763.1</v>
      </c>
      <c r="G52" s="227">
        <f t="shared" si="0"/>
        <v>5289.2999999999993</v>
      </c>
      <c r="H52" s="228">
        <v>9.6999999999999993</v>
      </c>
      <c r="I52" s="227">
        <f>H52*PARÂMETROS!$E$22</f>
        <v>410.98899999999992</v>
      </c>
      <c r="J52" s="228">
        <v>0.96</v>
      </c>
      <c r="K52" s="227">
        <f>J52*PARÂMETROS!$E$22</f>
        <v>40.675199999999997</v>
      </c>
      <c r="L52" s="228">
        <v>2E-3</v>
      </c>
      <c r="M52" s="230">
        <f>L52*PARÂMETROS!$E$8</f>
        <v>6.1780000000000002E-2</v>
      </c>
      <c r="N52" s="228">
        <f t="shared" si="1"/>
        <v>9.6999999999999989E-2</v>
      </c>
      <c r="O52" s="230">
        <f>N52*PARÂMETROS!$E$8</f>
        <v>2.9963299999999995</v>
      </c>
      <c r="P52" s="228">
        <f t="shared" si="2"/>
        <v>9.6000000000000002E-2</v>
      </c>
      <c r="Q52" s="230">
        <f>P52*PARÂMETROS!$E$8</f>
        <v>2.9654400000000001</v>
      </c>
      <c r="R52" s="228">
        <f t="shared" si="3"/>
        <v>9.7000000000000003E-3</v>
      </c>
      <c r="S52" s="230">
        <f>R52*PARÂMETROS!$E$8</f>
        <v>0.29963300000000004</v>
      </c>
      <c r="T52" s="231">
        <v>2.5</v>
      </c>
      <c r="U52" s="230">
        <f>T52*PARÂMETROS!$E$27</f>
        <v>7.5</v>
      </c>
      <c r="V52" s="228">
        <v>9.7000000000000003E-2</v>
      </c>
      <c r="W52" s="230">
        <f>V52*PARÂMETROS!$E$8</f>
        <v>2.9963299999999999</v>
      </c>
      <c r="X52" s="228">
        <v>9.5999999999999992E-3</v>
      </c>
      <c r="Y52" s="230">
        <f>X52*PARÂMETROS!$E$8</f>
        <v>0.29654399999999997</v>
      </c>
      <c r="Z52" s="23"/>
      <c r="AA52" s="232" t="s">
        <v>1431</v>
      </c>
      <c r="AB52" s="264">
        <f t="shared" si="4"/>
        <v>5758.0802569999987</v>
      </c>
      <c r="AC52" s="23"/>
      <c r="AD52" s="224" t="s">
        <v>270</v>
      </c>
      <c r="AE52" s="291">
        <f>PARÂMETROS!$H$3</f>
        <v>40</v>
      </c>
      <c r="AF52" s="267">
        <v>8.3333333333333301E-2</v>
      </c>
      <c r="AG52" s="267">
        <v>2.7777777777777801E-2</v>
      </c>
      <c r="AH52" s="267">
        <v>7.6388888888888895E-2</v>
      </c>
      <c r="AI52" s="267">
        <v>6.9444444444444397E-3</v>
      </c>
      <c r="AJ52" s="267">
        <v>2.0833333333333301E-2</v>
      </c>
      <c r="AK52" s="267">
        <v>6.9444444444444397E-3</v>
      </c>
      <c r="AL52" s="267">
        <v>3.125E-2</v>
      </c>
      <c r="AM52" s="271">
        <v>1</v>
      </c>
      <c r="AN52" s="292">
        <f t="shared" si="5"/>
        <v>0.25347222222222215</v>
      </c>
      <c r="AO52" s="291">
        <f t="shared" si="6"/>
        <v>243.33333333333326</v>
      </c>
      <c r="AP52" s="272">
        <f t="shared" si="7"/>
        <v>243.33333333333326</v>
      </c>
      <c r="AR52" s="273">
        <f t="shared" si="8"/>
        <v>5758.0802569999987</v>
      </c>
      <c r="AS52" s="274">
        <f t="shared" si="9"/>
        <v>243.33333333333326</v>
      </c>
      <c r="AT52" s="275">
        <v>1</v>
      </c>
      <c r="AU52" s="276">
        <f t="shared" si="10"/>
        <v>243.33333333333326</v>
      </c>
      <c r="AV52" s="293">
        <f t="shared" si="11"/>
        <v>6001.4135903333317</v>
      </c>
      <c r="AW52" s="180">
        <v>80</v>
      </c>
      <c r="AX52" s="180">
        <f t="shared" si="12"/>
        <v>6081.4135903333317</v>
      </c>
      <c r="AY52" s="275">
        <v>1</v>
      </c>
    </row>
    <row r="53" spans="1:70" ht="25.5" customHeight="1" x14ac:dyDescent="0.3">
      <c r="A53" s="224" t="s">
        <v>274</v>
      </c>
      <c r="B53" s="225" t="s">
        <v>1409</v>
      </c>
      <c r="C53" s="228">
        <v>200</v>
      </c>
      <c r="D53" s="263">
        <f>C53*C5</f>
        <v>3918</v>
      </c>
      <c r="E53" s="228">
        <v>100</v>
      </c>
      <c r="F53" s="263">
        <f>E53*F5</f>
        <v>1959</v>
      </c>
      <c r="G53" s="227">
        <f t="shared" si="0"/>
        <v>5877</v>
      </c>
      <c r="H53" s="228">
        <v>10.4</v>
      </c>
      <c r="I53" s="227">
        <f>H53*PARÂMETROS!$E$22</f>
        <v>440.64799999999997</v>
      </c>
      <c r="J53" s="228">
        <v>1.079</v>
      </c>
      <c r="K53" s="227">
        <f>J53*PARÂMETROS!$E$22</f>
        <v>45.717229999999994</v>
      </c>
      <c r="L53" s="228">
        <v>2E-3</v>
      </c>
      <c r="M53" s="230">
        <f>L53*PARÂMETROS!$E$8</f>
        <v>6.1780000000000002E-2</v>
      </c>
      <c r="N53" s="228">
        <f t="shared" si="1"/>
        <v>0.10400000000000001</v>
      </c>
      <c r="O53" s="230">
        <f>N53*PARÂMETROS!$E$8</f>
        <v>3.2125600000000003</v>
      </c>
      <c r="P53" s="228">
        <f t="shared" si="2"/>
        <v>0.1079</v>
      </c>
      <c r="Q53" s="230">
        <f>P53*PARÂMETROS!$E$8</f>
        <v>3.3330310000000001</v>
      </c>
      <c r="R53" s="228">
        <f t="shared" si="3"/>
        <v>1.0400000000000001E-2</v>
      </c>
      <c r="S53" s="230">
        <f>R53*PARÂMETROS!$E$8</f>
        <v>0.32125600000000004</v>
      </c>
      <c r="T53" s="231">
        <v>2.6</v>
      </c>
      <c r="U53" s="230">
        <f>T53*PARÂMETROS!$E$27</f>
        <v>7.8000000000000007</v>
      </c>
      <c r="V53" s="228">
        <v>0.104</v>
      </c>
      <c r="W53" s="230">
        <f>V53*PARÂMETROS!$E$8</f>
        <v>3.2125599999999999</v>
      </c>
      <c r="X53" s="228">
        <v>1.0789999999999999E-2</v>
      </c>
      <c r="Y53" s="230">
        <f>X53*PARÂMETROS!$E$8</f>
        <v>0.33330309999999996</v>
      </c>
      <c r="Z53" s="23"/>
      <c r="AA53" s="232" t="s">
        <v>1432</v>
      </c>
      <c r="AB53" s="264">
        <f t="shared" si="4"/>
        <v>6381.6397201</v>
      </c>
      <c r="AC53" s="23"/>
      <c r="AD53" s="224" t="s">
        <v>274</v>
      </c>
      <c r="AE53" s="291">
        <f>PARÂMETROS!$H$3</f>
        <v>40</v>
      </c>
      <c r="AF53" s="267">
        <v>8.3333333333333301E-2</v>
      </c>
      <c r="AG53" s="267">
        <v>2.7777777777777801E-2</v>
      </c>
      <c r="AH53" s="267">
        <v>7.6388888888888895E-2</v>
      </c>
      <c r="AI53" s="267">
        <v>6.9444444444444397E-3</v>
      </c>
      <c r="AJ53" s="267">
        <v>2.0833333333333301E-2</v>
      </c>
      <c r="AK53" s="267">
        <v>6.9444444444444397E-3</v>
      </c>
      <c r="AL53" s="267">
        <v>3.125E-2</v>
      </c>
      <c r="AM53" s="271">
        <v>1</v>
      </c>
      <c r="AN53" s="292">
        <f t="shared" si="5"/>
        <v>0.25347222222222215</v>
      </c>
      <c r="AO53" s="291">
        <f t="shared" si="6"/>
        <v>243.33333333333326</v>
      </c>
      <c r="AP53" s="272">
        <f t="shared" si="7"/>
        <v>243.33333333333326</v>
      </c>
      <c r="AR53" s="273">
        <f t="shared" si="8"/>
        <v>6381.6397201</v>
      </c>
      <c r="AS53" s="274">
        <f t="shared" si="9"/>
        <v>243.33333333333326</v>
      </c>
      <c r="AT53" s="275">
        <v>1</v>
      </c>
      <c r="AU53" s="276">
        <f t="shared" si="10"/>
        <v>243.33333333333326</v>
      </c>
      <c r="AV53" s="293">
        <f t="shared" si="11"/>
        <v>6624.973053433333</v>
      </c>
      <c r="AW53" s="180">
        <v>80</v>
      </c>
      <c r="AX53" s="180">
        <f t="shared" si="12"/>
        <v>6704.973053433333</v>
      </c>
      <c r="AY53" s="275">
        <v>1</v>
      </c>
    </row>
    <row r="54" spans="1:70" ht="25.5" customHeight="1" x14ac:dyDescent="0.3">
      <c r="A54" s="224" t="s">
        <v>278</v>
      </c>
      <c r="B54" s="225" t="s">
        <v>1409</v>
      </c>
      <c r="C54" s="228">
        <v>235</v>
      </c>
      <c r="D54" s="263">
        <f>C54*C5</f>
        <v>4603.6499999999996</v>
      </c>
      <c r="E54" s="228">
        <v>117.5</v>
      </c>
      <c r="F54" s="263">
        <f>E54*F5</f>
        <v>2301.8249999999998</v>
      </c>
      <c r="G54" s="227">
        <f t="shared" si="0"/>
        <v>6905.4749999999995</v>
      </c>
      <c r="H54" s="228">
        <v>11.7</v>
      </c>
      <c r="I54" s="227">
        <f>H54*PARÂMETROS!$E$22</f>
        <v>495.72899999999993</v>
      </c>
      <c r="J54" s="228">
        <v>1.1599999999999999</v>
      </c>
      <c r="K54" s="227">
        <f>J54*PARÂMETROS!$E$22</f>
        <v>49.149199999999993</v>
      </c>
      <c r="L54" s="228">
        <v>2E-3</v>
      </c>
      <c r="M54" s="230">
        <f>L54*PARÂMETROS!$E$8</f>
        <v>6.1780000000000002E-2</v>
      </c>
      <c r="N54" s="228">
        <f t="shared" si="1"/>
        <v>0.11699999999999999</v>
      </c>
      <c r="O54" s="230">
        <f>N54*PARÂMETROS!$E$8</f>
        <v>3.6141299999999998</v>
      </c>
      <c r="P54" s="228">
        <f t="shared" si="2"/>
        <v>0.11599999999999999</v>
      </c>
      <c r="Q54" s="230">
        <f>P54*PARÂMETROS!$E$8</f>
        <v>3.58324</v>
      </c>
      <c r="R54" s="228">
        <f t="shared" si="3"/>
        <v>1.17E-2</v>
      </c>
      <c r="S54" s="230">
        <f>R54*PARÂMETROS!$E$8</f>
        <v>0.36141300000000004</v>
      </c>
      <c r="T54" s="231">
        <v>2.7</v>
      </c>
      <c r="U54" s="230">
        <f>T54*PARÂMETROS!$E$27</f>
        <v>8.1000000000000014</v>
      </c>
      <c r="V54" s="228">
        <v>0.11700000000000001</v>
      </c>
      <c r="W54" s="230">
        <f>V54*PARÂMETROS!$E$8</f>
        <v>3.6141300000000003</v>
      </c>
      <c r="X54" s="228">
        <v>1.1599999999999999E-2</v>
      </c>
      <c r="Y54" s="230">
        <f>X54*PARÂMETROS!$E$8</f>
        <v>0.35832399999999998</v>
      </c>
      <c r="Z54" s="23"/>
      <c r="AA54" s="232" t="s">
        <v>1433</v>
      </c>
      <c r="AB54" s="264">
        <f t="shared" si="4"/>
        <v>7470.0462169999992</v>
      </c>
      <c r="AC54" s="23"/>
      <c r="AD54" s="224" t="s">
        <v>278</v>
      </c>
      <c r="AE54" s="291">
        <f>PARÂMETROS!$H$3</f>
        <v>40</v>
      </c>
      <c r="AF54" s="267">
        <v>8.3333333333333301E-2</v>
      </c>
      <c r="AG54" s="267">
        <v>2.7777777777777801E-2</v>
      </c>
      <c r="AH54" s="267">
        <v>7.6388888888888895E-2</v>
      </c>
      <c r="AI54" s="267">
        <v>6.9444444444444397E-3</v>
      </c>
      <c r="AJ54" s="267">
        <v>2.0833333333333301E-2</v>
      </c>
      <c r="AK54" s="267">
        <v>6.9444444444444397E-3</v>
      </c>
      <c r="AL54" s="267">
        <v>3.125E-2</v>
      </c>
      <c r="AM54" s="271">
        <v>1</v>
      </c>
      <c r="AN54" s="292">
        <f t="shared" si="5"/>
        <v>0.25347222222222215</v>
      </c>
      <c r="AO54" s="291">
        <f t="shared" si="6"/>
        <v>243.33333333333326</v>
      </c>
      <c r="AP54" s="272">
        <f t="shared" si="7"/>
        <v>243.33333333333326</v>
      </c>
      <c r="AR54" s="273">
        <f t="shared" si="8"/>
        <v>7470.0462169999992</v>
      </c>
      <c r="AS54" s="274">
        <f t="shared" si="9"/>
        <v>243.33333333333326</v>
      </c>
      <c r="AT54" s="275">
        <v>1</v>
      </c>
      <c r="AU54" s="276">
        <f t="shared" si="10"/>
        <v>243.33333333333326</v>
      </c>
      <c r="AV54" s="293">
        <f t="shared" si="11"/>
        <v>7713.3795503333322</v>
      </c>
      <c r="AW54" s="180">
        <v>80</v>
      </c>
      <c r="AX54" s="180">
        <f t="shared" si="12"/>
        <v>7793.3795503333322</v>
      </c>
      <c r="AY54" s="275">
        <v>1</v>
      </c>
    </row>
    <row r="55" spans="1:70" s="223" customFormat="1" ht="23.25" customHeight="1" x14ac:dyDescent="0.3">
      <c r="A55" s="43"/>
      <c r="B55" s="43"/>
      <c r="C55" s="43"/>
      <c r="D55" s="246"/>
      <c r="E55" s="43"/>
      <c r="F55" s="246"/>
      <c r="G55" s="246"/>
      <c r="H55" s="43"/>
      <c r="I55" s="43"/>
      <c r="J55" s="246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2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23"/>
      <c r="AR55" s="23"/>
      <c r="AS55" s="23"/>
      <c r="AV55" s="23"/>
      <c r="AW55" s="23"/>
      <c r="AX55" s="23"/>
      <c r="AY55" s="23"/>
      <c r="AZ55" s="23"/>
      <c r="BA55" s="23"/>
      <c r="BB55" s="23"/>
      <c r="BC55" s="295"/>
      <c r="BD55" s="280"/>
      <c r="BE55" s="280"/>
      <c r="BF55" s="280"/>
      <c r="BG55" s="280"/>
      <c r="BH55" s="280"/>
      <c r="BI55" s="280"/>
      <c r="BJ55" s="280"/>
      <c r="BK55" s="280"/>
      <c r="BL55" s="280"/>
      <c r="BM55" s="280"/>
      <c r="BN55" s="280"/>
      <c r="BO55" s="280"/>
      <c r="BP55" s="280"/>
      <c r="BQ55" s="280"/>
      <c r="BR55" s="280"/>
    </row>
    <row r="56" spans="1:70" s="223" customFormat="1" ht="23.25" customHeight="1" x14ac:dyDescent="0.3">
      <c r="A56" s="43"/>
      <c r="B56" s="43"/>
      <c r="C56" s="43"/>
      <c r="D56" s="246"/>
      <c r="E56" s="43"/>
      <c r="F56" s="246"/>
      <c r="G56" s="246"/>
      <c r="H56" s="43"/>
      <c r="I56" s="43"/>
      <c r="J56" s="246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2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23"/>
      <c r="AR56" s="23"/>
      <c r="AS56" s="23"/>
      <c r="AV56" s="23"/>
      <c r="AW56" s="23"/>
      <c r="AX56" s="23"/>
      <c r="AY56" s="23"/>
      <c r="AZ56" s="23"/>
      <c r="BA56" s="23"/>
      <c r="BB56" s="23"/>
      <c r="BC56" s="295"/>
      <c r="BD56" s="280"/>
      <c r="BE56" s="280"/>
      <c r="BF56" s="280"/>
      <c r="BG56" s="280"/>
      <c r="BH56" s="280"/>
      <c r="BI56" s="280"/>
      <c r="BJ56" s="280"/>
      <c r="BK56" s="280"/>
      <c r="BL56" s="280"/>
      <c r="BM56" s="280"/>
      <c r="BN56" s="280"/>
      <c r="BO56" s="280"/>
      <c r="BP56" s="280"/>
      <c r="BQ56" s="280"/>
      <c r="BR56" s="280"/>
    </row>
    <row r="57" spans="1:70" s="223" customFormat="1" ht="23.25" customHeight="1" x14ac:dyDescent="0.3">
      <c r="A57" s="43"/>
      <c r="B57" s="43"/>
      <c r="C57" s="43"/>
      <c r="D57" s="246"/>
      <c r="E57" s="43"/>
      <c r="F57" s="246"/>
      <c r="G57" s="246"/>
      <c r="H57" s="43"/>
      <c r="I57" s="43"/>
      <c r="J57" s="246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23"/>
      <c r="AR57" s="23"/>
      <c r="AS57" s="23"/>
      <c r="AV57" s="23"/>
      <c r="AW57" s="23"/>
      <c r="AX57" s="23"/>
      <c r="AY57" s="23"/>
      <c r="AZ57" s="23"/>
      <c r="BA57" s="23"/>
      <c r="BB57" s="23"/>
      <c r="BC57" s="295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  <c r="BR57" s="280"/>
    </row>
    <row r="58" spans="1:70" s="223" customFormat="1" ht="23.25" customHeight="1" x14ac:dyDescent="0.3">
      <c r="A58" s="43"/>
      <c r="B58" s="43"/>
      <c r="C58" s="43"/>
      <c r="D58" s="246"/>
      <c r="E58" s="43"/>
      <c r="F58" s="246"/>
      <c r="G58" s="246"/>
      <c r="H58" s="43"/>
      <c r="I58" s="43"/>
      <c r="J58" s="246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23"/>
      <c r="AR58" s="23"/>
      <c r="AS58" s="23"/>
      <c r="AV58" s="23"/>
      <c r="AW58" s="23"/>
      <c r="AX58" s="23"/>
      <c r="AY58" s="23"/>
      <c r="AZ58" s="23"/>
      <c r="BA58" s="23"/>
      <c r="BB58" s="23"/>
      <c r="BC58" s="295"/>
      <c r="BD58" s="280"/>
      <c r="BE58" s="280"/>
      <c r="BF58" s="280"/>
      <c r="BG58" s="280"/>
      <c r="BH58" s="280"/>
      <c r="BI58" s="280"/>
      <c r="BJ58" s="280"/>
      <c r="BK58" s="280"/>
      <c r="BL58" s="280"/>
      <c r="BM58" s="280"/>
      <c r="BN58" s="280"/>
      <c r="BO58" s="280"/>
      <c r="BP58" s="280"/>
      <c r="BQ58" s="280"/>
      <c r="BR58" s="280"/>
    </row>
    <row r="59" spans="1:70" ht="23.25" customHeight="1" x14ac:dyDescent="0.3">
      <c r="A59" s="43"/>
      <c r="B59" s="43"/>
      <c r="C59" s="43"/>
      <c r="D59" s="246"/>
      <c r="E59" s="43"/>
      <c r="F59" s="246"/>
      <c r="G59" s="246"/>
      <c r="H59" s="43"/>
      <c r="I59" s="43"/>
      <c r="J59" s="246"/>
      <c r="K59" s="43"/>
      <c r="L59" s="43"/>
      <c r="M59" s="43"/>
      <c r="N59" s="43"/>
    </row>
  </sheetData>
  <autoFilter ref="A6:BP54" xr:uid="{00000000-0009-0000-0000-00000C000000}"/>
  <mergeCells count="25">
    <mergeCell ref="A1:B1"/>
    <mergeCell ref="A2:Y2"/>
    <mergeCell ref="AA2:AB2"/>
    <mergeCell ref="AS2:AU3"/>
    <mergeCell ref="AZ2:BD2"/>
    <mergeCell ref="A3:G3"/>
    <mergeCell ref="H3:M3"/>
    <mergeCell ref="N3:S3"/>
    <mergeCell ref="T3:U3"/>
    <mergeCell ref="V3:Y3"/>
    <mergeCell ref="AA4:AB5"/>
    <mergeCell ref="AD4:AO5"/>
    <mergeCell ref="AS4:AU5"/>
    <mergeCell ref="D5:E5"/>
    <mergeCell ref="F5:G5"/>
    <mergeCell ref="N4:P5"/>
    <mergeCell ref="Q4:S5"/>
    <mergeCell ref="T4:T5"/>
    <mergeCell ref="U4:U5"/>
    <mergeCell ref="V4:W5"/>
    <mergeCell ref="D4:E4"/>
    <mergeCell ref="F4:G4"/>
    <mergeCell ref="H4:J5"/>
    <mergeCell ref="K4:M5"/>
    <mergeCell ref="X4:Y5"/>
  </mergeCells>
  <hyperlinks>
    <hyperlink ref="A5" location="PAINEL!A1" tooltip="Voltar ao Painel de Navegação" display="⬅ PAINEL" xr:uid="{3E46C5AD-17CD-45DD-8060-BB1202D6C65F}"/>
    <hyperlink ref="C2" location="PAINEL!A1" tooltip="Voltar ao Painel de Navegação" display="⬅ PAINEL" xr:uid="{40617DCA-387E-44A4-9128-C5E0FB59ADF0}"/>
    <hyperlink ref="A1" location="PAINEL!A1" tooltip="Voltar ao Painel de Navegação" display="⬅ PAINEL" xr:uid="{834A8858-CF37-42EE-B8E3-6328AA2A3118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BV59"/>
  <sheetViews>
    <sheetView topLeftCell="AL1" zoomScale="85" zoomScaleNormal="85" workbookViewId="0">
      <pane ySplit="5" topLeftCell="A6" activePane="bottomLeft" state="frozen"/>
      <selection pane="bottomLeft" activeCell="AY9" sqref="AY9"/>
    </sheetView>
  </sheetViews>
  <sheetFormatPr defaultColWidth="8.5546875" defaultRowHeight="14.4" x14ac:dyDescent="0.3"/>
  <cols>
    <col min="1" max="1" width="42.77734375" style="184" bestFit="1" customWidth="1"/>
    <col min="2" max="2" width="31.33203125" style="185" customWidth="1"/>
    <col min="3" max="3" width="15.6640625" style="185" customWidth="1"/>
    <col min="4" max="4" width="16.109375" style="186" customWidth="1"/>
    <col min="5" max="5" width="14.6640625" style="185" customWidth="1"/>
    <col min="6" max="6" width="19.109375" style="186" customWidth="1"/>
    <col min="7" max="7" width="20.33203125" style="186" customWidth="1"/>
    <col min="8" max="9" width="23.6640625" style="185" customWidth="1"/>
    <col min="10" max="10" width="23" style="186" customWidth="1"/>
    <col min="11" max="11" width="24" style="185" customWidth="1"/>
    <col min="12" max="12" width="20.33203125" style="187" customWidth="1"/>
    <col min="13" max="13" width="19.109375" style="188" customWidth="1"/>
    <col min="14" max="14" width="21.88671875" style="188" customWidth="1"/>
    <col min="15" max="15" width="20" style="43" customWidth="1"/>
    <col min="16" max="16" width="21.109375" style="43" customWidth="1"/>
    <col min="17" max="17" width="24.88671875" style="43" customWidth="1"/>
    <col min="18" max="18" width="17.5546875" style="43" customWidth="1"/>
    <col min="19" max="19" width="17" style="43" customWidth="1"/>
    <col min="20" max="20" width="20.6640625" style="43" customWidth="1"/>
    <col min="21" max="21" width="13.44140625" style="43" customWidth="1"/>
    <col min="22" max="22" width="38.88671875" style="43" customWidth="1"/>
    <col min="23" max="23" width="22.88671875" style="43" customWidth="1"/>
    <col min="24" max="24" width="25" style="43" customWidth="1"/>
    <col min="25" max="25" width="18.6640625" style="43" customWidth="1"/>
    <col min="26" max="28" width="27.6640625" style="43" customWidth="1"/>
    <col min="29" max="29" width="21.109375" style="43" customWidth="1"/>
    <col min="30" max="31" width="13.44140625" style="43" customWidth="1"/>
    <col min="32" max="32" width="17.6640625" style="43" customWidth="1"/>
    <col min="33" max="33" width="20.5546875" style="43" customWidth="1"/>
    <col min="34" max="45" width="8.88671875" style="43" customWidth="1"/>
    <col min="46" max="46" width="22.6640625" style="43" customWidth="1"/>
    <col min="47" max="47" width="13.88671875" style="43" customWidth="1"/>
    <col min="48" max="48" width="22.77734375" style="43" customWidth="1"/>
    <col min="49" max="50" width="14" style="23" customWidth="1"/>
    <col min="51" max="51" width="8" style="23" customWidth="1"/>
    <col min="52" max="52" width="14" style="23" customWidth="1"/>
    <col min="53" max="53" width="15.88671875" style="23" customWidth="1"/>
    <col min="54" max="54" width="14" style="23" customWidth="1"/>
    <col min="55" max="55" width="15.33203125" style="23" customWidth="1"/>
    <col min="56" max="56" width="9.6640625" style="23" customWidth="1"/>
    <col min="57" max="72" width="14" style="23" customWidth="1"/>
  </cols>
  <sheetData>
    <row r="1" spans="1:60" ht="19.95" customHeight="1" x14ac:dyDescent="0.3">
      <c r="A1" s="357" t="s">
        <v>1757</v>
      </c>
      <c r="L1" s="188"/>
    </row>
    <row r="2" spans="1:60" ht="75" customHeight="1" x14ac:dyDescent="0.3">
      <c r="A2" s="506" t="s">
        <v>1455</v>
      </c>
      <c r="B2" s="506"/>
      <c r="C2" s="507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  <c r="V2" s="506"/>
      <c r="W2" s="506"/>
      <c r="X2" s="506"/>
      <c r="Y2" s="506"/>
      <c r="AF2" s="465"/>
      <c r="AG2" s="465"/>
      <c r="AX2" s="466" t="s">
        <v>1217</v>
      </c>
      <c r="AY2" s="466"/>
      <c r="AZ2" s="466"/>
      <c r="BD2" s="497"/>
      <c r="BE2" s="497"/>
      <c r="BF2" s="497"/>
      <c r="BG2" s="497"/>
      <c r="BH2" s="497"/>
    </row>
    <row r="3" spans="1:60" ht="78" customHeight="1" x14ac:dyDescent="0.3">
      <c r="A3" s="498" t="s">
        <v>1359</v>
      </c>
      <c r="B3" s="498"/>
      <c r="C3" s="498"/>
      <c r="D3" s="498"/>
      <c r="E3" s="498"/>
      <c r="F3" s="498"/>
      <c r="G3" s="498"/>
      <c r="H3" s="485" t="s">
        <v>1435</v>
      </c>
      <c r="I3" s="485"/>
      <c r="J3" s="485"/>
      <c r="K3" s="485"/>
      <c r="L3" s="485"/>
      <c r="M3" s="485"/>
      <c r="N3" s="485" t="s">
        <v>1361</v>
      </c>
      <c r="O3" s="485"/>
      <c r="P3" s="485"/>
      <c r="Q3" s="485"/>
      <c r="R3" s="485"/>
      <c r="S3" s="485"/>
      <c r="T3" s="485" t="s">
        <v>1362</v>
      </c>
      <c r="U3" s="485"/>
      <c r="V3" s="485" t="s">
        <v>1456</v>
      </c>
      <c r="W3" s="485"/>
      <c r="X3" s="485" t="s">
        <v>1457</v>
      </c>
      <c r="Y3" s="485"/>
      <c r="Z3" s="485" t="s">
        <v>1436</v>
      </c>
      <c r="AA3" s="485"/>
      <c r="AB3" s="485"/>
      <c r="AC3" s="485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X3" s="466"/>
      <c r="AY3" s="466"/>
      <c r="AZ3" s="466"/>
    </row>
    <row r="4" spans="1:60" ht="39.75" customHeight="1" x14ac:dyDescent="0.3">
      <c r="A4" s="321" t="s">
        <v>1758</v>
      </c>
      <c r="B4" s="320"/>
      <c r="C4" s="250" t="s">
        <v>1363</v>
      </c>
      <c r="D4" s="493" t="s">
        <v>1364</v>
      </c>
      <c r="E4" s="493"/>
      <c r="F4" s="494" t="s">
        <v>1365</v>
      </c>
      <c r="G4" s="494"/>
      <c r="H4" s="505" t="s">
        <v>1843</v>
      </c>
      <c r="I4" s="505"/>
      <c r="J4" s="505"/>
      <c r="K4" s="478">
        <f>PARÂMETROS!$E$22</f>
        <v>42.37</v>
      </c>
      <c r="L4" s="478"/>
      <c r="M4" s="478"/>
      <c r="N4" s="504" t="s">
        <v>1837</v>
      </c>
      <c r="O4" s="504"/>
      <c r="P4" s="504"/>
      <c r="Q4" s="492">
        <f>PARÂMETROS!$E$8</f>
        <v>30.89</v>
      </c>
      <c r="R4" s="492"/>
      <c r="S4" s="492"/>
      <c r="T4" s="479" t="s">
        <v>1833</v>
      </c>
      <c r="U4" s="480">
        <f>PARÂMETROS!$E$27</f>
        <v>3</v>
      </c>
      <c r="V4" s="296" t="s">
        <v>1842</v>
      </c>
      <c r="W4" s="251">
        <f>PARÂMETROS!$E$28</f>
        <v>142.88</v>
      </c>
      <c r="X4" s="479" t="s">
        <v>1839</v>
      </c>
      <c r="Y4" s="480">
        <f>PARÂMETROS!$E$31</f>
        <v>15.15</v>
      </c>
      <c r="Z4" s="500" t="s">
        <v>1838</v>
      </c>
      <c r="AA4" s="500"/>
      <c r="AB4" s="502">
        <f>PARÂMETROS!$E$26</f>
        <v>89.3</v>
      </c>
      <c r="AC4" s="502"/>
      <c r="AF4" s="472" t="s">
        <v>1458</v>
      </c>
      <c r="AG4" s="472"/>
      <c r="AH4" s="23"/>
      <c r="AI4" s="474" t="s">
        <v>834</v>
      </c>
      <c r="AJ4" s="474"/>
      <c r="AK4" s="474"/>
      <c r="AL4" s="474"/>
      <c r="AM4" s="474"/>
      <c r="AN4" s="474"/>
      <c r="AO4" s="474"/>
      <c r="AP4" s="474"/>
      <c r="AQ4" s="474"/>
      <c r="AR4" s="474"/>
      <c r="AS4" s="474"/>
      <c r="AT4" s="474"/>
      <c r="AU4" s="297"/>
      <c r="AV4" s="23"/>
      <c r="AX4" s="499" t="s">
        <v>1459</v>
      </c>
      <c r="AY4" s="499"/>
      <c r="AZ4" s="499"/>
    </row>
    <row r="5" spans="1:60" ht="54" customHeight="1" x14ac:dyDescent="0.3">
      <c r="A5" s="359"/>
      <c r="B5" s="362"/>
      <c r="C5" s="252">
        <f>PARÂMETROS!$E$23</f>
        <v>19.59</v>
      </c>
      <c r="D5" s="490">
        <f>PARÂMETROS!$E$24</f>
        <v>19.59</v>
      </c>
      <c r="E5" s="490"/>
      <c r="F5" s="491">
        <f>PARÂMETROS!$E$25</f>
        <v>19.59</v>
      </c>
      <c r="G5" s="491"/>
      <c r="H5" s="505"/>
      <c r="I5" s="505"/>
      <c r="J5" s="505"/>
      <c r="K5" s="478"/>
      <c r="L5" s="478"/>
      <c r="M5" s="478"/>
      <c r="N5" s="504"/>
      <c r="O5" s="504"/>
      <c r="P5" s="504"/>
      <c r="Q5" s="492"/>
      <c r="R5" s="492"/>
      <c r="S5" s="492"/>
      <c r="T5" s="479"/>
      <c r="U5" s="480"/>
      <c r="V5" s="200" t="s">
        <v>1840</v>
      </c>
      <c r="W5" s="251">
        <f>PARÂMETROS!$E$29</f>
        <v>179.34</v>
      </c>
      <c r="X5" s="479"/>
      <c r="Y5" s="480"/>
      <c r="Z5" s="500"/>
      <c r="AA5" s="500"/>
      <c r="AB5" s="502"/>
      <c r="AC5" s="502"/>
      <c r="AD5" s="23"/>
      <c r="AE5" s="23"/>
      <c r="AF5" s="472"/>
      <c r="AG5" s="472"/>
      <c r="AH5" s="23"/>
      <c r="AI5" s="474"/>
      <c r="AJ5" s="474"/>
      <c r="AK5" s="474"/>
      <c r="AL5" s="474"/>
      <c r="AM5" s="474"/>
      <c r="AN5" s="474"/>
      <c r="AO5" s="474"/>
      <c r="AP5" s="474"/>
      <c r="AQ5" s="474"/>
      <c r="AR5" s="474"/>
      <c r="AS5" s="474"/>
      <c r="AT5" s="474"/>
      <c r="AU5" s="298"/>
      <c r="AV5" s="23"/>
      <c r="AX5" s="499"/>
      <c r="AY5" s="499"/>
      <c r="AZ5" s="499"/>
      <c r="BD5" s="366" t="s">
        <v>1816</v>
      </c>
    </row>
    <row r="6" spans="1:60" ht="34.5" customHeight="1" x14ac:dyDescent="0.3">
      <c r="A6" s="204" t="s">
        <v>10</v>
      </c>
      <c r="B6" s="205" t="s">
        <v>1235</v>
      </c>
      <c r="C6" s="206" t="s">
        <v>1369</v>
      </c>
      <c r="D6" s="253" t="s">
        <v>1370</v>
      </c>
      <c r="E6" s="206" t="s">
        <v>1371</v>
      </c>
      <c r="F6" s="253" t="s">
        <v>1372</v>
      </c>
      <c r="G6" s="254" t="s">
        <v>1373</v>
      </c>
      <c r="H6" s="206" t="s">
        <v>1440</v>
      </c>
      <c r="I6" s="253" t="s">
        <v>1441</v>
      </c>
      <c r="J6" s="206" t="s">
        <v>1442</v>
      </c>
      <c r="K6" s="207" t="s">
        <v>1460</v>
      </c>
      <c r="L6" s="206" t="s">
        <v>1240</v>
      </c>
      <c r="M6" s="207" t="s">
        <v>1443</v>
      </c>
      <c r="N6" s="208" t="s">
        <v>1444</v>
      </c>
      <c r="O6" s="209" t="s">
        <v>1445</v>
      </c>
      <c r="P6" s="208" t="s">
        <v>1374</v>
      </c>
      <c r="Q6" s="209" t="s">
        <v>1446</v>
      </c>
      <c r="R6" s="208" t="s">
        <v>1447</v>
      </c>
      <c r="S6" s="209" t="s">
        <v>1448</v>
      </c>
      <c r="T6" s="208" t="s">
        <v>1242</v>
      </c>
      <c r="U6" s="209" t="s">
        <v>1243</v>
      </c>
      <c r="V6" s="208" t="s">
        <v>1461</v>
      </c>
      <c r="W6" s="209" t="s">
        <v>1462</v>
      </c>
      <c r="X6" s="208" t="s">
        <v>1463</v>
      </c>
      <c r="Y6" s="209" t="s">
        <v>1464</v>
      </c>
      <c r="Z6" s="208" t="s">
        <v>1449</v>
      </c>
      <c r="AA6" s="209" t="s">
        <v>1450</v>
      </c>
      <c r="AB6" s="208" t="s">
        <v>1451</v>
      </c>
      <c r="AC6" s="209" t="s">
        <v>1452</v>
      </c>
      <c r="AF6" s="210" t="s">
        <v>10</v>
      </c>
      <c r="AG6" s="211" t="s">
        <v>1120</v>
      </c>
      <c r="AH6" s="23"/>
      <c r="AI6" s="285"/>
      <c r="AJ6" s="286" t="s">
        <v>880</v>
      </c>
      <c r="AK6" s="287" t="s">
        <v>1376</v>
      </c>
      <c r="AL6" s="287" t="s">
        <v>1453</v>
      </c>
      <c r="AM6" s="287" t="s">
        <v>1454</v>
      </c>
      <c r="AN6" s="287" t="s">
        <v>1377</v>
      </c>
      <c r="AO6" s="287" t="s">
        <v>1248</v>
      </c>
      <c r="AP6" s="287" t="s">
        <v>1378</v>
      </c>
      <c r="AQ6" s="287" t="s">
        <v>1251</v>
      </c>
      <c r="AR6" s="288" t="s">
        <v>1380</v>
      </c>
      <c r="AS6" s="289" t="s">
        <v>1252</v>
      </c>
      <c r="AT6" s="286" t="s">
        <v>1253</v>
      </c>
      <c r="AU6" s="260" t="s">
        <v>1382</v>
      </c>
      <c r="AV6" s="23"/>
      <c r="AW6" s="217" t="s">
        <v>1093</v>
      </c>
      <c r="AX6" s="218" t="s">
        <v>882</v>
      </c>
      <c r="AY6" s="36" t="s">
        <v>954</v>
      </c>
      <c r="AZ6" s="220" t="s">
        <v>955</v>
      </c>
      <c r="BA6" s="48" t="s">
        <v>883</v>
      </c>
      <c r="BB6" s="48" t="s">
        <v>1465</v>
      </c>
      <c r="BC6" s="48" t="s">
        <v>1466</v>
      </c>
      <c r="BD6" s="36" t="s">
        <v>954</v>
      </c>
    </row>
    <row r="7" spans="1:60" ht="27" customHeight="1" x14ac:dyDescent="0.3">
      <c r="A7" s="224" t="s">
        <v>196</v>
      </c>
      <c r="B7" s="225" t="s">
        <v>1384</v>
      </c>
      <c r="C7" s="225">
        <v>5.2999999999999999E-2</v>
      </c>
      <c r="D7" s="263">
        <f>C7*D5</f>
        <v>1.03827</v>
      </c>
      <c r="E7" s="225">
        <v>2.4E-2</v>
      </c>
      <c r="F7" s="263">
        <f>E7*F5</f>
        <v>0.47016000000000002</v>
      </c>
      <c r="G7" s="227">
        <f t="shared" ref="G7:G54" si="0">D7+F7</f>
        <v>1.5084300000000002</v>
      </c>
      <c r="H7" s="228">
        <v>0.1</v>
      </c>
      <c r="I7" s="227">
        <f>H7*PARÂMETROS!$E$22</f>
        <v>4.2370000000000001</v>
      </c>
      <c r="J7" s="228">
        <v>3.0000000000000001E-3</v>
      </c>
      <c r="K7" s="227">
        <f>J7*PARÂMETROS!$E$22</f>
        <v>0.12711</v>
      </c>
      <c r="L7" s="228">
        <v>2E-3</v>
      </c>
      <c r="M7" s="230">
        <f>L7*PARÂMETROS!$E$8</f>
        <v>6.1780000000000002E-2</v>
      </c>
      <c r="N7" s="228">
        <f t="shared" ref="N7:N54" si="1">H7*0.01</f>
        <v>1E-3</v>
      </c>
      <c r="O7" s="230">
        <f>N7*PARÂMETROS!$E$8</f>
        <v>3.0890000000000001E-2</v>
      </c>
      <c r="P7" s="228">
        <f t="shared" ref="P7:P54" si="2">0.1 * J7</f>
        <v>3.0000000000000003E-4</v>
      </c>
      <c r="Q7" s="230">
        <f>P7*PARÂMETROS!$E$8</f>
        <v>9.2670000000000009E-3</v>
      </c>
      <c r="R7" s="228">
        <f t="shared" ref="R7:R54" si="3">0.1 * N7</f>
        <v>1E-4</v>
      </c>
      <c r="S7" s="230">
        <f>R7*PARÂMETROS!$E$8</f>
        <v>3.0890000000000002E-3</v>
      </c>
      <c r="T7" s="231">
        <v>0.3</v>
      </c>
      <c r="U7" s="230">
        <f>T7*PARÂMETROS!$E$27</f>
        <v>0.89999999999999991</v>
      </c>
      <c r="V7" s="299">
        <v>0.129</v>
      </c>
      <c r="W7" s="230">
        <f>V7*PARÂMETROS!$E$28</f>
        <v>18.431519999999999</v>
      </c>
      <c r="X7" s="299">
        <v>2.5999999999999999E-2</v>
      </c>
      <c r="Y7" s="230">
        <f>X7*PARÂMETROS!$E$31</f>
        <v>0.39389999999999997</v>
      </c>
      <c r="Z7" s="228">
        <f t="shared" ref="Z7:Z54" si="4">H7*0.01</f>
        <v>1E-3</v>
      </c>
      <c r="AA7" s="230">
        <f>Z7*PARÂMETROS!$E$8</f>
        <v>3.0890000000000001E-2</v>
      </c>
      <c r="AB7" s="229">
        <f t="shared" ref="AB7:AB54" si="5">J7*0.01</f>
        <v>3.0000000000000001E-5</v>
      </c>
      <c r="AC7" s="230">
        <f>AB7*PARÂMETROS!$E$8</f>
        <v>9.2670000000000003E-4</v>
      </c>
      <c r="AD7" s="23"/>
      <c r="AE7" s="23"/>
      <c r="AF7" s="232" t="s">
        <v>1385</v>
      </c>
      <c r="AG7" s="264">
        <f t="shared" ref="AG7:AG54" si="6">U7+S7+Q7+O7+M7+K7+I7+G7+W7+Y7+AA7+AC7</f>
        <v>25.734802699999999</v>
      </c>
      <c r="AH7" s="23"/>
      <c r="AI7" s="224" t="s">
        <v>196</v>
      </c>
      <c r="AJ7" s="291">
        <f>PARÂMETROS!$H$3</f>
        <v>40</v>
      </c>
      <c r="AK7" s="267">
        <v>2.1527777777777798E-2</v>
      </c>
      <c r="AL7" s="267">
        <v>1.7361111111111101E-2</v>
      </c>
      <c r="AM7" s="267">
        <v>3.4722222222222203E-2</v>
      </c>
      <c r="AN7" s="300"/>
      <c r="AO7" s="267">
        <v>2.0833333333333301E-2</v>
      </c>
      <c r="AP7" s="267">
        <v>6.9444444444444397E-3</v>
      </c>
      <c r="AQ7" s="267">
        <v>3.125E-2</v>
      </c>
      <c r="AR7" s="271">
        <v>4</v>
      </c>
      <c r="AS7" s="292">
        <f t="shared" ref="AS7:AS54" si="7">AP7+AQ7+AO7+AN7+AM7+AL7+AK7</f>
        <v>0.13263888888888886</v>
      </c>
      <c r="AT7" s="291">
        <f t="shared" ref="AT7:AT54" si="8">AJ7*AS7*24</f>
        <v>127.33333333333331</v>
      </c>
      <c r="AU7" s="272">
        <f t="shared" ref="AU7:AU54" si="9">AT7/AR7</f>
        <v>31.833333333333329</v>
      </c>
      <c r="AV7" s="23"/>
      <c r="AW7" s="273">
        <f t="shared" ref="AW7:AW54" si="10">AG7</f>
        <v>25.734802699999999</v>
      </c>
      <c r="AX7" s="274">
        <f t="shared" ref="AX7:AX54" si="11">AT7</f>
        <v>127.33333333333331</v>
      </c>
      <c r="AY7" s="275">
        <v>4</v>
      </c>
      <c r="AZ7" s="276">
        <f t="shared" ref="AZ7:AZ54" si="12">IFERROR(AX7/AY7,0)</f>
        <v>31.833333333333329</v>
      </c>
      <c r="BA7" s="293">
        <f t="shared" ref="BA7:BA54" si="13">AZ7+AW7</f>
        <v>57.568136033333332</v>
      </c>
      <c r="BB7" s="180">
        <v>80</v>
      </c>
      <c r="BC7" s="180">
        <f t="shared" ref="BC7:BC54" si="14">BA7+BB7</f>
        <v>137.56813603333333</v>
      </c>
      <c r="BD7" s="275">
        <v>4</v>
      </c>
    </row>
    <row r="8" spans="1:60" ht="27" customHeight="1" x14ac:dyDescent="0.3">
      <c r="A8" s="224" t="s">
        <v>200</v>
      </c>
      <c r="B8" s="225" t="s">
        <v>1384</v>
      </c>
      <c r="C8" s="228">
        <v>0.1</v>
      </c>
      <c r="D8" s="263">
        <f>C8*D5</f>
        <v>1.9590000000000001</v>
      </c>
      <c r="E8" s="228">
        <v>4.4999999999999998E-2</v>
      </c>
      <c r="F8" s="263">
        <f>E8*F5</f>
        <v>0.88154999999999994</v>
      </c>
      <c r="G8" s="227">
        <f t="shared" si="0"/>
        <v>2.8405499999999999</v>
      </c>
      <c r="H8" s="228">
        <v>0.14000000000000001</v>
      </c>
      <c r="I8" s="227">
        <f>H8*PARÂMETROS!$E$22</f>
        <v>5.9318</v>
      </c>
      <c r="J8" s="228">
        <v>6.0000000000000001E-3</v>
      </c>
      <c r="K8" s="227">
        <f>J8*PARÂMETROS!$E$22</f>
        <v>0.25422</v>
      </c>
      <c r="L8" s="228">
        <v>2E-3</v>
      </c>
      <c r="M8" s="230">
        <f>L8*PARÂMETROS!$E$8</f>
        <v>6.1780000000000002E-2</v>
      </c>
      <c r="N8" s="228">
        <f t="shared" si="1"/>
        <v>1.4000000000000002E-3</v>
      </c>
      <c r="O8" s="230">
        <f>N8*PARÂMETROS!$E$8</f>
        <v>4.3246000000000007E-2</v>
      </c>
      <c r="P8" s="228">
        <f t="shared" si="2"/>
        <v>6.0000000000000006E-4</v>
      </c>
      <c r="Q8" s="230">
        <f>P8*PARÂMETROS!$E$8</f>
        <v>1.8534000000000002E-2</v>
      </c>
      <c r="R8" s="228">
        <f t="shared" si="3"/>
        <v>1.4000000000000001E-4</v>
      </c>
      <c r="S8" s="230">
        <f>R8*PARÂMETROS!$E$8</f>
        <v>4.3246000000000005E-3</v>
      </c>
      <c r="T8" s="231">
        <v>0.36</v>
      </c>
      <c r="U8" s="230">
        <f>T8*PARÂMETROS!$E$27</f>
        <v>1.08</v>
      </c>
      <c r="V8" s="299">
        <v>0.255</v>
      </c>
      <c r="W8" s="230">
        <f>V8*PARÂMETROS!$E$28</f>
        <v>36.434399999999997</v>
      </c>
      <c r="X8" s="299">
        <v>5.0999999999999997E-2</v>
      </c>
      <c r="Y8" s="230">
        <f>X8*PARÂMETROS!$E$31</f>
        <v>0.77264999999999995</v>
      </c>
      <c r="Z8" s="228">
        <f t="shared" si="4"/>
        <v>1.4000000000000002E-3</v>
      </c>
      <c r="AA8" s="230">
        <f>Z8*PARÂMETROS!$E$8</f>
        <v>4.3246000000000007E-2</v>
      </c>
      <c r="AB8" s="229">
        <f t="shared" si="5"/>
        <v>6.0000000000000002E-5</v>
      </c>
      <c r="AC8" s="230">
        <f>AB8*PARÂMETROS!$E$8</f>
        <v>1.8534000000000001E-3</v>
      </c>
      <c r="AF8" s="232" t="s">
        <v>1386</v>
      </c>
      <c r="AG8" s="264">
        <f t="shared" si="6"/>
        <v>47.486604</v>
      </c>
      <c r="AH8" s="23"/>
      <c r="AI8" s="224" t="s">
        <v>200</v>
      </c>
      <c r="AJ8" s="291">
        <f>PARÂMETROS!$H$3</f>
        <v>40</v>
      </c>
      <c r="AK8" s="267">
        <v>2.1527777777777798E-2</v>
      </c>
      <c r="AL8" s="267">
        <v>1.7361111111111101E-2</v>
      </c>
      <c r="AM8" s="267">
        <v>3.4722222222222203E-2</v>
      </c>
      <c r="AN8" s="300"/>
      <c r="AO8" s="267">
        <v>2.0833333333333301E-2</v>
      </c>
      <c r="AP8" s="267">
        <v>6.9444444444444397E-3</v>
      </c>
      <c r="AQ8" s="267">
        <v>3.125E-2</v>
      </c>
      <c r="AR8" s="271">
        <v>4</v>
      </c>
      <c r="AS8" s="292">
        <f t="shared" si="7"/>
        <v>0.13263888888888886</v>
      </c>
      <c r="AT8" s="291">
        <f t="shared" si="8"/>
        <v>127.33333333333331</v>
      </c>
      <c r="AU8" s="272">
        <f t="shared" si="9"/>
        <v>31.833333333333329</v>
      </c>
      <c r="AV8" s="23"/>
      <c r="AW8" s="273">
        <f t="shared" si="10"/>
        <v>47.486604</v>
      </c>
      <c r="AX8" s="274">
        <f t="shared" si="11"/>
        <v>127.33333333333331</v>
      </c>
      <c r="AY8" s="275">
        <v>4</v>
      </c>
      <c r="AZ8" s="276">
        <f t="shared" si="12"/>
        <v>31.833333333333329</v>
      </c>
      <c r="BA8" s="293">
        <f t="shared" si="13"/>
        <v>79.319937333333328</v>
      </c>
      <c r="BB8" s="180">
        <v>80</v>
      </c>
      <c r="BC8" s="180">
        <f t="shared" si="14"/>
        <v>159.31993733333331</v>
      </c>
      <c r="BD8" s="275">
        <v>4</v>
      </c>
      <c r="BE8" s="285"/>
    </row>
    <row r="9" spans="1:60" ht="27" customHeight="1" x14ac:dyDescent="0.3">
      <c r="A9" s="224" t="s">
        <v>185</v>
      </c>
      <c r="B9" s="225" t="s">
        <v>1384</v>
      </c>
      <c r="C9" s="228">
        <v>0.16800000000000001</v>
      </c>
      <c r="D9" s="263">
        <f>C9*D5</f>
        <v>3.2911200000000003</v>
      </c>
      <c r="E9" s="228">
        <v>7.5999999999999998E-2</v>
      </c>
      <c r="F9" s="263">
        <f>E9*F5</f>
        <v>1.4888399999999999</v>
      </c>
      <c r="G9" s="227">
        <f t="shared" si="0"/>
        <v>4.77996</v>
      </c>
      <c r="H9" s="228">
        <v>0.26</v>
      </c>
      <c r="I9" s="227">
        <f>H9*PARÂMETROS!$E$22</f>
        <v>11.0162</v>
      </c>
      <c r="J9" s="228">
        <v>1.0999999999999999E-2</v>
      </c>
      <c r="K9" s="227">
        <f>J9*PARÂMETROS!$E$22</f>
        <v>0.46606999999999993</v>
      </c>
      <c r="L9" s="228">
        <v>2E-3</v>
      </c>
      <c r="M9" s="230">
        <f>L9*PARÂMETROS!$E$8</f>
        <v>6.1780000000000002E-2</v>
      </c>
      <c r="N9" s="228">
        <f t="shared" si="1"/>
        <v>2.6000000000000003E-3</v>
      </c>
      <c r="O9" s="230">
        <f>N9*PARÂMETROS!$E$8</f>
        <v>8.031400000000001E-2</v>
      </c>
      <c r="P9" s="228">
        <f t="shared" si="2"/>
        <v>1.1000000000000001E-3</v>
      </c>
      <c r="Q9" s="230">
        <f>P9*PARÂMETROS!$E$8</f>
        <v>3.3979000000000002E-2</v>
      </c>
      <c r="R9" s="228">
        <f t="shared" si="3"/>
        <v>2.6000000000000003E-4</v>
      </c>
      <c r="S9" s="230">
        <f>R9*PARÂMETROS!$E$8</f>
        <v>8.031400000000001E-3</v>
      </c>
      <c r="T9" s="231">
        <v>0.41</v>
      </c>
      <c r="U9" s="230">
        <f>T9*PARÂMETROS!$E$27</f>
        <v>1.23</v>
      </c>
      <c r="V9" s="299">
        <v>0.47599999999999998</v>
      </c>
      <c r="W9" s="230">
        <f>V9*PARÂMETROS!$E$28</f>
        <v>68.01088</v>
      </c>
      <c r="X9" s="299">
        <v>9.5000000000000001E-2</v>
      </c>
      <c r="Y9" s="230">
        <f>X9*PARÂMETROS!$E$31</f>
        <v>1.4392500000000001</v>
      </c>
      <c r="Z9" s="228">
        <f t="shared" si="4"/>
        <v>2.6000000000000003E-3</v>
      </c>
      <c r="AA9" s="230">
        <f>Z9*PARÂMETROS!$E$8</f>
        <v>8.031400000000001E-2</v>
      </c>
      <c r="AB9" s="229">
        <f t="shared" si="5"/>
        <v>1.0999999999999999E-4</v>
      </c>
      <c r="AC9" s="230">
        <f>AB9*PARÂMETROS!$E$8</f>
        <v>3.3978999999999997E-3</v>
      </c>
      <c r="AD9" s="23"/>
      <c r="AE9" s="23"/>
      <c r="AF9" s="232" t="s">
        <v>1387</v>
      </c>
      <c r="AG9" s="264">
        <f t="shared" si="6"/>
        <v>87.210176300000001</v>
      </c>
      <c r="AH9" s="23"/>
      <c r="AI9" s="224" t="s">
        <v>185</v>
      </c>
      <c r="AJ9" s="291">
        <f>PARÂMETROS!$H$3</f>
        <v>40</v>
      </c>
      <c r="AK9" s="267">
        <v>2.1527777777777798E-2</v>
      </c>
      <c r="AL9" s="267">
        <v>1.7361111111111101E-2</v>
      </c>
      <c r="AM9" s="267">
        <v>3.4722222222222203E-2</v>
      </c>
      <c r="AN9" s="300"/>
      <c r="AO9" s="267">
        <v>2.0833333333333301E-2</v>
      </c>
      <c r="AP9" s="267">
        <v>6.9444444444444397E-3</v>
      </c>
      <c r="AQ9" s="267">
        <v>3.125E-2</v>
      </c>
      <c r="AR9" s="271">
        <v>4</v>
      </c>
      <c r="AS9" s="292">
        <f t="shared" si="7"/>
        <v>0.13263888888888886</v>
      </c>
      <c r="AT9" s="291">
        <f t="shared" si="8"/>
        <v>127.33333333333331</v>
      </c>
      <c r="AU9" s="272">
        <f t="shared" si="9"/>
        <v>31.833333333333329</v>
      </c>
      <c r="AV9" s="23"/>
      <c r="AW9" s="273">
        <f t="shared" si="10"/>
        <v>87.210176300000001</v>
      </c>
      <c r="AX9" s="274">
        <f t="shared" si="11"/>
        <v>127.33333333333331</v>
      </c>
      <c r="AY9" s="275">
        <v>3</v>
      </c>
      <c r="AZ9" s="276">
        <f t="shared" si="12"/>
        <v>42.444444444444436</v>
      </c>
      <c r="BA9" s="293">
        <f t="shared" si="13"/>
        <v>129.65462074444443</v>
      </c>
      <c r="BB9" s="180">
        <v>80</v>
      </c>
      <c r="BC9" s="180">
        <f t="shared" si="14"/>
        <v>209.65462074444443</v>
      </c>
      <c r="BD9" s="275">
        <v>3</v>
      </c>
      <c r="BE9" s="285"/>
    </row>
    <row r="10" spans="1:60" ht="25.5" customHeight="1" x14ac:dyDescent="0.3">
      <c r="A10" s="224" t="s">
        <v>39</v>
      </c>
      <c r="B10" s="225" t="s">
        <v>1384</v>
      </c>
      <c r="C10" s="228">
        <v>0.624</v>
      </c>
      <c r="D10" s="263">
        <f>C10*D5</f>
        <v>12.224159999999999</v>
      </c>
      <c r="E10" s="228">
        <v>0.28100000000000003</v>
      </c>
      <c r="F10" s="263">
        <f>E10*F5</f>
        <v>5.5047900000000007</v>
      </c>
      <c r="G10" s="227">
        <f t="shared" si="0"/>
        <v>17.728950000000001</v>
      </c>
      <c r="H10" s="228">
        <v>0.5</v>
      </c>
      <c r="I10" s="227">
        <f>H10*PARÂMETROS!$E$22</f>
        <v>21.184999999999999</v>
      </c>
      <c r="J10" s="228">
        <v>2.5000000000000001E-2</v>
      </c>
      <c r="K10" s="227">
        <f>J10*PARÂMETROS!$E$22</f>
        <v>1.05925</v>
      </c>
      <c r="L10" s="228">
        <v>2E-3</v>
      </c>
      <c r="M10" s="230">
        <f>L10*PARÂMETROS!$E$8</f>
        <v>6.1780000000000002E-2</v>
      </c>
      <c r="N10" s="228">
        <f t="shared" si="1"/>
        <v>5.0000000000000001E-3</v>
      </c>
      <c r="O10" s="230">
        <f>N10*PARÂMETROS!$E$8</f>
        <v>0.15445</v>
      </c>
      <c r="P10" s="228">
        <f t="shared" si="2"/>
        <v>2.5000000000000005E-3</v>
      </c>
      <c r="Q10" s="230">
        <f>P10*PARÂMETROS!$E$8</f>
        <v>7.7225000000000016E-2</v>
      </c>
      <c r="R10" s="228">
        <f t="shared" si="3"/>
        <v>5.0000000000000001E-4</v>
      </c>
      <c r="S10" s="230">
        <f>R10*PARÂMETROS!$E$8</f>
        <v>1.5445E-2</v>
      </c>
      <c r="T10" s="231">
        <v>0.82</v>
      </c>
      <c r="U10" s="230">
        <f>T10*PARÂMETROS!$E$27</f>
        <v>2.46</v>
      </c>
      <c r="V10" s="299">
        <v>0.78</v>
      </c>
      <c r="W10" s="230">
        <f>V10*PARÂMETROS!$E$29</f>
        <v>139.8852</v>
      </c>
      <c r="X10" s="299">
        <v>0.156</v>
      </c>
      <c r="Y10" s="230">
        <f>X10*PARÂMETROS!$E$31</f>
        <v>2.3633999999999999</v>
      </c>
      <c r="Z10" s="228">
        <f t="shared" si="4"/>
        <v>5.0000000000000001E-3</v>
      </c>
      <c r="AA10" s="230">
        <f>Z10*PARÂMETROS!$E$8</f>
        <v>0.15445</v>
      </c>
      <c r="AB10" s="229">
        <f t="shared" si="5"/>
        <v>2.5000000000000001E-4</v>
      </c>
      <c r="AC10" s="230">
        <f>AB10*PARÂMETROS!$E$8</f>
        <v>7.7225000000000002E-3</v>
      </c>
      <c r="AF10" s="232" t="s">
        <v>1388</v>
      </c>
      <c r="AG10" s="264">
        <f t="shared" si="6"/>
        <v>185.1528725</v>
      </c>
      <c r="AH10" s="23"/>
      <c r="AI10" s="224" t="s">
        <v>39</v>
      </c>
      <c r="AJ10" s="291">
        <f>PARÂMETROS!$H$3</f>
        <v>40</v>
      </c>
      <c r="AK10" s="267">
        <v>2.1527777777777798E-2</v>
      </c>
      <c r="AL10" s="267">
        <v>1.7361111111111101E-2</v>
      </c>
      <c r="AM10" s="267">
        <v>3.4722222222222203E-2</v>
      </c>
      <c r="AN10" s="300"/>
      <c r="AO10" s="267">
        <v>2.0833333333333301E-2</v>
      </c>
      <c r="AP10" s="267">
        <v>6.9444444444444397E-3</v>
      </c>
      <c r="AQ10" s="267">
        <v>3.125E-2</v>
      </c>
      <c r="AR10" s="271">
        <v>4</v>
      </c>
      <c r="AS10" s="292">
        <f t="shared" si="7"/>
        <v>0.13263888888888886</v>
      </c>
      <c r="AT10" s="291">
        <f t="shared" si="8"/>
        <v>127.33333333333331</v>
      </c>
      <c r="AU10" s="272">
        <f t="shared" si="9"/>
        <v>31.833333333333329</v>
      </c>
      <c r="AV10" s="23"/>
      <c r="AW10" s="273">
        <f t="shared" si="10"/>
        <v>185.1528725</v>
      </c>
      <c r="AX10" s="274">
        <f t="shared" si="11"/>
        <v>127.33333333333331</v>
      </c>
      <c r="AY10" s="275">
        <v>3</v>
      </c>
      <c r="AZ10" s="276">
        <f t="shared" si="12"/>
        <v>42.444444444444436</v>
      </c>
      <c r="BA10" s="293">
        <f t="shared" si="13"/>
        <v>227.59731694444443</v>
      </c>
      <c r="BB10" s="180">
        <v>80</v>
      </c>
      <c r="BC10" s="180">
        <f t="shared" si="14"/>
        <v>307.5973169444444</v>
      </c>
      <c r="BD10" s="275">
        <v>3</v>
      </c>
    </row>
    <row r="11" spans="1:60" ht="27" customHeight="1" x14ac:dyDescent="0.3">
      <c r="A11" s="224" t="s">
        <v>300</v>
      </c>
      <c r="B11" s="225" t="s">
        <v>1384</v>
      </c>
      <c r="C11" s="228">
        <v>0.94799999999999995</v>
      </c>
      <c r="D11" s="263">
        <f>C11*D5</f>
        <v>18.57132</v>
      </c>
      <c r="E11" s="228">
        <v>0.42699999999999999</v>
      </c>
      <c r="F11" s="263">
        <f>E11*F5</f>
        <v>8.3649299999999993</v>
      </c>
      <c r="G11" s="227">
        <f t="shared" si="0"/>
        <v>26.936250000000001</v>
      </c>
      <c r="H11" s="228">
        <v>0.65</v>
      </c>
      <c r="I11" s="227">
        <f>H11*PARÂMETROS!$E$22</f>
        <v>27.540499999999998</v>
      </c>
      <c r="J11" s="228">
        <v>3.2000000000000001E-2</v>
      </c>
      <c r="K11" s="227">
        <f>J11*PARÂMETROS!$E$22</f>
        <v>1.3558399999999999</v>
      </c>
      <c r="L11" s="228">
        <v>2E-3</v>
      </c>
      <c r="M11" s="230">
        <f>L11*PARÂMETROS!$E$8</f>
        <v>6.1780000000000002E-2</v>
      </c>
      <c r="N11" s="228">
        <f t="shared" si="1"/>
        <v>6.5000000000000006E-3</v>
      </c>
      <c r="O11" s="230">
        <f>N11*PARÂMETROS!$E$8</f>
        <v>0.20078500000000002</v>
      </c>
      <c r="P11" s="228">
        <f t="shared" si="2"/>
        <v>3.2000000000000002E-3</v>
      </c>
      <c r="Q11" s="230">
        <f>P11*PARÂMETROS!$E$8</f>
        <v>9.8848000000000005E-2</v>
      </c>
      <c r="R11" s="228">
        <f t="shared" si="3"/>
        <v>6.5000000000000008E-4</v>
      </c>
      <c r="S11" s="230">
        <f>R11*PARÂMETROS!$E$8</f>
        <v>2.0078500000000003E-2</v>
      </c>
      <c r="T11" s="231">
        <v>0.86</v>
      </c>
      <c r="U11" s="230">
        <f>T11*PARÂMETROS!$E$27</f>
        <v>2.58</v>
      </c>
      <c r="V11" s="299">
        <v>1.24</v>
      </c>
      <c r="W11" s="230">
        <f>V11*PARÂMETROS!$E$29</f>
        <v>222.38159999999999</v>
      </c>
      <c r="X11" s="299">
        <v>0.248</v>
      </c>
      <c r="Y11" s="230">
        <f>X11*PARÂMETROS!$E$31</f>
        <v>3.7572000000000001</v>
      </c>
      <c r="Z11" s="228">
        <f t="shared" si="4"/>
        <v>6.5000000000000006E-3</v>
      </c>
      <c r="AA11" s="230">
        <f>Z11*PARÂMETROS!$E$8</f>
        <v>0.20078500000000002</v>
      </c>
      <c r="AB11" s="229">
        <f t="shared" si="5"/>
        <v>3.2000000000000003E-4</v>
      </c>
      <c r="AC11" s="230">
        <f>AB11*PARÂMETROS!$E$8</f>
        <v>9.8848000000000009E-3</v>
      </c>
      <c r="AD11" s="23"/>
      <c r="AE11" s="23"/>
      <c r="AF11" s="232" t="s">
        <v>1389</v>
      </c>
      <c r="AG11" s="264">
        <f t="shared" si="6"/>
        <v>285.14355130000001</v>
      </c>
      <c r="AH11" s="23"/>
      <c r="AI11" s="224" t="s">
        <v>300</v>
      </c>
      <c r="AJ11" s="291">
        <f>PARÂMETROS!$H$3</f>
        <v>40</v>
      </c>
      <c r="AK11" s="267">
        <v>2.1527777777777798E-2</v>
      </c>
      <c r="AL11" s="267">
        <v>1.7361111111111101E-2</v>
      </c>
      <c r="AM11" s="267">
        <v>1.7361111111111101E-2</v>
      </c>
      <c r="AN11" s="300"/>
      <c r="AO11" s="267">
        <v>2.0833333333333301E-2</v>
      </c>
      <c r="AP11" s="267">
        <v>6.9444444444444397E-3</v>
      </c>
      <c r="AQ11" s="267">
        <v>3.125E-2</v>
      </c>
      <c r="AR11" s="271">
        <v>2</v>
      </c>
      <c r="AS11" s="292">
        <f t="shared" si="7"/>
        <v>0.11527777777777774</v>
      </c>
      <c r="AT11" s="291">
        <f t="shared" si="8"/>
        <v>110.66666666666663</v>
      </c>
      <c r="AU11" s="272">
        <f t="shared" si="9"/>
        <v>55.333333333333314</v>
      </c>
      <c r="AV11" s="23"/>
      <c r="AW11" s="273">
        <f t="shared" si="10"/>
        <v>285.14355130000001</v>
      </c>
      <c r="AX11" s="274">
        <f t="shared" si="11"/>
        <v>110.66666666666663</v>
      </c>
      <c r="AY11" s="275">
        <v>3</v>
      </c>
      <c r="AZ11" s="276">
        <f t="shared" si="12"/>
        <v>36.888888888888879</v>
      </c>
      <c r="BA11" s="293">
        <f t="shared" si="13"/>
        <v>322.03244018888887</v>
      </c>
      <c r="BB11" s="180">
        <v>80</v>
      </c>
      <c r="BC11" s="180">
        <f t="shared" si="14"/>
        <v>402.03244018888887</v>
      </c>
      <c r="BD11" s="275">
        <v>3</v>
      </c>
    </row>
    <row r="12" spans="1:60" ht="27" customHeight="1" x14ac:dyDescent="0.3">
      <c r="A12" s="224" t="s">
        <v>41</v>
      </c>
      <c r="B12" s="225" t="s">
        <v>1384</v>
      </c>
      <c r="C12" s="228">
        <v>1.3089999999999999</v>
      </c>
      <c r="D12" s="263">
        <f>C12*D5</f>
        <v>25.64331</v>
      </c>
      <c r="E12" s="228">
        <v>0.58899999999999997</v>
      </c>
      <c r="F12" s="263">
        <f>E12*F5</f>
        <v>11.538509999999999</v>
      </c>
      <c r="G12" s="227">
        <f t="shared" si="0"/>
        <v>37.181820000000002</v>
      </c>
      <c r="H12" s="228">
        <v>0.8</v>
      </c>
      <c r="I12" s="227">
        <f>H12*PARÂMETROS!$E$22</f>
        <v>33.896000000000001</v>
      </c>
      <c r="J12" s="228">
        <v>4.2000000000000003E-2</v>
      </c>
      <c r="K12" s="227">
        <f>J12*PARÂMETROS!$E$22</f>
        <v>1.7795399999999999</v>
      </c>
      <c r="L12" s="228">
        <v>2E-3</v>
      </c>
      <c r="M12" s="230">
        <f>L12*PARÂMETROS!$E$8</f>
        <v>6.1780000000000002E-2</v>
      </c>
      <c r="N12" s="228">
        <f t="shared" si="1"/>
        <v>8.0000000000000002E-3</v>
      </c>
      <c r="O12" s="230">
        <f>N12*PARÂMETROS!$E$8</f>
        <v>0.24712000000000001</v>
      </c>
      <c r="P12" s="228">
        <f t="shared" si="2"/>
        <v>4.2000000000000006E-3</v>
      </c>
      <c r="Q12" s="230">
        <f>P12*PARÂMETROS!$E$8</f>
        <v>0.12973800000000002</v>
      </c>
      <c r="R12" s="228">
        <f t="shared" si="3"/>
        <v>8.0000000000000004E-4</v>
      </c>
      <c r="S12" s="230">
        <f>R12*PARÂMETROS!$E$8</f>
        <v>2.4712000000000001E-2</v>
      </c>
      <c r="T12" s="231">
        <v>0.92</v>
      </c>
      <c r="U12" s="230">
        <f>T12*PARÂMETROS!$E$27</f>
        <v>2.7600000000000002</v>
      </c>
      <c r="V12" s="299">
        <v>1.35</v>
      </c>
      <c r="W12" s="230">
        <f>V12*PARÂMETROS!$E$29</f>
        <v>242.10900000000001</v>
      </c>
      <c r="X12" s="299">
        <v>0.27</v>
      </c>
      <c r="Y12" s="230">
        <f>X12*PARÂMETROS!$E$31</f>
        <v>4.0905000000000005</v>
      </c>
      <c r="Z12" s="228">
        <f t="shared" si="4"/>
        <v>8.0000000000000002E-3</v>
      </c>
      <c r="AA12" s="230">
        <f>Z12*PARÂMETROS!$E$8</f>
        <v>0.24712000000000001</v>
      </c>
      <c r="AB12" s="229">
        <f t="shared" si="5"/>
        <v>4.2000000000000002E-4</v>
      </c>
      <c r="AC12" s="230">
        <f>AB12*PARÂMETROS!$E$8</f>
        <v>1.2973800000000001E-2</v>
      </c>
      <c r="AF12" s="232" t="s">
        <v>1390</v>
      </c>
      <c r="AG12" s="264">
        <f t="shared" si="6"/>
        <v>322.5403038</v>
      </c>
      <c r="AH12" s="23"/>
      <c r="AI12" s="224" t="s">
        <v>41</v>
      </c>
      <c r="AJ12" s="291">
        <f>PARÂMETROS!$H$3</f>
        <v>40</v>
      </c>
      <c r="AK12" s="267">
        <v>2.1527777777777798E-2</v>
      </c>
      <c r="AL12" s="267">
        <v>1.7361111111111101E-2</v>
      </c>
      <c r="AM12" s="267">
        <v>1.7361111111111101E-2</v>
      </c>
      <c r="AN12" s="300"/>
      <c r="AO12" s="267">
        <v>2.0833333333333301E-2</v>
      </c>
      <c r="AP12" s="267">
        <v>6.9444444444444397E-3</v>
      </c>
      <c r="AQ12" s="267">
        <v>3.125E-2</v>
      </c>
      <c r="AR12" s="271">
        <v>2</v>
      </c>
      <c r="AS12" s="292">
        <f t="shared" si="7"/>
        <v>0.11527777777777774</v>
      </c>
      <c r="AT12" s="291">
        <f t="shared" si="8"/>
        <v>110.66666666666663</v>
      </c>
      <c r="AU12" s="272">
        <f t="shared" si="9"/>
        <v>55.333333333333314</v>
      </c>
      <c r="AV12" s="23"/>
      <c r="AW12" s="273">
        <f t="shared" si="10"/>
        <v>322.5403038</v>
      </c>
      <c r="AX12" s="274">
        <f t="shared" si="11"/>
        <v>110.66666666666663</v>
      </c>
      <c r="AY12" s="275">
        <v>2</v>
      </c>
      <c r="AZ12" s="276">
        <f t="shared" si="12"/>
        <v>55.333333333333314</v>
      </c>
      <c r="BA12" s="293">
        <f t="shared" si="13"/>
        <v>377.87363713333332</v>
      </c>
      <c r="BB12" s="180">
        <v>80</v>
      </c>
      <c r="BC12" s="180">
        <f t="shared" si="14"/>
        <v>457.87363713333332</v>
      </c>
      <c r="BD12" s="275">
        <v>2</v>
      </c>
    </row>
    <row r="13" spans="1:60" ht="27" customHeight="1" x14ac:dyDescent="0.3">
      <c r="A13" s="224" t="s">
        <v>43</v>
      </c>
      <c r="B13" s="225" t="s">
        <v>1384</v>
      </c>
      <c r="C13" s="228">
        <v>2.774</v>
      </c>
      <c r="D13" s="263">
        <f>C13*D5</f>
        <v>54.342660000000002</v>
      </c>
      <c r="E13" s="228">
        <v>1.248</v>
      </c>
      <c r="F13" s="263">
        <f>E13*F5</f>
        <v>24.448319999999999</v>
      </c>
      <c r="G13" s="227">
        <f t="shared" si="0"/>
        <v>78.790980000000005</v>
      </c>
      <c r="H13" s="228">
        <v>1</v>
      </c>
      <c r="I13" s="227">
        <f>H13*PARÂMETROS!$E$22</f>
        <v>42.37</v>
      </c>
      <c r="J13" s="228">
        <v>6.5000000000000002E-2</v>
      </c>
      <c r="K13" s="227">
        <f>J13*PARÂMETROS!$E$22</f>
        <v>2.7540499999999999</v>
      </c>
      <c r="L13" s="228">
        <v>2E-3</v>
      </c>
      <c r="M13" s="230">
        <f>L13*PARÂMETROS!$E$8</f>
        <v>6.1780000000000002E-2</v>
      </c>
      <c r="N13" s="228">
        <f t="shared" si="1"/>
        <v>0.01</v>
      </c>
      <c r="O13" s="230">
        <f>N13*PARÂMETROS!$E$8</f>
        <v>0.30890000000000001</v>
      </c>
      <c r="P13" s="228">
        <f t="shared" si="2"/>
        <v>6.5000000000000006E-3</v>
      </c>
      <c r="Q13" s="230">
        <f>P13*PARÂMETROS!$E$8</f>
        <v>0.20078500000000002</v>
      </c>
      <c r="R13" s="228">
        <f t="shared" si="3"/>
        <v>1E-3</v>
      </c>
      <c r="S13" s="230">
        <f>R13*PARÂMETROS!$E$8</f>
        <v>3.0890000000000001E-2</v>
      </c>
      <c r="T13" s="231">
        <v>1.02</v>
      </c>
      <c r="U13" s="230">
        <f>T13*PARÂMETROS!$E$27</f>
        <v>3.06</v>
      </c>
      <c r="V13" s="299">
        <v>1.7250000000000001</v>
      </c>
      <c r="W13" s="230">
        <f>V13*PARÂMETROS!$E$29</f>
        <v>309.36150000000004</v>
      </c>
      <c r="X13" s="299">
        <v>0.34499999999999997</v>
      </c>
      <c r="Y13" s="230">
        <f>X13*PARÂMETROS!$E$31</f>
        <v>5.22675</v>
      </c>
      <c r="Z13" s="228">
        <f t="shared" si="4"/>
        <v>0.01</v>
      </c>
      <c r="AA13" s="230">
        <f>Z13*PARÂMETROS!$E$8</f>
        <v>0.30890000000000001</v>
      </c>
      <c r="AB13" s="228">
        <f t="shared" si="5"/>
        <v>6.5000000000000008E-4</v>
      </c>
      <c r="AC13" s="230">
        <f>AB13*PARÂMETROS!$E$8</f>
        <v>2.0078500000000003E-2</v>
      </c>
      <c r="AD13" s="23"/>
      <c r="AE13" s="23"/>
      <c r="AF13" s="232" t="s">
        <v>1391</v>
      </c>
      <c r="AG13" s="264">
        <f t="shared" si="6"/>
        <v>442.49461350000001</v>
      </c>
      <c r="AH13" s="23"/>
      <c r="AI13" s="224" t="s">
        <v>43</v>
      </c>
      <c r="AJ13" s="291">
        <f>PARÂMETROS!$H$3</f>
        <v>40</v>
      </c>
      <c r="AK13" s="267">
        <v>2.1527777777777798E-2</v>
      </c>
      <c r="AL13" s="267">
        <v>1.7361111111111101E-2</v>
      </c>
      <c r="AM13" s="267">
        <v>1.7361111111111101E-2</v>
      </c>
      <c r="AN13" s="267">
        <v>6.9444444444444397E-3</v>
      </c>
      <c r="AO13" s="267">
        <v>2.0833333333333301E-2</v>
      </c>
      <c r="AP13" s="267">
        <v>6.9444444444444397E-3</v>
      </c>
      <c r="AQ13" s="267">
        <v>3.125E-2</v>
      </c>
      <c r="AR13" s="271">
        <v>2</v>
      </c>
      <c r="AS13" s="292">
        <f t="shared" si="7"/>
        <v>0.12222222222222219</v>
      </c>
      <c r="AT13" s="291">
        <f t="shared" si="8"/>
        <v>117.3333333333333</v>
      </c>
      <c r="AU13" s="272">
        <f t="shared" si="9"/>
        <v>58.66666666666665</v>
      </c>
      <c r="AV13" s="23"/>
      <c r="AW13" s="273">
        <f t="shared" si="10"/>
        <v>442.49461350000001</v>
      </c>
      <c r="AX13" s="274">
        <f t="shared" si="11"/>
        <v>117.3333333333333</v>
      </c>
      <c r="AY13" s="275">
        <v>2</v>
      </c>
      <c r="AZ13" s="276">
        <f t="shared" si="12"/>
        <v>58.66666666666665</v>
      </c>
      <c r="BA13" s="293">
        <f t="shared" si="13"/>
        <v>501.16128016666664</v>
      </c>
      <c r="BB13" s="180">
        <v>80</v>
      </c>
      <c r="BC13" s="180">
        <f t="shared" si="14"/>
        <v>581.16128016666664</v>
      </c>
      <c r="BD13" s="275">
        <v>2</v>
      </c>
    </row>
    <row r="14" spans="1:60" ht="27" customHeight="1" x14ac:dyDescent="0.3">
      <c r="A14" s="224" t="s">
        <v>45</v>
      </c>
      <c r="B14" s="225" t="s">
        <v>1384</v>
      </c>
      <c r="C14" s="228">
        <v>4.58</v>
      </c>
      <c r="D14" s="263">
        <f>C14*D5</f>
        <v>89.722200000000001</v>
      </c>
      <c r="E14" s="228">
        <v>2.0609999999999999</v>
      </c>
      <c r="F14" s="263">
        <f>E14*F5</f>
        <v>40.374989999999997</v>
      </c>
      <c r="G14" s="227">
        <f t="shared" si="0"/>
        <v>130.09719000000001</v>
      </c>
      <c r="H14" s="228">
        <v>1.4</v>
      </c>
      <c r="I14" s="227">
        <f>H14*PARÂMETROS!$E$22</f>
        <v>59.317999999999991</v>
      </c>
      <c r="J14" s="228">
        <v>9.1999999999999998E-2</v>
      </c>
      <c r="K14" s="227">
        <f>J14*PARÂMETROS!$E$22</f>
        <v>3.8980399999999995</v>
      </c>
      <c r="L14" s="228">
        <v>2E-3</v>
      </c>
      <c r="M14" s="230">
        <f>L14*PARÂMETROS!$E$8</f>
        <v>6.1780000000000002E-2</v>
      </c>
      <c r="N14" s="228">
        <f t="shared" si="1"/>
        <v>1.3999999999999999E-2</v>
      </c>
      <c r="O14" s="230">
        <f>N14*PARÂMETROS!$E$8</f>
        <v>0.43245999999999996</v>
      </c>
      <c r="P14" s="228">
        <f t="shared" si="2"/>
        <v>9.1999999999999998E-3</v>
      </c>
      <c r="Q14" s="230">
        <f>P14*PARÂMETROS!$E$8</f>
        <v>0.284188</v>
      </c>
      <c r="R14" s="228">
        <f t="shared" si="3"/>
        <v>1.4E-3</v>
      </c>
      <c r="S14" s="230">
        <f>R14*PARÂMETROS!$E$8</f>
        <v>4.3246E-2</v>
      </c>
      <c r="T14" s="231">
        <v>1.1200000000000001</v>
      </c>
      <c r="U14" s="230">
        <f>T14*PARÂMETROS!$E$27</f>
        <v>3.3600000000000003</v>
      </c>
      <c r="V14" s="299">
        <v>2.3250000000000002</v>
      </c>
      <c r="W14" s="230">
        <f>V14*PARÂMETROS!$E$29</f>
        <v>416.96550000000002</v>
      </c>
      <c r="X14" s="299">
        <v>0.46500000000000002</v>
      </c>
      <c r="Y14" s="230">
        <f>X14*PARÂMETROS!$E$31</f>
        <v>7.0447500000000005</v>
      </c>
      <c r="Z14" s="228">
        <f t="shared" si="4"/>
        <v>1.3999999999999999E-2</v>
      </c>
      <c r="AA14" s="230">
        <f>Z14*PARÂMETROS!$E$8</f>
        <v>0.43245999999999996</v>
      </c>
      <c r="AB14" s="228">
        <f t="shared" si="5"/>
        <v>9.2000000000000003E-4</v>
      </c>
      <c r="AC14" s="230">
        <f>AB14*PARÂMETROS!$E$8</f>
        <v>2.8418800000000001E-2</v>
      </c>
      <c r="AF14" s="232" t="s">
        <v>1392</v>
      </c>
      <c r="AG14" s="264">
        <f t="shared" si="6"/>
        <v>621.96603280000011</v>
      </c>
      <c r="AH14" s="23"/>
      <c r="AI14" s="224" t="s">
        <v>45</v>
      </c>
      <c r="AJ14" s="291">
        <f>PARÂMETROS!$H$3</f>
        <v>40</v>
      </c>
      <c r="AK14" s="267">
        <v>2.1527777777777798E-2</v>
      </c>
      <c r="AL14" s="267">
        <v>1.7361111111111101E-2</v>
      </c>
      <c r="AM14" s="267">
        <v>1.7361111111111101E-2</v>
      </c>
      <c r="AN14" s="267">
        <v>6.9444444444444397E-3</v>
      </c>
      <c r="AO14" s="267">
        <v>2.0833333333333301E-2</v>
      </c>
      <c r="AP14" s="267">
        <v>6.9444444444444397E-3</v>
      </c>
      <c r="AQ14" s="267">
        <v>3.125E-2</v>
      </c>
      <c r="AR14" s="271">
        <v>2</v>
      </c>
      <c r="AS14" s="292">
        <f t="shared" si="7"/>
        <v>0.12222222222222219</v>
      </c>
      <c r="AT14" s="291">
        <f t="shared" si="8"/>
        <v>117.3333333333333</v>
      </c>
      <c r="AU14" s="272">
        <f t="shared" si="9"/>
        <v>58.66666666666665</v>
      </c>
      <c r="AV14" s="23"/>
      <c r="AW14" s="273">
        <f t="shared" si="10"/>
        <v>621.96603280000011</v>
      </c>
      <c r="AX14" s="274">
        <f t="shared" si="11"/>
        <v>117.3333333333333</v>
      </c>
      <c r="AY14" s="275">
        <v>2</v>
      </c>
      <c r="AZ14" s="276">
        <f t="shared" si="12"/>
        <v>58.66666666666665</v>
      </c>
      <c r="BA14" s="293">
        <f t="shared" si="13"/>
        <v>680.63269946666674</v>
      </c>
      <c r="BB14" s="180">
        <v>80</v>
      </c>
      <c r="BC14" s="180">
        <f t="shared" si="14"/>
        <v>760.63269946666674</v>
      </c>
      <c r="BD14" s="275">
        <v>2</v>
      </c>
    </row>
    <row r="15" spans="1:60" ht="27" customHeight="1" x14ac:dyDescent="0.3">
      <c r="A15" s="224" t="s">
        <v>47</v>
      </c>
      <c r="B15" s="225" t="s">
        <v>1384</v>
      </c>
      <c r="C15" s="228">
        <v>6.7759999999999998</v>
      </c>
      <c r="D15" s="263">
        <f>C15*D5</f>
        <v>132.74184</v>
      </c>
      <c r="E15" s="228">
        <v>3.0489999999999999</v>
      </c>
      <c r="F15" s="263">
        <f>E15*F5</f>
        <v>59.729909999999997</v>
      </c>
      <c r="G15" s="227">
        <f t="shared" si="0"/>
        <v>192.47174999999999</v>
      </c>
      <c r="H15" s="228">
        <v>1.8</v>
      </c>
      <c r="I15" s="227">
        <f>H15*PARÂMETROS!$E$22</f>
        <v>76.265999999999991</v>
      </c>
      <c r="J15" s="228">
        <v>0.124</v>
      </c>
      <c r="K15" s="227">
        <f>J15*PARÂMETROS!$E$22</f>
        <v>5.2538799999999997</v>
      </c>
      <c r="L15" s="228">
        <v>2E-3</v>
      </c>
      <c r="M15" s="230">
        <f>L15*PARÂMETROS!$E$8</f>
        <v>6.1780000000000002E-2</v>
      </c>
      <c r="N15" s="228">
        <f t="shared" si="1"/>
        <v>1.8000000000000002E-2</v>
      </c>
      <c r="O15" s="230">
        <f>N15*PARÂMETROS!$E$8</f>
        <v>0.55602000000000007</v>
      </c>
      <c r="P15" s="228">
        <f t="shared" si="2"/>
        <v>1.2400000000000001E-2</v>
      </c>
      <c r="Q15" s="230">
        <f>P15*PARÂMETROS!$E$8</f>
        <v>0.38303600000000004</v>
      </c>
      <c r="R15" s="228">
        <f t="shared" si="3"/>
        <v>1.8000000000000004E-3</v>
      </c>
      <c r="S15" s="230">
        <f>R15*PARÂMETROS!$E$8</f>
        <v>5.5602000000000013E-2</v>
      </c>
      <c r="T15" s="231">
        <v>1.22</v>
      </c>
      <c r="U15" s="230">
        <f>T15*PARÂMETROS!$E$27</f>
        <v>3.66</v>
      </c>
      <c r="V15" s="299">
        <v>3.03</v>
      </c>
      <c r="W15" s="230">
        <f>V15*PARÂMETROS!$E$29</f>
        <v>543.40019999999993</v>
      </c>
      <c r="X15" s="299">
        <v>0.60599999999999998</v>
      </c>
      <c r="Y15" s="230">
        <f>X15*PARÂMETROS!$E$31</f>
        <v>9.1808999999999994</v>
      </c>
      <c r="Z15" s="228">
        <f t="shared" si="4"/>
        <v>1.8000000000000002E-2</v>
      </c>
      <c r="AA15" s="230">
        <f>Z15*PARÂMETROS!$E$8</f>
        <v>0.55602000000000007</v>
      </c>
      <c r="AB15" s="228">
        <f t="shared" si="5"/>
        <v>1.24E-3</v>
      </c>
      <c r="AC15" s="230">
        <f>AB15*PARÂMETROS!$E$8</f>
        <v>3.83036E-2</v>
      </c>
      <c r="AD15" s="23"/>
      <c r="AE15" s="23"/>
      <c r="AF15" s="232" t="s">
        <v>1393</v>
      </c>
      <c r="AG15" s="264">
        <f t="shared" si="6"/>
        <v>831.88349159999984</v>
      </c>
      <c r="AH15" s="23"/>
      <c r="AI15" s="224" t="s">
        <v>47</v>
      </c>
      <c r="AJ15" s="291">
        <f>PARÂMETROS!$H$3</f>
        <v>40</v>
      </c>
      <c r="AK15" s="267">
        <v>2.1527777777777798E-2</v>
      </c>
      <c r="AL15" s="267">
        <v>2.7777777777777801E-2</v>
      </c>
      <c r="AM15" s="267">
        <v>2.7777777777777801E-2</v>
      </c>
      <c r="AN15" s="267">
        <v>6.9444444444444397E-3</v>
      </c>
      <c r="AO15" s="267">
        <v>2.0833333333333301E-2</v>
      </c>
      <c r="AP15" s="267">
        <v>6.9444444444444397E-3</v>
      </c>
      <c r="AQ15" s="267">
        <v>3.125E-2</v>
      </c>
      <c r="AR15" s="271">
        <v>1</v>
      </c>
      <c r="AS15" s="292">
        <f t="shared" si="7"/>
        <v>0.1430555555555556</v>
      </c>
      <c r="AT15" s="291">
        <f t="shared" si="8"/>
        <v>137.33333333333337</v>
      </c>
      <c r="AU15" s="272">
        <f t="shared" si="9"/>
        <v>137.33333333333337</v>
      </c>
      <c r="AV15" s="23"/>
      <c r="AW15" s="273">
        <f t="shared" si="10"/>
        <v>831.88349159999984</v>
      </c>
      <c r="AX15" s="274">
        <f t="shared" si="11"/>
        <v>137.33333333333337</v>
      </c>
      <c r="AY15" s="275">
        <v>1</v>
      </c>
      <c r="AZ15" s="276">
        <f t="shared" si="12"/>
        <v>137.33333333333337</v>
      </c>
      <c r="BA15" s="293">
        <f t="shared" si="13"/>
        <v>969.21682493333321</v>
      </c>
      <c r="BB15" s="180">
        <v>80</v>
      </c>
      <c r="BC15" s="180">
        <f t="shared" si="14"/>
        <v>1049.2168249333331</v>
      </c>
      <c r="BD15" s="275">
        <v>1</v>
      </c>
    </row>
    <row r="16" spans="1:60" ht="27" customHeight="1" x14ac:dyDescent="0.3">
      <c r="A16" s="224" t="s">
        <v>222</v>
      </c>
      <c r="B16" s="225" t="s">
        <v>1384</v>
      </c>
      <c r="C16" s="228">
        <v>9</v>
      </c>
      <c r="D16" s="263">
        <f>C16*D5</f>
        <v>176.31</v>
      </c>
      <c r="E16" s="228">
        <v>4.05</v>
      </c>
      <c r="F16" s="263">
        <f>E16*F5</f>
        <v>79.339500000000001</v>
      </c>
      <c r="G16" s="227">
        <f t="shared" si="0"/>
        <v>255.64949999999999</v>
      </c>
      <c r="H16" s="228">
        <v>2.5</v>
      </c>
      <c r="I16" s="227">
        <f>H16*PARÂMETROS!$E$22</f>
        <v>105.925</v>
      </c>
      <c r="J16" s="228">
        <v>0.161</v>
      </c>
      <c r="K16" s="227">
        <f>J16*PARÂMETROS!$E$22</f>
        <v>6.8215699999999995</v>
      </c>
      <c r="L16" s="228">
        <v>2E-3</v>
      </c>
      <c r="M16" s="230">
        <f>L16*PARÂMETROS!$E$8</f>
        <v>6.1780000000000002E-2</v>
      </c>
      <c r="N16" s="228">
        <f t="shared" si="1"/>
        <v>2.5000000000000001E-2</v>
      </c>
      <c r="O16" s="230">
        <f>N16*PARÂMETROS!$E$8</f>
        <v>0.7722500000000001</v>
      </c>
      <c r="P16" s="228">
        <f t="shared" si="2"/>
        <v>1.61E-2</v>
      </c>
      <c r="Q16" s="230">
        <f>P16*PARÂMETROS!$E$8</f>
        <v>0.49732900000000002</v>
      </c>
      <c r="R16" s="228">
        <f t="shared" si="3"/>
        <v>2.5000000000000005E-3</v>
      </c>
      <c r="S16" s="230">
        <f>R16*PARÂMETROS!$E$8</f>
        <v>7.7225000000000016E-2</v>
      </c>
      <c r="T16" s="231">
        <v>1.31</v>
      </c>
      <c r="U16" s="230">
        <f>T16*PARÂMETROS!$E$27</f>
        <v>3.93</v>
      </c>
      <c r="V16" s="299">
        <v>3.21</v>
      </c>
      <c r="W16" s="230">
        <f>V16*PARÂMETROS!$E$29</f>
        <v>575.68140000000005</v>
      </c>
      <c r="X16" s="299">
        <v>0.64200000000000002</v>
      </c>
      <c r="Y16" s="230">
        <f>X16*PARÂMETROS!$E$31</f>
        <v>9.7263000000000002</v>
      </c>
      <c r="Z16" s="228">
        <f t="shared" si="4"/>
        <v>2.5000000000000001E-2</v>
      </c>
      <c r="AA16" s="230">
        <f>Z16*PARÂMETROS!$E$8</f>
        <v>0.7722500000000001</v>
      </c>
      <c r="AB16" s="228">
        <f t="shared" si="5"/>
        <v>1.6100000000000001E-3</v>
      </c>
      <c r="AC16" s="230">
        <f>AB16*PARÂMETROS!$E$8</f>
        <v>4.9732900000000003E-2</v>
      </c>
      <c r="AF16" s="232" t="s">
        <v>1394</v>
      </c>
      <c r="AG16" s="264">
        <f t="shared" si="6"/>
        <v>959.96433690000003</v>
      </c>
      <c r="AH16" s="23"/>
      <c r="AI16" s="224" t="s">
        <v>222</v>
      </c>
      <c r="AJ16" s="291">
        <f>PARÂMETROS!$H$3</f>
        <v>40</v>
      </c>
      <c r="AK16" s="267">
        <v>2.1527777777777798E-2</v>
      </c>
      <c r="AL16" s="267">
        <v>2.7777777777777801E-2</v>
      </c>
      <c r="AM16" s="267">
        <v>2.7777777777777801E-2</v>
      </c>
      <c r="AN16" s="267">
        <v>6.9444444444444397E-3</v>
      </c>
      <c r="AO16" s="267">
        <v>2.0833333333333301E-2</v>
      </c>
      <c r="AP16" s="267">
        <v>6.9444444444444397E-3</v>
      </c>
      <c r="AQ16" s="267">
        <v>3.125E-2</v>
      </c>
      <c r="AR16" s="271">
        <v>1</v>
      </c>
      <c r="AS16" s="292">
        <f t="shared" si="7"/>
        <v>0.1430555555555556</v>
      </c>
      <c r="AT16" s="291">
        <f t="shared" si="8"/>
        <v>137.33333333333337</v>
      </c>
      <c r="AU16" s="272">
        <f t="shared" si="9"/>
        <v>137.33333333333337</v>
      </c>
      <c r="AV16" s="23"/>
      <c r="AW16" s="273">
        <f t="shared" si="10"/>
        <v>959.96433690000003</v>
      </c>
      <c r="AX16" s="274">
        <f t="shared" si="11"/>
        <v>137.33333333333337</v>
      </c>
      <c r="AY16" s="275">
        <v>1</v>
      </c>
      <c r="AZ16" s="276">
        <f t="shared" si="12"/>
        <v>137.33333333333337</v>
      </c>
      <c r="BA16" s="293">
        <f t="shared" si="13"/>
        <v>1097.2976702333335</v>
      </c>
      <c r="BB16" s="180">
        <v>80</v>
      </c>
      <c r="BC16" s="180">
        <f t="shared" si="14"/>
        <v>1177.2976702333335</v>
      </c>
      <c r="BD16" s="275">
        <v>1</v>
      </c>
    </row>
    <row r="17" spans="1:56" ht="27" customHeight="1" x14ac:dyDescent="0.3">
      <c r="A17" s="224" t="s">
        <v>226</v>
      </c>
      <c r="B17" s="225" t="s">
        <v>1384</v>
      </c>
      <c r="C17" s="228">
        <v>15.164</v>
      </c>
      <c r="D17" s="263">
        <f>C17*D5</f>
        <v>297.06275999999997</v>
      </c>
      <c r="E17" s="228">
        <v>6.8239999999999998</v>
      </c>
      <c r="F17" s="263">
        <f>E17*F5</f>
        <v>133.68215999999998</v>
      </c>
      <c r="G17" s="227">
        <f t="shared" si="0"/>
        <v>430.74491999999998</v>
      </c>
      <c r="H17" s="228">
        <v>3</v>
      </c>
      <c r="I17" s="227">
        <f>H17*PARÂMETROS!$E$22</f>
        <v>127.10999999999999</v>
      </c>
      <c r="J17" s="228">
        <v>0.19400000000000001</v>
      </c>
      <c r="K17" s="227">
        <f>J17*PARÂMETROS!$E$22</f>
        <v>8.2197800000000001</v>
      </c>
      <c r="L17" s="228">
        <v>2E-3</v>
      </c>
      <c r="M17" s="230">
        <f>L17*PARÂMETROS!$E$8</f>
        <v>6.1780000000000002E-2</v>
      </c>
      <c r="N17" s="228">
        <f t="shared" si="1"/>
        <v>0.03</v>
      </c>
      <c r="O17" s="230">
        <f>N17*PARÂMETROS!$E$8</f>
        <v>0.92669999999999997</v>
      </c>
      <c r="P17" s="228">
        <f t="shared" si="2"/>
        <v>1.9400000000000001E-2</v>
      </c>
      <c r="Q17" s="230">
        <f>P17*PARÂMETROS!$E$8</f>
        <v>0.59926600000000008</v>
      </c>
      <c r="R17" s="228">
        <f t="shared" si="3"/>
        <v>3.0000000000000001E-3</v>
      </c>
      <c r="S17" s="230">
        <f>R17*PARÂMETROS!$E$8</f>
        <v>9.2670000000000002E-2</v>
      </c>
      <c r="T17" s="231">
        <v>1.4</v>
      </c>
      <c r="U17" s="230">
        <f>T17*PARÂMETROS!$E$27</f>
        <v>4.1999999999999993</v>
      </c>
      <c r="V17" s="299">
        <v>4.3049999999999997</v>
      </c>
      <c r="W17" s="230">
        <f>V17*PARÂMETROS!$E$29</f>
        <v>772.05869999999993</v>
      </c>
      <c r="X17" s="299">
        <v>0.86099999999999999</v>
      </c>
      <c r="Y17" s="230">
        <f>X17*PARÂMETROS!$E$31</f>
        <v>13.04415</v>
      </c>
      <c r="Z17" s="228">
        <f t="shared" si="4"/>
        <v>0.03</v>
      </c>
      <c r="AA17" s="230">
        <f>Z17*PARÂMETROS!$E$8</f>
        <v>0.92669999999999997</v>
      </c>
      <c r="AB17" s="228">
        <f t="shared" si="5"/>
        <v>1.9400000000000001E-3</v>
      </c>
      <c r="AC17" s="230">
        <f>AB17*PARÂMETROS!$E$8</f>
        <v>5.9926600000000003E-2</v>
      </c>
      <c r="AD17" s="23"/>
      <c r="AE17" s="23"/>
      <c r="AF17" s="232" t="s">
        <v>1395</v>
      </c>
      <c r="AG17" s="264">
        <f t="shared" si="6"/>
        <v>1358.0445925999998</v>
      </c>
      <c r="AH17" s="23"/>
      <c r="AI17" s="224" t="s">
        <v>226</v>
      </c>
      <c r="AJ17" s="291">
        <f>PARÂMETROS!$H$3</f>
        <v>40</v>
      </c>
      <c r="AK17" s="267">
        <v>2.1527777777777798E-2</v>
      </c>
      <c r="AL17" s="267">
        <v>2.7777777777777801E-2</v>
      </c>
      <c r="AM17" s="267">
        <v>2.7777777777777801E-2</v>
      </c>
      <c r="AN17" s="267">
        <v>6.9444444444444397E-3</v>
      </c>
      <c r="AO17" s="267">
        <v>2.0833333333333301E-2</v>
      </c>
      <c r="AP17" s="267">
        <v>6.9444444444444397E-3</v>
      </c>
      <c r="AQ17" s="267">
        <v>3.125E-2</v>
      </c>
      <c r="AR17" s="271">
        <v>1</v>
      </c>
      <c r="AS17" s="292">
        <f t="shared" si="7"/>
        <v>0.1430555555555556</v>
      </c>
      <c r="AT17" s="291">
        <f t="shared" si="8"/>
        <v>137.33333333333337</v>
      </c>
      <c r="AU17" s="272">
        <f t="shared" si="9"/>
        <v>137.33333333333337</v>
      </c>
      <c r="AV17" s="23"/>
      <c r="AW17" s="273">
        <f t="shared" si="10"/>
        <v>1358.0445925999998</v>
      </c>
      <c r="AX17" s="274">
        <f t="shared" si="11"/>
        <v>137.33333333333337</v>
      </c>
      <c r="AY17" s="275">
        <v>1</v>
      </c>
      <c r="AZ17" s="276">
        <f t="shared" si="12"/>
        <v>137.33333333333337</v>
      </c>
      <c r="BA17" s="293">
        <f t="shared" si="13"/>
        <v>1495.3779259333332</v>
      </c>
      <c r="BB17" s="180">
        <v>80</v>
      </c>
      <c r="BC17" s="180">
        <f t="shared" si="14"/>
        <v>1575.3779259333332</v>
      </c>
      <c r="BD17" s="275">
        <v>1</v>
      </c>
    </row>
    <row r="18" spans="1:56" ht="27" customHeight="1" x14ac:dyDescent="0.3">
      <c r="A18" s="224" t="s">
        <v>230</v>
      </c>
      <c r="B18" s="225" t="s">
        <v>1384</v>
      </c>
      <c r="C18" s="228">
        <v>21</v>
      </c>
      <c r="D18" s="263">
        <f>C18*D5</f>
        <v>411.39</v>
      </c>
      <c r="E18" s="228">
        <v>9.4</v>
      </c>
      <c r="F18" s="263">
        <f>E18*F5</f>
        <v>184.14600000000002</v>
      </c>
      <c r="G18" s="227">
        <f t="shared" si="0"/>
        <v>595.53600000000006</v>
      </c>
      <c r="H18" s="228">
        <v>3.4</v>
      </c>
      <c r="I18" s="227">
        <f>H18*PARÂMETROS!$E$22</f>
        <v>144.05799999999999</v>
      </c>
      <c r="J18" s="228">
        <v>0.25</v>
      </c>
      <c r="K18" s="227">
        <f>J18*PARÂMETROS!$E$22</f>
        <v>10.592499999999999</v>
      </c>
      <c r="L18" s="228">
        <v>2E-3</v>
      </c>
      <c r="M18" s="230">
        <f>L18*PARÂMETROS!$E$8</f>
        <v>6.1780000000000002E-2</v>
      </c>
      <c r="N18" s="228">
        <f t="shared" si="1"/>
        <v>3.4000000000000002E-2</v>
      </c>
      <c r="O18" s="230">
        <f>N18*PARÂMETROS!$E$8</f>
        <v>1.0502600000000002</v>
      </c>
      <c r="P18" s="228">
        <f t="shared" si="2"/>
        <v>2.5000000000000001E-2</v>
      </c>
      <c r="Q18" s="230">
        <f>P18*PARÂMETROS!$E$8</f>
        <v>0.7722500000000001</v>
      </c>
      <c r="R18" s="228">
        <f t="shared" si="3"/>
        <v>3.4000000000000002E-3</v>
      </c>
      <c r="S18" s="230">
        <f>R18*PARÂMETROS!$E$8</f>
        <v>0.10502600000000001</v>
      </c>
      <c r="T18" s="231">
        <v>1.52</v>
      </c>
      <c r="U18" s="230">
        <f>T18*PARÂMETROS!$E$27</f>
        <v>4.5600000000000005</v>
      </c>
      <c r="V18" s="299">
        <v>5.48</v>
      </c>
      <c r="W18" s="230">
        <f>V18*PARÂMETROS!$E$29</f>
        <v>982.78320000000008</v>
      </c>
      <c r="X18" s="299">
        <v>1.0960000000000001</v>
      </c>
      <c r="Y18" s="230">
        <f>X18*PARÂMETROS!$E$31</f>
        <v>16.604400000000002</v>
      </c>
      <c r="Z18" s="228">
        <f t="shared" si="4"/>
        <v>3.4000000000000002E-2</v>
      </c>
      <c r="AA18" s="230">
        <f>Z18*PARÂMETROS!$E$8</f>
        <v>1.0502600000000002</v>
      </c>
      <c r="AB18" s="228">
        <f t="shared" si="5"/>
        <v>2.5000000000000001E-3</v>
      </c>
      <c r="AC18" s="230">
        <f>AB18*PARÂMETROS!$E$8</f>
        <v>7.7225000000000002E-2</v>
      </c>
      <c r="AF18" s="232" t="s">
        <v>1396</v>
      </c>
      <c r="AG18" s="264">
        <f t="shared" si="6"/>
        <v>1757.2509010000001</v>
      </c>
      <c r="AH18" s="23"/>
      <c r="AI18" s="224" t="s">
        <v>230</v>
      </c>
      <c r="AJ18" s="291">
        <f>PARÂMETROS!$H$3</f>
        <v>40</v>
      </c>
      <c r="AK18" s="267">
        <v>2.1527777777777798E-2</v>
      </c>
      <c r="AL18" s="267">
        <v>4.1666666666666699E-2</v>
      </c>
      <c r="AM18" s="267">
        <v>3.4722222222222203E-2</v>
      </c>
      <c r="AN18" s="267">
        <v>6.9444444444444397E-3</v>
      </c>
      <c r="AO18" s="267">
        <v>2.0833333333333301E-2</v>
      </c>
      <c r="AP18" s="267">
        <v>6.9444444444444397E-3</v>
      </c>
      <c r="AQ18" s="267">
        <v>3.125E-2</v>
      </c>
      <c r="AR18" s="271">
        <v>1</v>
      </c>
      <c r="AS18" s="292">
        <f t="shared" si="7"/>
        <v>0.16388888888888892</v>
      </c>
      <c r="AT18" s="291">
        <f t="shared" si="8"/>
        <v>157.33333333333337</v>
      </c>
      <c r="AU18" s="272">
        <f t="shared" si="9"/>
        <v>157.33333333333337</v>
      </c>
      <c r="AV18" s="23"/>
      <c r="AW18" s="273">
        <f t="shared" si="10"/>
        <v>1757.2509010000001</v>
      </c>
      <c r="AX18" s="274">
        <f t="shared" si="11"/>
        <v>157.33333333333337</v>
      </c>
      <c r="AY18" s="275">
        <v>1</v>
      </c>
      <c r="AZ18" s="276">
        <f t="shared" si="12"/>
        <v>157.33333333333337</v>
      </c>
      <c r="BA18" s="293">
        <f t="shared" si="13"/>
        <v>1914.5842343333334</v>
      </c>
      <c r="BB18" s="180">
        <v>80</v>
      </c>
      <c r="BC18" s="180">
        <f t="shared" si="14"/>
        <v>1994.5842343333334</v>
      </c>
      <c r="BD18" s="275">
        <v>1</v>
      </c>
    </row>
    <row r="19" spans="1:56" ht="27" customHeight="1" x14ac:dyDescent="0.3">
      <c r="A19" s="224" t="s">
        <v>234</v>
      </c>
      <c r="B19" s="225" t="s">
        <v>1384</v>
      </c>
      <c r="C19" s="228">
        <v>30</v>
      </c>
      <c r="D19" s="263">
        <f>C19*D5</f>
        <v>587.70000000000005</v>
      </c>
      <c r="E19" s="228">
        <v>13.5</v>
      </c>
      <c r="F19" s="263">
        <f>E19*F5</f>
        <v>264.46499999999997</v>
      </c>
      <c r="G19" s="227">
        <f t="shared" si="0"/>
        <v>852.16499999999996</v>
      </c>
      <c r="H19" s="228">
        <v>3.9</v>
      </c>
      <c r="I19" s="227">
        <f>H19*PARÂMETROS!$E$22</f>
        <v>165.24299999999999</v>
      </c>
      <c r="J19" s="228">
        <v>0.30099999999999999</v>
      </c>
      <c r="K19" s="227">
        <f>J19*PARÂMETROS!$E$22</f>
        <v>12.753369999999999</v>
      </c>
      <c r="L19" s="228">
        <v>2E-3</v>
      </c>
      <c r="M19" s="230">
        <f>L19*PARÂMETROS!$E$8</f>
        <v>6.1780000000000002E-2</v>
      </c>
      <c r="N19" s="228">
        <f t="shared" si="1"/>
        <v>3.9E-2</v>
      </c>
      <c r="O19" s="230">
        <f>N19*PARÂMETROS!$E$8</f>
        <v>1.2047099999999999</v>
      </c>
      <c r="P19" s="228">
        <f t="shared" si="2"/>
        <v>3.0100000000000002E-2</v>
      </c>
      <c r="Q19" s="230">
        <f>P19*PARÂMETROS!$E$8</f>
        <v>0.92978900000000009</v>
      </c>
      <c r="R19" s="228">
        <f t="shared" si="3"/>
        <v>3.9000000000000003E-3</v>
      </c>
      <c r="S19" s="230">
        <f>R19*PARÂMETROS!$E$8</f>
        <v>0.12047100000000001</v>
      </c>
      <c r="T19" s="231">
        <v>1.62</v>
      </c>
      <c r="U19" s="230">
        <f>T19*PARÂMETROS!$E$27</f>
        <v>4.8600000000000003</v>
      </c>
      <c r="V19" s="299">
        <v>4.2</v>
      </c>
      <c r="W19" s="230">
        <f>V19*PARÂMETROS!$E$29</f>
        <v>753.22800000000007</v>
      </c>
      <c r="X19" s="299">
        <v>0.84</v>
      </c>
      <c r="Y19" s="230">
        <f>X19*PARÂMETROS!$E$31</f>
        <v>12.725999999999999</v>
      </c>
      <c r="Z19" s="228">
        <f t="shared" si="4"/>
        <v>3.9E-2</v>
      </c>
      <c r="AA19" s="230">
        <f>Z19*PARÂMETROS!$E$8</f>
        <v>1.2047099999999999</v>
      </c>
      <c r="AB19" s="228">
        <f t="shared" si="5"/>
        <v>3.0100000000000001E-3</v>
      </c>
      <c r="AC19" s="230">
        <f>AB19*PARÂMETROS!$E$8</f>
        <v>9.2978900000000003E-2</v>
      </c>
      <c r="AD19" s="23"/>
      <c r="AE19" s="23"/>
      <c r="AF19" s="232" t="s">
        <v>1397</v>
      </c>
      <c r="AG19" s="264">
        <f t="shared" si="6"/>
        <v>1804.5898089</v>
      </c>
      <c r="AH19" s="23"/>
      <c r="AI19" s="224" t="s">
        <v>234</v>
      </c>
      <c r="AJ19" s="291">
        <f>PARÂMETROS!$H$3</f>
        <v>40</v>
      </c>
      <c r="AK19" s="267">
        <v>2.1527777777777798E-2</v>
      </c>
      <c r="AL19" s="267">
        <v>4.1666666666666699E-2</v>
      </c>
      <c r="AM19" s="267">
        <v>8.3333333333333301E-2</v>
      </c>
      <c r="AN19" s="267">
        <v>6.9444444444444397E-3</v>
      </c>
      <c r="AO19" s="267">
        <v>2.0833333333333301E-2</v>
      </c>
      <c r="AP19" s="267">
        <v>6.9444444444444397E-3</v>
      </c>
      <c r="AQ19" s="267">
        <v>3.125E-2</v>
      </c>
      <c r="AR19" s="271">
        <v>1</v>
      </c>
      <c r="AS19" s="292">
        <f t="shared" si="7"/>
        <v>0.21249999999999997</v>
      </c>
      <c r="AT19" s="291">
        <f t="shared" si="8"/>
        <v>203.99999999999994</v>
      </c>
      <c r="AU19" s="272">
        <f t="shared" si="9"/>
        <v>203.99999999999994</v>
      </c>
      <c r="AV19" s="23"/>
      <c r="AW19" s="273">
        <f t="shared" si="10"/>
        <v>1804.5898089</v>
      </c>
      <c r="AX19" s="274">
        <f t="shared" si="11"/>
        <v>203.99999999999994</v>
      </c>
      <c r="AY19" s="275">
        <v>1</v>
      </c>
      <c r="AZ19" s="276">
        <f t="shared" si="12"/>
        <v>203.99999999999994</v>
      </c>
      <c r="BA19" s="293">
        <f t="shared" si="13"/>
        <v>2008.5898089</v>
      </c>
      <c r="BB19" s="180">
        <v>80</v>
      </c>
      <c r="BC19" s="180">
        <f t="shared" si="14"/>
        <v>2088.5898089000002</v>
      </c>
      <c r="BD19" s="275">
        <v>1</v>
      </c>
    </row>
    <row r="20" spans="1:56" ht="27" customHeight="1" x14ac:dyDescent="0.3">
      <c r="A20" s="224" t="s">
        <v>238</v>
      </c>
      <c r="B20" s="225" t="s">
        <v>1384</v>
      </c>
      <c r="C20" s="228">
        <v>34</v>
      </c>
      <c r="D20" s="263">
        <f>C20*D5</f>
        <v>666.06</v>
      </c>
      <c r="E20" s="228">
        <v>15.3</v>
      </c>
      <c r="F20" s="263">
        <f>E20*F5</f>
        <v>299.72700000000003</v>
      </c>
      <c r="G20" s="227">
        <f t="shared" si="0"/>
        <v>965.78700000000003</v>
      </c>
      <c r="H20" s="228">
        <v>4.5</v>
      </c>
      <c r="I20" s="227">
        <f>H20*PARÂMETROS!$E$22</f>
        <v>190.66499999999999</v>
      </c>
      <c r="J20" s="228">
        <v>0.35699999999999998</v>
      </c>
      <c r="K20" s="227">
        <f>J20*PARÂMETROS!$E$22</f>
        <v>15.126089999999998</v>
      </c>
      <c r="L20" s="228">
        <v>2E-3</v>
      </c>
      <c r="M20" s="230">
        <f>L20*PARÂMETROS!$E$8</f>
        <v>6.1780000000000002E-2</v>
      </c>
      <c r="N20" s="228">
        <f t="shared" si="1"/>
        <v>4.4999999999999998E-2</v>
      </c>
      <c r="O20" s="230">
        <f>N20*PARÂMETROS!$E$8</f>
        <v>1.39005</v>
      </c>
      <c r="P20" s="228">
        <f t="shared" si="2"/>
        <v>3.5700000000000003E-2</v>
      </c>
      <c r="Q20" s="230">
        <f>P20*PARÂMETROS!$E$8</f>
        <v>1.102773</v>
      </c>
      <c r="R20" s="228">
        <f t="shared" si="3"/>
        <v>4.4999999999999997E-3</v>
      </c>
      <c r="S20" s="230">
        <f>R20*PARÂMETROS!$E$8</f>
        <v>0.13900499999999999</v>
      </c>
      <c r="T20" s="231">
        <v>1.72</v>
      </c>
      <c r="U20" s="230">
        <f>T20*PARÂMETROS!$E$27</f>
        <v>5.16</v>
      </c>
      <c r="V20" s="299">
        <v>6.84</v>
      </c>
      <c r="W20" s="230">
        <f>V20*PARÂMETROS!$E$29</f>
        <v>1226.6856</v>
      </c>
      <c r="X20" s="299">
        <v>1.3680000000000001</v>
      </c>
      <c r="Y20" s="230">
        <f>X20*PARÂMETROS!$E$31</f>
        <v>20.725200000000001</v>
      </c>
      <c r="Z20" s="228">
        <f t="shared" si="4"/>
        <v>4.4999999999999998E-2</v>
      </c>
      <c r="AA20" s="230">
        <f>Z20*PARÂMETROS!$E$8</f>
        <v>1.39005</v>
      </c>
      <c r="AB20" s="228">
        <f t="shared" si="5"/>
        <v>3.5699999999999998E-3</v>
      </c>
      <c r="AC20" s="230">
        <f>AB20*PARÂMETROS!$E$8</f>
        <v>0.11027729999999999</v>
      </c>
      <c r="AF20" s="232" t="s">
        <v>1398</v>
      </c>
      <c r="AG20" s="264">
        <f t="shared" si="6"/>
        <v>2428.3428252999997</v>
      </c>
      <c r="AH20" s="23"/>
      <c r="AI20" s="224" t="s">
        <v>238</v>
      </c>
      <c r="AJ20" s="291">
        <f>PARÂMETROS!$H$3</f>
        <v>40</v>
      </c>
      <c r="AK20" s="267">
        <v>4.1666666666666699E-2</v>
      </c>
      <c r="AL20" s="267">
        <v>0.125</v>
      </c>
      <c r="AM20" s="267">
        <v>8.3333333333333301E-2</v>
      </c>
      <c r="AN20" s="267">
        <v>6.9444444444444397E-3</v>
      </c>
      <c r="AO20" s="267">
        <v>2.0833333333333301E-2</v>
      </c>
      <c r="AP20" s="267">
        <v>6.9444444444444397E-3</v>
      </c>
      <c r="AQ20" s="267">
        <v>3.125E-2</v>
      </c>
      <c r="AR20" s="271">
        <v>1</v>
      </c>
      <c r="AS20" s="292">
        <f t="shared" si="7"/>
        <v>0.31597222222222215</v>
      </c>
      <c r="AT20" s="291">
        <f t="shared" si="8"/>
        <v>303.33333333333326</v>
      </c>
      <c r="AU20" s="272">
        <f t="shared" si="9"/>
        <v>303.33333333333326</v>
      </c>
      <c r="AV20" s="23"/>
      <c r="AW20" s="273">
        <f t="shared" si="10"/>
        <v>2428.3428252999997</v>
      </c>
      <c r="AX20" s="274">
        <f t="shared" si="11"/>
        <v>303.33333333333326</v>
      </c>
      <c r="AY20" s="275">
        <v>1</v>
      </c>
      <c r="AZ20" s="276">
        <f t="shared" si="12"/>
        <v>303.33333333333326</v>
      </c>
      <c r="BA20" s="293">
        <f t="shared" si="13"/>
        <v>2731.6761586333332</v>
      </c>
      <c r="BB20" s="180">
        <v>80</v>
      </c>
      <c r="BC20" s="180">
        <f t="shared" si="14"/>
        <v>2811.6761586333332</v>
      </c>
      <c r="BD20" s="275">
        <v>1</v>
      </c>
    </row>
    <row r="21" spans="1:56" ht="27" customHeight="1" x14ac:dyDescent="0.3">
      <c r="A21" s="224" t="s">
        <v>242</v>
      </c>
      <c r="B21" s="225" t="s">
        <v>1384</v>
      </c>
      <c r="C21" s="228">
        <v>42</v>
      </c>
      <c r="D21" s="263">
        <f>C21*D5</f>
        <v>822.78</v>
      </c>
      <c r="E21" s="228">
        <v>18.899999999999999</v>
      </c>
      <c r="F21" s="263">
        <f>E21*F5</f>
        <v>370.25099999999998</v>
      </c>
      <c r="G21" s="227">
        <f t="shared" si="0"/>
        <v>1193.0309999999999</v>
      </c>
      <c r="H21" s="228">
        <v>5</v>
      </c>
      <c r="I21" s="227">
        <f>H21*PARÂMETROS!$E$22</f>
        <v>211.85</v>
      </c>
      <c r="J21" s="228">
        <v>0.41799999999999998</v>
      </c>
      <c r="K21" s="227">
        <f>J21*PARÂMETROS!$E$22</f>
        <v>17.710659999999997</v>
      </c>
      <c r="L21" s="228">
        <v>2E-3</v>
      </c>
      <c r="M21" s="230">
        <f>L21*PARÂMETROS!$E$8</f>
        <v>6.1780000000000002E-2</v>
      </c>
      <c r="N21" s="228">
        <f t="shared" si="1"/>
        <v>0.05</v>
      </c>
      <c r="O21" s="230">
        <f>N21*PARÂMETROS!$E$8</f>
        <v>1.5445000000000002</v>
      </c>
      <c r="P21" s="228">
        <f t="shared" si="2"/>
        <v>4.1800000000000004E-2</v>
      </c>
      <c r="Q21" s="230">
        <f>P21*PARÂMETROS!$E$8</f>
        <v>1.2912020000000002</v>
      </c>
      <c r="R21" s="228">
        <f t="shared" si="3"/>
        <v>5.000000000000001E-3</v>
      </c>
      <c r="S21" s="230">
        <f>R21*PARÂMETROS!$E$8</f>
        <v>0.15445000000000003</v>
      </c>
      <c r="T21" s="231">
        <v>1.82</v>
      </c>
      <c r="U21" s="230">
        <f>T21*PARÂMETROS!$E$27</f>
        <v>5.46</v>
      </c>
      <c r="V21" s="299">
        <v>6.88</v>
      </c>
      <c r="W21" s="230">
        <f>V21*PARÂMETROS!$E$29</f>
        <v>1233.8592000000001</v>
      </c>
      <c r="X21" s="299">
        <v>1.766</v>
      </c>
      <c r="Y21" s="230">
        <f>X21*PARÂMETROS!$E$31</f>
        <v>26.754899999999999</v>
      </c>
      <c r="Z21" s="228">
        <f t="shared" si="4"/>
        <v>0.05</v>
      </c>
      <c r="AA21" s="230">
        <f>Z21*PARÂMETROS!$E$8</f>
        <v>1.5445000000000002</v>
      </c>
      <c r="AB21" s="228">
        <f t="shared" si="5"/>
        <v>4.1799999999999997E-3</v>
      </c>
      <c r="AC21" s="230">
        <f>AB21*PARÂMETROS!$E$8</f>
        <v>0.12912019999999999</v>
      </c>
      <c r="AD21" s="23"/>
      <c r="AE21" s="23"/>
      <c r="AF21" s="232" t="s">
        <v>1399</v>
      </c>
      <c r="AG21" s="264">
        <f t="shared" si="6"/>
        <v>2693.3913122000004</v>
      </c>
      <c r="AH21" s="23"/>
      <c r="AI21" s="224" t="s">
        <v>242</v>
      </c>
      <c r="AJ21" s="291">
        <f>PARÂMETROS!$H$3</f>
        <v>40</v>
      </c>
      <c r="AK21" s="267">
        <v>4.1666666666666699E-2</v>
      </c>
      <c r="AL21" s="267">
        <v>0.125</v>
      </c>
      <c r="AM21" s="267">
        <v>8.3333333333333301E-2</v>
      </c>
      <c r="AN21" s="267">
        <v>6.9444444444444397E-3</v>
      </c>
      <c r="AO21" s="267">
        <v>2.0833333333333301E-2</v>
      </c>
      <c r="AP21" s="267">
        <v>6.9444444444444397E-3</v>
      </c>
      <c r="AQ21" s="267">
        <v>3.125E-2</v>
      </c>
      <c r="AR21" s="271">
        <v>1</v>
      </c>
      <c r="AS21" s="292">
        <f t="shared" si="7"/>
        <v>0.31597222222222215</v>
      </c>
      <c r="AT21" s="291">
        <f t="shared" si="8"/>
        <v>303.33333333333326</v>
      </c>
      <c r="AU21" s="272">
        <f t="shared" si="9"/>
        <v>303.33333333333326</v>
      </c>
      <c r="AV21" s="23"/>
      <c r="AW21" s="273">
        <f t="shared" si="10"/>
        <v>2693.3913122000004</v>
      </c>
      <c r="AX21" s="274">
        <f t="shared" si="11"/>
        <v>303.33333333333326</v>
      </c>
      <c r="AY21" s="275">
        <v>1</v>
      </c>
      <c r="AZ21" s="276">
        <f t="shared" si="12"/>
        <v>303.33333333333326</v>
      </c>
      <c r="BA21" s="293">
        <f t="shared" si="13"/>
        <v>2996.7246455333334</v>
      </c>
      <c r="BB21" s="180">
        <v>80</v>
      </c>
      <c r="BC21" s="180">
        <f t="shared" si="14"/>
        <v>3076.7246455333334</v>
      </c>
      <c r="BD21" s="275">
        <v>1</v>
      </c>
    </row>
    <row r="22" spans="1:56" ht="27" customHeight="1" x14ac:dyDescent="0.3">
      <c r="A22" s="224" t="s">
        <v>246</v>
      </c>
      <c r="B22" s="225" t="s">
        <v>1384</v>
      </c>
      <c r="C22" s="228">
        <v>49</v>
      </c>
      <c r="D22" s="263">
        <f>C22*D5</f>
        <v>959.91</v>
      </c>
      <c r="E22" s="228">
        <v>22.05</v>
      </c>
      <c r="F22" s="263">
        <f>E22*F5</f>
        <v>431.95949999999999</v>
      </c>
      <c r="G22" s="227">
        <f t="shared" si="0"/>
        <v>1391.8695</v>
      </c>
      <c r="H22" s="228">
        <v>5.4</v>
      </c>
      <c r="I22" s="227">
        <f>H22*PARÂMETROS!$E$22</f>
        <v>228.798</v>
      </c>
      <c r="J22" s="228">
        <v>0.498</v>
      </c>
      <c r="K22" s="227">
        <f>J22*PARÂMETROS!$E$22</f>
        <v>21.100259999999999</v>
      </c>
      <c r="L22" s="228">
        <v>2E-3</v>
      </c>
      <c r="M22" s="230">
        <f>L22*PARÂMETROS!$E$8</f>
        <v>6.1780000000000002E-2</v>
      </c>
      <c r="N22" s="228">
        <f t="shared" si="1"/>
        <v>5.4000000000000006E-2</v>
      </c>
      <c r="O22" s="230">
        <f>N22*PARÂMETROS!$E$8</f>
        <v>1.6680600000000003</v>
      </c>
      <c r="P22" s="228">
        <f t="shared" si="2"/>
        <v>4.9800000000000004E-2</v>
      </c>
      <c r="Q22" s="230">
        <f>P22*PARÂMETROS!$E$8</f>
        <v>1.5383220000000002</v>
      </c>
      <c r="R22" s="228">
        <f t="shared" si="3"/>
        <v>5.4000000000000012E-3</v>
      </c>
      <c r="S22" s="230">
        <f>R22*PARÂMETROS!$E$8</f>
        <v>0.16680600000000004</v>
      </c>
      <c r="T22" s="231">
        <v>1.92</v>
      </c>
      <c r="U22" s="230">
        <f>T22*PARÂMETROS!$E$27</f>
        <v>5.76</v>
      </c>
      <c r="V22" s="299">
        <v>6.76</v>
      </c>
      <c r="W22" s="230">
        <f>V22*PARÂMETROS!$E$29</f>
        <v>1212.3384000000001</v>
      </c>
      <c r="X22" s="299">
        <v>1.3560000000000001</v>
      </c>
      <c r="Y22" s="230">
        <f>X22*PARÂMETROS!$E$31</f>
        <v>20.543400000000002</v>
      </c>
      <c r="Z22" s="228">
        <f t="shared" si="4"/>
        <v>5.4000000000000006E-2</v>
      </c>
      <c r="AA22" s="230">
        <f>Z22*PARÂMETROS!$E$8</f>
        <v>1.6680600000000003</v>
      </c>
      <c r="AB22" s="228">
        <f t="shared" si="5"/>
        <v>4.9800000000000001E-3</v>
      </c>
      <c r="AC22" s="230">
        <f>AB22*PARÂMETROS!$E$8</f>
        <v>0.1538322</v>
      </c>
      <c r="AF22" s="232" t="s">
        <v>1400</v>
      </c>
      <c r="AG22" s="264">
        <f t="shared" si="6"/>
        <v>2885.6664202000002</v>
      </c>
      <c r="AH22" s="23"/>
      <c r="AI22" s="224" t="s">
        <v>246</v>
      </c>
      <c r="AJ22" s="291">
        <f>PARÂMETROS!$H$3</f>
        <v>40</v>
      </c>
      <c r="AK22" s="267">
        <v>4.1666666666666699E-2</v>
      </c>
      <c r="AL22" s="267">
        <v>0.125</v>
      </c>
      <c r="AM22" s="267">
        <v>8.3333333333333301E-2</v>
      </c>
      <c r="AN22" s="267">
        <v>6.9444444444444397E-3</v>
      </c>
      <c r="AO22" s="267">
        <v>2.0833333333333301E-2</v>
      </c>
      <c r="AP22" s="267">
        <v>6.9444444444444397E-3</v>
      </c>
      <c r="AQ22" s="267">
        <v>3.125E-2</v>
      </c>
      <c r="AR22" s="271">
        <v>1</v>
      </c>
      <c r="AS22" s="292">
        <f t="shared" si="7"/>
        <v>0.31597222222222215</v>
      </c>
      <c r="AT22" s="291">
        <f t="shared" si="8"/>
        <v>303.33333333333326</v>
      </c>
      <c r="AU22" s="272">
        <f t="shared" si="9"/>
        <v>303.33333333333326</v>
      </c>
      <c r="AV22" s="23"/>
      <c r="AW22" s="273">
        <f t="shared" si="10"/>
        <v>2885.6664202000002</v>
      </c>
      <c r="AX22" s="274">
        <f t="shared" si="11"/>
        <v>303.33333333333326</v>
      </c>
      <c r="AY22" s="275">
        <v>1</v>
      </c>
      <c r="AZ22" s="276">
        <f t="shared" si="12"/>
        <v>303.33333333333326</v>
      </c>
      <c r="BA22" s="293">
        <f t="shared" si="13"/>
        <v>3188.9997535333332</v>
      </c>
      <c r="BB22" s="180">
        <v>80</v>
      </c>
      <c r="BC22" s="180">
        <f t="shared" si="14"/>
        <v>3268.9997535333332</v>
      </c>
      <c r="BD22" s="275">
        <v>1</v>
      </c>
    </row>
    <row r="23" spans="1:56" ht="27" customHeight="1" x14ac:dyDescent="0.3">
      <c r="A23" s="224" t="s">
        <v>250</v>
      </c>
      <c r="B23" s="225" t="s">
        <v>1384</v>
      </c>
      <c r="C23" s="228">
        <v>74</v>
      </c>
      <c r="D23" s="263">
        <f>C23*D5</f>
        <v>1449.66</v>
      </c>
      <c r="E23" s="228">
        <v>33.299999999999997</v>
      </c>
      <c r="F23" s="263">
        <f>E23*F5</f>
        <v>652.34699999999998</v>
      </c>
      <c r="G23" s="227">
        <f t="shared" si="0"/>
        <v>2102.0070000000001</v>
      </c>
      <c r="H23" s="228">
        <v>6</v>
      </c>
      <c r="I23" s="227">
        <f>H23*PARÂMETROS!$E$22</f>
        <v>254.21999999999997</v>
      </c>
      <c r="J23" s="228">
        <v>0.54</v>
      </c>
      <c r="K23" s="227">
        <f>J23*PARÂMETROS!$E$22</f>
        <v>22.879799999999999</v>
      </c>
      <c r="L23" s="228">
        <v>2E-3</v>
      </c>
      <c r="M23" s="230">
        <f>L23*PARÂMETROS!$E$8</f>
        <v>6.1780000000000002E-2</v>
      </c>
      <c r="N23" s="228">
        <f t="shared" si="1"/>
        <v>0.06</v>
      </c>
      <c r="O23" s="230">
        <f>N23*PARÂMETROS!$E$8</f>
        <v>1.8533999999999999</v>
      </c>
      <c r="P23" s="228">
        <f t="shared" si="2"/>
        <v>5.4000000000000006E-2</v>
      </c>
      <c r="Q23" s="230">
        <f>P23*PARÂMETROS!$E$8</f>
        <v>1.6680600000000003</v>
      </c>
      <c r="R23" s="228">
        <f t="shared" si="3"/>
        <v>6.0000000000000001E-3</v>
      </c>
      <c r="S23" s="230">
        <f>R23*PARÂMETROS!$E$8</f>
        <v>0.18534</v>
      </c>
      <c r="T23" s="231">
        <v>2</v>
      </c>
      <c r="U23" s="230">
        <f>T23*PARÂMETROS!$E$27</f>
        <v>6</v>
      </c>
      <c r="V23" s="299">
        <v>7.84</v>
      </c>
      <c r="W23" s="230">
        <f>V23*PARÂMETROS!$E$29</f>
        <v>1406.0255999999999</v>
      </c>
      <c r="X23" s="299">
        <v>1.5680000000000001</v>
      </c>
      <c r="Y23" s="230">
        <f>X23*PARÂMETROS!$E$31</f>
        <v>23.755200000000002</v>
      </c>
      <c r="Z23" s="228">
        <f t="shared" si="4"/>
        <v>0.06</v>
      </c>
      <c r="AA23" s="230">
        <f>Z23*PARÂMETROS!$E$8</f>
        <v>1.8533999999999999</v>
      </c>
      <c r="AB23" s="228">
        <f t="shared" si="5"/>
        <v>5.4000000000000003E-3</v>
      </c>
      <c r="AC23" s="230">
        <f>AB23*PARÂMETROS!$E$8</f>
        <v>0.16680600000000001</v>
      </c>
      <c r="AD23" s="23"/>
      <c r="AE23" s="23"/>
      <c r="AF23" s="232" t="s">
        <v>1401</v>
      </c>
      <c r="AG23" s="264">
        <f t="shared" si="6"/>
        <v>3820.6763860000001</v>
      </c>
      <c r="AH23" s="23"/>
      <c r="AI23" s="224" t="s">
        <v>250</v>
      </c>
      <c r="AJ23" s="291">
        <f>PARÂMETROS!$H$3</f>
        <v>40</v>
      </c>
      <c r="AK23" s="267">
        <v>4.1666666666666699E-2</v>
      </c>
      <c r="AL23" s="267">
        <v>0.125</v>
      </c>
      <c r="AM23" s="267">
        <v>8.3333333333333301E-2</v>
      </c>
      <c r="AN23" s="267">
        <v>6.9444444444444397E-3</v>
      </c>
      <c r="AO23" s="267">
        <v>2.0833333333333301E-2</v>
      </c>
      <c r="AP23" s="267">
        <v>6.9444444444444397E-3</v>
      </c>
      <c r="AQ23" s="267">
        <v>3.125E-2</v>
      </c>
      <c r="AR23" s="271">
        <v>1</v>
      </c>
      <c r="AS23" s="292">
        <f t="shared" si="7"/>
        <v>0.31597222222222215</v>
      </c>
      <c r="AT23" s="291">
        <f t="shared" si="8"/>
        <v>303.33333333333326</v>
      </c>
      <c r="AU23" s="272">
        <f t="shared" si="9"/>
        <v>303.33333333333326</v>
      </c>
      <c r="AV23" s="23"/>
      <c r="AW23" s="273">
        <f t="shared" si="10"/>
        <v>3820.6763860000001</v>
      </c>
      <c r="AX23" s="274">
        <f t="shared" si="11"/>
        <v>303.33333333333326</v>
      </c>
      <c r="AY23" s="275">
        <v>1</v>
      </c>
      <c r="AZ23" s="276">
        <f t="shared" si="12"/>
        <v>303.33333333333326</v>
      </c>
      <c r="BA23" s="293">
        <f t="shared" si="13"/>
        <v>4124.0097193333331</v>
      </c>
      <c r="BB23" s="180">
        <v>80</v>
      </c>
      <c r="BC23" s="180">
        <f t="shared" si="14"/>
        <v>4204.0097193333331</v>
      </c>
      <c r="BD23" s="275">
        <v>1</v>
      </c>
    </row>
    <row r="24" spans="1:56" ht="27" customHeight="1" x14ac:dyDescent="0.3">
      <c r="A24" s="224" t="s">
        <v>254</v>
      </c>
      <c r="B24" s="225" t="s">
        <v>1384</v>
      </c>
      <c r="C24" s="228">
        <v>84</v>
      </c>
      <c r="D24" s="263">
        <f>C24*D5</f>
        <v>1645.56</v>
      </c>
      <c r="E24" s="228">
        <v>37.799999999999997</v>
      </c>
      <c r="F24" s="263">
        <f>E24*F5</f>
        <v>740.50199999999995</v>
      </c>
      <c r="G24" s="227">
        <f t="shared" si="0"/>
        <v>2386.0619999999999</v>
      </c>
      <c r="H24" s="228">
        <v>6.4</v>
      </c>
      <c r="I24" s="227">
        <f>H24*PARÂMETROS!$E$22</f>
        <v>271.16800000000001</v>
      </c>
      <c r="J24" s="228">
        <v>0.61499999999999999</v>
      </c>
      <c r="K24" s="227">
        <f>J24*PARÂMETROS!$E$22</f>
        <v>26.057549999999999</v>
      </c>
      <c r="L24" s="228">
        <v>2E-3</v>
      </c>
      <c r="M24" s="230">
        <f>L24*PARÂMETROS!$E$8</f>
        <v>6.1780000000000002E-2</v>
      </c>
      <c r="N24" s="228">
        <f t="shared" si="1"/>
        <v>6.4000000000000001E-2</v>
      </c>
      <c r="O24" s="230">
        <f>N24*PARÂMETROS!$E$8</f>
        <v>1.9769600000000001</v>
      </c>
      <c r="P24" s="228">
        <f t="shared" si="2"/>
        <v>6.1499999999999999E-2</v>
      </c>
      <c r="Q24" s="230">
        <f>P24*PARÂMETROS!$E$8</f>
        <v>1.899735</v>
      </c>
      <c r="R24" s="228">
        <f t="shared" si="3"/>
        <v>6.4000000000000003E-3</v>
      </c>
      <c r="S24" s="230">
        <f>R24*PARÂMETROS!$E$8</f>
        <v>0.19769600000000001</v>
      </c>
      <c r="T24" s="231">
        <v>2.1</v>
      </c>
      <c r="U24" s="230">
        <f>T24*PARÂMETROS!$E$27</f>
        <v>6.3000000000000007</v>
      </c>
      <c r="V24" s="299">
        <v>9.48</v>
      </c>
      <c r="W24" s="230">
        <f>V24*PARÂMETROS!$E$29</f>
        <v>1700.1432000000002</v>
      </c>
      <c r="X24" s="299">
        <v>1.9279999999999999</v>
      </c>
      <c r="Y24" s="230">
        <f>X24*PARÂMETROS!$E$31</f>
        <v>29.209199999999999</v>
      </c>
      <c r="Z24" s="228">
        <f t="shared" si="4"/>
        <v>6.4000000000000001E-2</v>
      </c>
      <c r="AA24" s="230">
        <f>Z24*PARÂMETROS!$E$8</f>
        <v>1.9769600000000001</v>
      </c>
      <c r="AB24" s="228">
        <f t="shared" si="5"/>
        <v>6.1500000000000001E-3</v>
      </c>
      <c r="AC24" s="230">
        <f>AB24*PARÂMETROS!$E$8</f>
        <v>0.18997350000000002</v>
      </c>
      <c r="AF24" s="232" t="s">
        <v>1402</v>
      </c>
      <c r="AG24" s="264">
        <f t="shared" si="6"/>
        <v>4425.2430544999997</v>
      </c>
      <c r="AH24" s="23"/>
      <c r="AI24" s="224" t="s">
        <v>254</v>
      </c>
      <c r="AJ24" s="291">
        <f>PARÂMETROS!$H$3</f>
        <v>40</v>
      </c>
      <c r="AK24" s="267">
        <v>4.1666666666666699E-2</v>
      </c>
      <c r="AL24" s="267">
        <v>0.125</v>
      </c>
      <c r="AM24" s="267">
        <v>8.3333333333333301E-2</v>
      </c>
      <c r="AN24" s="267">
        <v>6.9444444444444397E-3</v>
      </c>
      <c r="AO24" s="267">
        <v>2.0833333333333301E-2</v>
      </c>
      <c r="AP24" s="267">
        <v>6.9444444444444397E-3</v>
      </c>
      <c r="AQ24" s="267">
        <v>3.125E-2</v>
      </c>
      <c r="AR24" s="271">
        <v>1</v>
      </c>
      <c r="AS24" s="292">
        <f t="shared" si="7"/>
        <v>0.31597222222222215</v>
      </c>
      <c r="AT24" s="291">
        <f t="shared" si="8"/>
        <v>303.33333333333326</v>
      </c>
      <c r="AU24" s="272">
        <f t="shared" si="9"/>
        <v>303.33333333333326</v>
      </c>
      <c r="AV24" s="23"/>
      <c r="AW24" s="273">
        <f t="shared" si="10"/>
        <v>4425.2430544999997</v>
      </c>
      <c r="AX24" s="274">
        <f t="shared" si="11"/>
        <v>303.33333333333326</v>
      </c>
      <c r="AY24" s="275">
        <v>1</v>
      </c>
      <c r="AZ24" s="276">
        <f t="shared" si="12"/>
        <v>303.33333333333326</v>
      </c>
      <c r="BA24" s="293">
        <f t="shared" si="13"/>
        <v>4728.5763878333328</v>
      </c>
      <c r="BB24" s="180">
        <v>80</v>
      </c>
      <c r="BC24" s="180">
        <f t="shared" si="14"/>
        <v>4808.5763878333328</v>
      </c>
      <c r="BD24" s="275">
        <v>1</v>
      </c>
    </row>
    <row r="25" spans="1:56" ht="27" customHeight="1" x14ac:dyDescent="0.3">
      <c r="A25" s="224" t="s">
        <v>258</v>
      </c>
      <c r="B25" s="225" t="s">
        <v>1384</v>
      </c>
      <c r="C25" s="228">
        <v>95</v>
      </c>
      <c r="D25" s="263">
        <f>C25*D5</f>
        <v>1861.05</v>
      </c>
      <c r="E25" s="228">
        <v>42.75</v>
      </c>
      <c r="F25" s="263">
        <f>E25*F5</f>
        <v>837.47249999999997</v>
      </c>
      <c r="G25" s="227">
        <f t="shared" si="0"/>
        <v>2698.5225</v>
      </c>
      <c r="H25" s="228">
        <v>7.7</v>
      </c>
      <c r="I25" s="227">
        <f>H25*PARÂMETROS!$E$22</f>
        <v>326.24899999999997</v>
      </c>
      <c r="J25" s="228">
        <v>0.71</v>
      </c>
      <c r="K25" s="227">
        <f>J25*PARÂMETROS!$E$22</f>
        <v>30.082699999999996</v>
      </c>
      <c r="L25" s="228">
        <v>2E-3</v>
      </c>
      <c r="M25" s="230">
        <f>L25*PARÂMETROS!$E$8</f>
        <v>6.1780000000000002E-2</v>
      </c>
      <c r="N25" s="228">
        <f t="shared" si="1"/>
        <v>7.6999999999999999E-2</v>
      </c>
      <c r="O25" s="230">
        <f>N25*PARÂMETROS!$E$8</f>
        <v>2.37853</v>
      </c>
      <c r="P25" s="228">
        <f t="shared" si="2"/>
        <v>7.0999999999999994E-2</v>
      </c>
      <c r="Q25" s="230">
        <f>P25*PARÂMETROS!$E$8</f>
        <v>2.19319</v>
      </c>
      <c r="R25" s="228">
        <f t="shared" si="3"/>
        <v>7.7000000000000002E-3</v>
      </c>
      <c r="S25" s="230">
        <f>R25*PARÂMETROS!$E$8</f>
        <v>0.23785300000000001</v>
      </c>
      <c r="T25" s="231">
        <v>2.2000000000000002</v>
      </c>
      <c r="U25" s="230">
        <f>T25*PARÂMETROS!$E$27</f>
        <v>6.6000000000000005</v>
      </c>
      <c r="V25" s="299">
        <v>9.64</v>
      </c>
      <c r="W25" s="230">
        <f>V25*PARÂMETROS!$E$29</f>
        <v>1728.8376000000001</v>
      </c>
      <c r="X25" s="299">
        <v>1.88</v>
      </c>
      <c r="Y25" s="230">
        <f>X25*PARÂMETROS!$E$31</f>
        <v>28.481999999999999</v>
      </c>
      <c r="Z25" s="228">
        <f t="shared" si="4"/>
        <v>7.6999999999999999E-2</v>
      </c>
      <c r="AA25" s="230">
        <f>Z25*PARÂMETROS!$E$8</f>
        <v>2.37853</v>
      </c>
      <c r="AB25" s="228">
        <f t="shared" si="5"/>
        <v>7.0999999999999995E-3</v>
      </c>
      <c r="AC25" s="230">
        <f>AB25*PARÂMETROS!$E$8</f>
        <v>0.21931899999999999</v>
      </c>
      <c r="AD25" s="23"/>
      <c r="AE25" s="23"/>
      <c r="AF25" s="232" t="s">
        <v>1403</v>
      </c>
      <c r="AG25" s="264">
        <f t="shared" si="6"/>
        <v>4826.2430020000002</v>
      </c>
      <c r="AH25" s="23"/>
      <c r="AI25" s="224" t="s">
        <v>258</v>
      </c>
      <c r="AJ25" s="291">
        <f>PARÂMETROS!$H$3</f>
        <v>40</v>
      </c>
      <c r="AK25" s="267">
        <v>4.1666666666666699E-2</v>
      </c>
      <c r="AL25" s="267">
        <v>0.13888888888888901</v>
      </c>
      <c r="AM25" s="267">
        <v>0.11111111111111099</v>
      </c>
      <c r="AN25" s="267">
        <v>6.9444444444444397E-3</v>
      </c>
      <c r="AO25" s="267">
        <v>2.0833333333333301E-2</v>
      </c>
      <c r="AP25" s="267">
        <v>6.9444444444444397E-3</v>
      </c>
      <c r="AQ25" s="267">
        <v>3.125E-2</v>
      </c>
      <c r="AR25" s="271">
        <v>1</v>
      </c>
      <c r="AS25" s="292">
        <f t="shared" si="7"/>
        <v>0.3576388888888889</v>
      </c>
      <c r="AT25" s="291">
        <f t="shared" si="8"/>
        <v>343.33333333333331</v>
      </c>
      <c r="AU25" s="272">
        <f t="shared" si="9"/>
        <v>343.33333333333331</v>
      </c>
      <c r="AV25" s="23"/>
      <c r="AW25" s="273">
        <f t="shared" si="10"/>
        <v>4826.2430020000002</v>
      </c>
      <c r="AX25" s="274">
        <f t="shared" si="11"/>
        <v>343.33333333333331</v>
      </c>
      <c r="AY25" s="275">
        <v>1</v>
      </c>
      <c r="AZ25" s="276">
        <f t="shared" si="12"/>
        <v>343.33333333333331</v>
      </c>
      <c r="BA25" s="293">
        <f t="shared" si="13"/>
        <v>5169.5763353333332</v>
      </c>
      <c r="BB25" s="180">
        <v>80</v>
      </c>
      <c r="BC25" s="180">
        <f t="shared" si="14"/>
        <v>5249.5763353333332</v>
      </c>
      <c r="BD25" s="275">
        <v>1</v>
      </c>
    </row>
    <row r="26" spans="1:56" ht="27" customHeight="1" x14ac:dyDescent="0.3">
      <c r="A26" s="224" t="s">
        <v>262</v>
      </c>
      <c r="B26" s="225" t="s">
        <v>1384</v>
      </c>
      <c r="C26" s="228">
        <v>120</v>
      </c>
      <c r="D26" s="263">
        <f>C26*D5</f>
        <v>2350.8000000000002</v>
      </c>
      <c r="E26" s="228">
        <v>45</v>
      </c>
      <c r="F26" s="263">
        <f>E26*F5</f>
        <v>881.55</v>
      </c>
      <c r="G26" s="227">
        <f t="shared" si="0"/>
        <v>3232.3500000000004</v>
      </c>
      <c r="H26" s="228">
        <v>8.4</v>
      </c>
      <c r="I26" s="227">
        <f>H26*PARÂMETROS!$E$22</f>
        <v>355.90800000000002</v>
      </c>
      <c r="J26" s="228">
        <v>0.79500000000000004</v>
      </c>
      <c r="K26" s="227">
        <f>J26*PARÂMETROS!$E$22</f>
        <v>33.684150000000002</v>
      </c>
      <c r="L26" s="228">
        <v>2E-3</v>
      </c>
      <c r="M26" s="230">
        <f>L26*PARÂMETROS!$E$8</f>
        <v>6.1780000000000002E-2</v>
      </c>
      <c r="N26" s="228">
        <f t="shared" si="1"/>
        <v>8.4000000000000005E-2</v>
      </c>
      <c r="O26" s="230">
        <f>N26*PARÂMETROS!$E$8</f>
        <v>2.5947600000000004</v>
      </c>
      <c r="P26" s="228">
        <f t="shared" si="2"/>
        <v>7.9500000000000015E-2</v>
      </c>
      <c r="Q26" s="230">
        <f>P26*PARÂMETROS!$E$8</f>
        <v>2.4557550000000004</v>
      </c>
      <c r="R26" s="228">
        <f t="shared" si="3"/>
        <v>8.4000000000000012E-3</v>
      </c>
      <c r="S26" s="230">
        <f>R26*PARÂMETROS!$E$8</f>
        <v>0.25947600000000004</v>
      </c>
      <c r="T26" s="231">
        <v>2.2999999999999998</v>
      </c>
      <c r="U26" s="230">
        <f>T26*PARÂMETROS!$E$27</f>
        <v>6.8999999999999995</v>
      </c>
      <c r="V26" s="299">
        <v>9.4</v>
      </c>
      <c r="W26" s="230">
        <f>V26*PARÂMETROS!$E$29</f>
        <v>1685.796</v>
      </c>
      <c r="X26" s="299">
        <v>1.8560000000000001</v>
      </c>
      <c r="Y26" s="230">
        <f>X26*PARÂMETROS!$E$31</f>
        <v>28.118400000000001</v>
      </c>
      <c r="Z26" s="228">
        <f t="shared" si="4"/>
        <v>8.4000000000000005E-2</v>
      </c>
      <c r="AA26" s="230">
        <f>Z26*PARÂMETROS!$E$8</f>
        <v>2.5947600000000004</v>
      </c>
      <c r="AB26" s="228">
        <f t="shared" si="5"/>
        <v>7.9500000000000005E-3</v>
      </c>
      <c r="AC26" s="230">
        <f>AB26*PARÂMETROS!$E$8</f>
        <v>0.24557550000000003</v>
      </c>
      <c r="AF26" s="232" t="s">
        <v>1404</v>
      </c>
      <c r="AG26" s="264">
        <f t="shared" si="6"/>
        <v>5350.9686565000011</v>
      </c>
      <c r="AH26" s="23"/>
      <c r="AI26" s="224" t="s">
        <v>262</v>
      </c>
      <c r="AJ26" s="291">
        <f>PARÂMETROS!$H$3</f>
        <v>40</v>
      </c>
      <c r="AK26" s="267">
        <v>4.1666666666666699E-2</v>
      </c>
      <c r="AL26" s="267">
        <v>0.13888888888888901</v>
      </c>
      <c r="AM26" s="267">
        <v>0.11111111111111099</v>
      </c>
      <c r="AN26" s="267">
        <v>6.9444444444444397E-3</v>
      </c>
      <c r="AO26" s="267">
        <v>2.0833333333333301E-2</v>
      </c>
      <c r="AP26" s="267">
        <v>6.9444444444444397E-3</v>
      </c>
      <c r="AQ26" s="267">
        <v>3.125E-2</v>
      </c>
      <c r="AR26" s="271">
        <v>1</v>
      </c>
      <c r="AS26" s="292">
        <f t="shared" si="7"/>
        <v>0.3576388888888889</v>
      </c>
      <c r="AT26" s="291">
        <f t="shared" si="8"/>
        <v>343.33333333333331</v>
      </c>
      <c r="AU26" s="272">
        <f t="shared" si="9"/>
        <v>343.33333333333331</v>
      </c>
      <c r="AV26" s="23"/>
      <c r="AW26" s="273">
        <f t="shared" si="10"/>
        <v>5350.9686565000011</v>
      </c>
      <c r="AX26" s="274">
        <f t="shared" si="11"/>
        <v>343.33333333333331</v>
      </c>
      <c r="AY26" s="275">
        <v>1</v>
      </c>
      <c r="AZ26" s="276">
        <f t="shared" si="12"/>
        <v>343.33333333333331</v>
      </c>
      <c r="BA26" s="293">
        <f t="shared" si="13"/>
        <v>5694.3019898333341</v>
      </c>
      <c r="BB26" s="180">
        <v>80</v>
      </c>
      <c r="BC26" s="180">
        <f t="shared" si="14"/>
        <v>5774.3019898333341</v>
      </c>
      <c r="BD26" s="275">
        <v>1</v>
      </c>
    </row>
    <row r="27" spans="1:56" ht="27" customHeight="1" x14ac:dyDescent="0.3">
      <c r="A27" s="224" t="s">
        <v>266</v>
      </c>
      <c r="B27" s="225" t="s">
        <v>1384</v>
      </c>
      <c r="C27" s="228">
        <v>140</v>
      </c>
      <c r="D27" s="263">
        <f>C27*D5</f>
        <v>2742.6</v>
      </c>
      <c r="E27" s="228">
        <v>63</v>
      </c>
      <c r="F27" s="263">
        <f>E27*F5</f>
        <v>1234.17</v>
      </c>
      <c r="G27" s="227">
        <f t="shared" si="0"/>
        <v>3976.77</v>
      </c>
      <c r="H27" s="228">
        <v>9</v>
      </c>
      <c r="I27" s="227">
        <f>H27*PARÂMETROS!$E$22</f>
        <v>381.33</v>
      </c>
      <c r="J27" s="228">
        <v>0.88500000000000001</v>
      </c>
      <c r="K27" s="227">
        <f>J27*PARÂMETROS!$E$22</f>
        <v>37.497450000000001</v>
      </c>
      <c r="L27" s="228">
        <v>2E-3</v>
      </c>
      <c r="M27" s="230">
        <f>L27*PARÂMETROS!$E$8</f>
        <v>6.1780000000000002E-2</v>
      </c>
      <c r="N27" s="228">
        <f t="shared" si="1"/>
        <v>0.09</v>
      </c>
      <c r="O27" s="230">
        <f>N27*PARÂMETROS!$E$8</f>
        <v>2.7801</v>
      </c>
      <c r="P27" s="228">
        <f t="shared" si="2"/>
        <v>8.8500000000000009E-2</v>
      </c>
      <c r="Q27" s="230">
        <f>P27*PARÂMETROS!$E$8</f>
        <v>2.7337650000000004</v>
      </c>
      <c r="R27" s="228">
        <f t="shared" si="3"/>
        <v>8.9999999999999993E-3</v>
      </c>
      <c r="S27" s="230">
        <f>R27*PARÂMETROS!$E$8</f>
        <v>0.27800999999999998</v>
      </c>
      <c r="T27" s="231">
        <v>2.4</v>
      </c>
      <c r="U27" s="230">
        <f>T27*PARÂMETROS!$E$27</f>
        <v>7.1999999999999993</v>
      </c>
      <c r="V27" s="299">
        <v>9.2799999999999994</v>
      </c>
      <c r="W27" s="230">
        <f>V27*PARÂMETROS!$E$29</f>
        <v>1664.2751999999998</v>
      </c>
      <c r="X27" s="299">
        <v>2.008</v>
      </c>
      <c r="Y27" s="230">
        <f>X27*PARÂMETROS!$E$31</f>
        <v>30.421200000000002</v>
      </c>
      <c r="Z27" s="228">
        <f t="shared" si="4"/>
        <v>0.09</v>
      </c>
      <c r="AA27" s="230">
        <f>Z27*PARÂMETROS!$E$8</f>
        <v>2.7801</v>
      </c>
      <c r="AB27" s="228">
        <f t="shared" si="5"/>
        <v>8.8500000000000002E-3</v>
      </c>
      <c r="AC27" s="230">
        <f>AB27*PARÂMETROS!$E$8</f>
        <v>0.27337650000000002</v>
      </c>
      <c r="AD27" s="23"/>
      <c r="AE27" s="23"/>
      <c r="AF27" s="232" t="s">
        <v>1405</v>
      </c>
      <c r="AG27" s="264">
        <f t="shared" si="6"/>
        <v>6106.4009814999999</v>
      </c>
      <c r="AH27" s="23"/>
      <c r="AI27" s="224" t="s">
        <v>266</v>
      </c>
      <c r="AJ27" s="291">
        <f>PARÂMETROS!$H$3</f>
        <v>40</v>
      </c>
      <c r="AK27" s="267">
        <v>8.3333333333333301E-2</v>
      </c>
      <c r="AL27" s="267">
        <v>0.13888888888888901</v>
      </c>
      <c r="AM27" s="267">
        <v>0.11111111111111099</v>
      </c>
      <c r="AN27" s="267">
        <v>6.9444444444444397E-3</v>
      </c>
      <c r="AO27" s="267">
        <v>2.0833333333333301E-2</v>
      </c>
      <c r="AP27" s="267">
        <v>6.9444444444444397E-3</v>
      </c>
      <c r="AQ27" s="267">
        <v>3.125E-2</v>
      </c>
      <c r="AR27" s="271">
        <v>1</v>
      </c>
      <c r="AS27" s="292">
        <f t="shared" si="7"/>
        <v>0.39930555555555552</v>
      </c>
      <c r="AT27" s="291">
        <f t="shared" si="8"/>
        <v>383.33333333333331</v>
      </c>
      <c r="AU27" s="272">
        <f t="shared" si="9"/>
        <v>383.33333333333331</v>
      </c>
      <c r="AV27" s="23"/>
      <c r="AW27" s="273">
        <f t="shared" si="10"/>
        <v>6106.4009814999999</v>
      </c>
      <c r="AX27" s="274">
        <f t="shared" si="11"/>
        <v>383.33333333333331</v>
      </c>
      <c r="AY27" s="275">
        <v>1</v>
      </c>
      <c r="AZ27" s="276">
        <f t="shared" si="12"/>
        <v>383.33333333333331</v>
      </c>
      <c r="BA27" s="293">
        <f t="shared" si="13"/>
        <v>6489.734314833333</v>
      </c>
      <c r="BB27" s="180">
        <v>80</v>
      </c>
      <c r="BC27" s="180">
        <f t="shared" si="14"/>
        <v>6569.734314833333</v>
      </c>
      <c r="BD27" s="275">
        <v>1</v>
      </c>
    </row>
    <row r="28" spans="1:56" ht="27" customHeight="1" x14ac:dyDescent="0.3">
      <c r="A28" s="224" t="s">
        <v>270</v>
      </c>
      <c r="B28" s="225" t="s">
        <v>1384</v>
      </c>
      <c r="C28" s="228">
        <v>150</v>
      </c>
      <c r="D28" s="263">
        <f>C28*D5</f>
        <v>2938.5</v>
      </c>
      <c r="E28" s="228">
        <v>68</v>
      </c>
      <c r="F28" s="263">
        <f>E28*F5</f>
        <v>1332.12</v>
      </c>
      <c r="G28" s="227">
        <f t="shared" si="0"/>
        <v>4270.62</v>
      </c>
      <c r="H28" s="228">
        <v>9.6999999999999993</v>
      </c>
      <c r="I28" s="227">
        <f>H28*PARÂMETROS!$E$22</f>
        <v>410.98899999999992</v>
      </c>
      <c r="J28" s="228">
        <v>0.96</v>
      </c>
      <c r="K28" s="227">
        <f>J28*PARÂMETROS!$E$22</f>
        <v>40.675199999999997</v>
      </c>
      <c r="L28" s="228">
        <v>2E-3</v>
      </c>
      <c r="M28" s="230">
        <f>L28*PARÂMETROS!$E$8</f>
        <v>6.1780000000000002E-2</v>
      </c>
      <c r="N28" s="228">
        <f t="shared" si="1"/>
        <v>9.6999999999999989E-2</v>
      </c>
      <c r="O28" s="230">
        <f>N28*PARÂMETROS!$E$8</f>
        <v>2.9963299999999995</v>
      </c>
      <c r="P28" s="228">
        <f t="shared" si="2"/>
        <v>9.6000000000000002E-2</v>
      </c>
      <c r="Q28" s="230">
        <f>P28*PARÂMETROS!$E$8</f>
        <v>2.9654400000000001</v>
      </c>
      <c r="R28" s="228">
        <f t="shared" si="3"/>
        <v>9.7000000000000003E-3</v>
      </c>
      <c r="S28" s="230">
        <f>R28*PARÂMETROS!$E$8</f>
        <v>0.29963300000000004</v>
      </c>
      <c r="T28" s="231">
        <v>2.5</v>
      </c>
      <c r="U28" s="230">
        <f>T28*PARÂMETROS!$E$27</f>
        <v>7.5</v>
      </c>
      <c r="V28" s="299">
        <v>10.039999999999999</v>
      </c>
      <c r="W28" s="230">
        <f>V28*PARÂMETROS!$E$29</f>
        <v>1800.5735999999999</v>
      </c>
      <c r="X28" s="299">
        <v>2.1680000000000001</v>
      </c>
      <c r="Y28" s="230">
        <f>X28*PARÂMETROS!$E$31</f>
        <v>32.845200000000006</v>
      </c>
      <c r="Z28" s="228">
        <f t="shared" si="4"/>
        <v>9.6999999999999989E-2</v>
      </c>
      <c r="AA28" s="230">
        <f>Z28*PARÂMETROS!$E$8</f>
        <v>2.9963299999999995</v>
      </c>
      <c r="AB28" s="228">
        <f t="shared" si="5"/>
        <v>9.5999999999999992E-3</v>
      </c>
      <c r="AC28" s="230">
        <f>AB28*PARÂMETROS!$E$8</f>
        <v>0.29654399999999997</v>
      </c>
      <c r="AF28" s="232" t="s">
        <v>1406</v>
      </c>
      <c r="AG28" s="264">
        <f t="shared" si="6"/>
        <v>6572.8190569999988</v>
      </c>
      <c r="AH28" s="23"/>
      <c r="AI28" s="224" t="s">
        <v>270</v>
      </c>
      <c r="AJ28" s="291">
        <f>PARÂMETROS!$H$3</f>
        <v>40</v>
      </c>
      <c r="AK28" s="267">
        <v>8.3333333333333301E-2</v>
      </c>
      <c r="AL28" s="267">
        <v>0.15277777777777801</v>
      </c>
      <c r="AM28" s="267">
        <v>0.11111111111111099</v>
      </c>
      <c r="AN28" s="267">
        <v>6.9444444444444397E-3</v>
      </c>
      <c r="AO28" s="267">
        <v>2.0833333333333301E-2</v>
      </c>
      <c r="AP28" s="267">
        <v>6.9444444444444397E-3</v>
      </c>
      <c r="AQ28" s="267">
        <v>3.125E-2</v>
      </c>
      <c r="AR28" s="271">
        <v>1</v>
      </c>
      <c r="AS28" s="292">
        <f t="shared" si="7"/>
        <v>0.41319444444444448</v>
      </c>
      <c r="AT28" s="291">
        <f t="shared" si="8"/>
        <v>396.66666666666669</v>
      </c>
      <c r="AU28" s="272">
        <f t="shared" si="9"/>
        <v>396.66666666666669</v>
      </c>
      <c r="AV28" s="23"/>
      <c r="AW28" s="273">
        <f t="shared" si="10"/>
        <v>6572.8190569999988</v>
      </c>
      <c r="AX28" s="274">
        <f t="shared" si="11"/>
        <v>396.66666666666669</v>
      </c>
      <c r="AY28" s="275">
        <v>1</v>
      </c>
      <c r="AZ28" s="276">
        <f t="shared" si="12"/>
        <v>396.66666666666669</v>
      </c>
      <c r="BA28" s="293">
        <f t="shared" si="13"/>
        <v>6969.4857236666658</v>
      </c>
      <c r="BB28" s="180">
        <v>80</v>
      </c>
      <c r="BC28" s="180">
        <f t="shared" si="14"/>
        <v>7049.4857236666658</v>
      </c>
      <c r="BD28" s="275">
        <v>1</v>
      </c>
    </row>
    <row r="29" spans="1:56" ht="27" customHeight="1" x14ac:dyDescent="0.3">
      <c r="A29" s="224" t="s">
        <v>274</v>
      </c>
      <c r="B29" s="225" t="s">
        <v>1384</v>
      </c>
      <c r="C29" s="228">
        <v>170</v>
      </c>
      <c r="D29" s="263">
        <f>C29*D5</f>
        <v>3330.3</v>
      </c>
      <c r="E29" s="228">
        <v>76.5</v>
      </c>
      <c r="F29" s="263">
        <f>E29*F5</f>
        <v>1498.635</v>
      </c>
      <c r="G29" s="227">
        <f t="shared" si="0"/>
        <v>4828.9350000000004</v>
      </c>
      <c r="H29" s="228">
        <v>10.4</v>
      </c>
      <c r="I29" s="227">
        <f>H29*PARÂMETROS!$E$22</f>
        <v>440.64799999999997</v>
      </c>
      <c r="J29" s="228">
        <v>1.079</v>
      </c>
      <c r="K29" s="227">
        <f>J29*PARÂMETROS!$E$22</f>
        <v>45.717229999999994</v>
      </c>
      <c r="L29" s="228">
        <v>2E-3</v>
      </c>
      <c r="M29" s="230">
        <f>L29*PARÂMETROS!$E$8</f>
        <v>6.1780000000000002E-2</v>
      </c>
      <c r="N29" s="228">
        <f t="shared" si="1"/>
        <v>0.10400000000000001</v>
      </c>
      <c r="O29" s="230">
        <f>N29*PARÂMETROS!$E$8</f>
        <v>3.2125600000000003</v>
      </c>
      <c r="P29" s="228">
        <f t="shared" si="2"/>
        <v>0.1079</v>
      </c>
      <c r="Q29" s="230">
        <f>P29*PARÂMETROS!$E$8</f>
        <v>3.3330310000000001</v>
      </c>
      <c r="R29" s="228">
        <f t="shared" si="3"/>
        <v>1.0400000000000001E-2</v>
      </c>
      <c r="S29" s="230">
        <f>R29*PARÂMETROS!$E$8</f>
        <v>0.32125600000000004</v>
      </c>
      <c r="T29" s="231">
        <v>2.6</v>
      </c>
      <c r="U29" s="230">
        <f>T29*PARÂMETROS!$E$27</f>
        <v>7.8000000000000007</v>
      </c>
      <c r="V29" s="299">
        <v>10.84</v>
      </c>
      <c r="W29" s="230">
        <f>V29*PARÂMETROS!$E$29</f>
        <v>1944.0455999999999</v>
      </c>
      <c r="X29" s="299">
        <v>2.488</v>
      </c>
      <c r="Y29" s="230">
        <f>X29*PARÂMETROS!$E$31</f>
        <v>37.693199999999997</v>
      </c>
      <c r="Z29" s="228">
        <f t="shared" si="4"/>
        <v>0.10400000000000001</v>
      </c>
      <c r="AA29" s="230">
        <f>Z29*PARÂMETROS!$E$8</f>
        <v>3.2125600000000003</v>
      </c>
      <c r="AB29" s="228">
        <f t="shared" si="5"/>
        <v>1.0789999999999999E-2</v>
      </c>
      <c r="AC29" s="230">
        <f>AB29*PARÂMETROS!$E$8</f>
        <v>0.33330309999999996</v>
      </c>
      <c r="AD29" s="23"/>
      <c r="AE29" s="23"/>
      <c r="AF29" s="232" t="s">
        <v>1407</v>
      </c>
      <c r="AG29" s="264">
        <f t="shared" si="6"/>
        <v>7315.3135201000005</v>
      </c>
      <c r="AH29" s="23"/>
      <c r="AI29" s="224" t="s">
        <v>274</v>
      </c>
      <c r="AJ29" s="291">
        <f>PARÂMETROS!$H$3</f>
        <v>40</v>
      </c>
      <c r="AK29" s="267">
        <v>8.3333333333333301E-2</v>
      </c>
      <c r="AL29" s="267">
        <v>0.15277777777777801</v>
      </c>
      <c r="AM29" s="267">
        <v>0.11111111111111099</v>
      </c>
      <c r="AN29" s="267">
        <v>6.9444444444444397E-3</v>
      </c>
      <c r="AO29" s="267">
        <v>2.0833333333333301E-2</v>
      </c>
      <c r="AP29" s="267">
        <v>6.9444444444444397E-3</v>
      </c>
      <c r="AQ29" s="267">
        <v>3.125E-2</v>
      </c>
      <c r="AR29" s="271">
        <v>1</v>
      </c>
      <c r="AS29" s="292">
        <f t="shared" si="7"/>
        <v>0.41319444444444448</v>
      </c>
      <c r="AT29" s="291">
        <f t="shared" si="8"/>
        <v>396.66666666666669</v>
      </c>
      <c r="AU29" s="272">
        <f t="shared" si="9"/>
        <v>396.66666666666669</v>
      </c>
      <c r="AV29" s="23"/>
      <c r="AW29" s="273">
        <f t="shared" si="10"/>
        <v>7315.3135201000005</v>
      </c>
      <c r="AX29" s="274">
        <f t="shared" si="11"/>
        <v>396.66666666666669</v>
      </c>
      <c r="AY29" s="275">
        <v>1</v>
      </c>
      <c r="AZ29" s="276">
        <f t="shared" si="12"/>
        <v>396.66666666666669</v>
      </c>
      <c r="BA29" s="293">
        <f t="shared" si="13"/>
        <v>7711.9801867666674</v>
      </c>
      <c r="BB29" s="180">
        <v>80</v>
      </c>
      <c r="BC29" s="180">
        <f t="shared" si="14"/>
        <v>7791.9801867666674</v>
      </c>
      <c r="BD29" s="275">
        <v>1</v>
      </c>
    </row>
    <row r="30" spans="1:56" ht="25.5" customHeight="1" x14ac:dyDescent="0.3">
      <c r="A30" s="224" t="s">
        <v>278</v>
      </c>
      <c r="B30" s="225" t="s">
        <v>1384</v>
      </c>
      <c r="C30" s="228">
        <v>200</v>
      </c>
      <c r="D30" s="263">
        <f>C30*D5</f>
        <v>3918</v>
      </c>
      <c r="E30" s="228">
        <v>90</v>
      </c>
      <c r="F30" s="263">
        <f>E30*F5</f>
        <v>1763.1</v>
      </c>
      <c r="G30" s="227">
        <f t="shared" si="0"/>
        <v>5681.1</v>
      </c>
      <c r="H30" s="228">
        <v>11.7</v>
      </c>
      <c r="I30" s="227">
        <f>H30*PARÂMETROS!$E$22</f>
        <v>495.72899999999993</v>
      </c>
      <c r="J30" s="228">
        <v>1.1599999999999999</v>
      </c>
      <c r="K30" s="227">
        <f>J30*PARÂMETROS!$E$22</f>
        <v>49.149199999999993</v>
      </c>
      <c r="L30" s="228">
        <v>2E-3</v>
      </c>
      <c r="M30" s="230">
        <f>L30*PARÂMETROS!$E$8</f>
        <v>6.1780000000000002E-2</v>
      </c>
      <c r="N30" s="228">
        <f t="shared" si="1"/>
        <v>0.11699999999999999</v>
      </c>
      <c r="O30" s="230">
        <f>N30*PARÂMETROS!$E$8</f>
        <v>3.6141299999999998</v>
      </c>
      <c r="P30" s="228">
        <f t="shared" si="2"/>
        <v>0.11599999999999999</v>
      </c>
      <c r="Q30" s="230">
        <f>P30*PARÂMETROS!$E$8</f>
        <v>3.58324</v>
      </c>
      <c r="R30" s="228">
        <f t="shared" si="3"/>
        <v>1.17E-2</v>
      </c>
      <c r="S30" s="230">
        <f>R30*PARÂMETROS!$E$8</f>
        <v>0.36141300000000004</v>
      </c>
      <c r="T30" s="231">
        <v>2.7</v>
      </c>
      <c r="U30" s="230">
        <f>T30*PARÂMETROS!$E$27</f>
        <v>8.1000000000000014</v>
      </c>
      <c r="V30" s="299">
        <v>12.44</v>
      </c>
      <c r="W30" s="230">
        <f>V30*PARÂMETROS!$E$29</f>
        <v>2230.9895999999999</v>
      </c>
      <c r="X30" s="299">
        <v>2.7509999999999999</v>
      </c>
      <c r="Y30" s="230">
        <f>X30*PARÂMETROS!$E$31</f>
        <v>41.67765</v>
      </c>
      <c r="Z30" s="228">
        <f t="shared" si="4"/>
        <v>0.11699999999999999</v>
      </c>
      <c r="AA30" s="230">
        <f>Z30*PARÂMETROS!$E$8</f>
        <v>3.6141299999999998</v>
      </c>
      <c r="AB30" s="228">
        <f t="shared" si="5"/>
        <v>1.1599999999999999E-2</v>
      </c>
      <c r="AC30" s="230">
        <f>AB30*PARÂMETROS!$E$8</f>
        <v>0.35832399999999998</v>
      </c>
      <c r="AF30" s="232" t="s">
        <v>1408</v>
      </c>
      <c r="AG30" s="264">
        <f t="shared" si="6"/>
        <v>8518.3384670000014</v>
      </c>
      <c r="AH30" s="23"/>
      <c r="AI30" s="224" t="s">
        <v>278</v>
      </c>
      <c r="AJ30" s="291">
        <f>PARÂMETROS!$H$3</f>
        <v>40</v>
      </c>
      <c r="AK30" s="267">
        <v>8.3333333333333301E-2</v>
      </c>
      <c r="AL30" s="267">
        <v>0.15277777777777801</v>
      </c>
      <c r="AM30" s="267">
        <v>0.11111111111111099</v>
      </c>
      <c r="AN30" s="267">
        <v>6.9444444444444397E-3</v>
      </c>
      <c r="AO30" s="267">
        <v>2.0833333333333301E-2</v>
      </c>
      <c r="AP30" s="267">
        <v>6.9444444444444397E-3</v>
      </c>
      <c r="AQ30" s="267">
        <v>3.125E-2</v>
      </c>
      <c r="AR30" s="271">
        <v>1</v>
      </c>
      <c r="AS30" s="292">
        <f t="shared" si="7"/>
        <v>0.41319444444444448</v>
      </c>
      <c r="AT30" s="291">
        <f t="shared" si="8"/>
        <v>396.66666666666669</v>
      </c>
      <c r="AU30" s="272">
        <f t="shared" si="9"/>
        <v>396.66666666666669</v>
      </c>
      <c r="AV30" s="23"/>
      <c r="AW30" s="273">
        <f t="shared" si="10"/>
        <v>8518.3384670000014</v>
      </c>
      <c r="AX30" s="274">
        <f t="shared" si="11"/>
        <v>396.66666666666669</v>
      </c>
      <c r="AY30" s="275">
        <v>1</v>
      </c>
      <c r="AZ30" s="276">
        <f t="shared" si="12"/>
        <v>396.66666666666669</v>
      </c>
      <c r="BA30" s="293">
        <f t="shared" si="13"/>
        <v>8915.0051336666675</v>
      </c>
      <c r="BB30" s="180">
        <v>80</v>
      </c>
      <c r="BC30" s="180">
        <f t="shared" si="14"/>
        <v>8995.0051336666675</v>
      </c>
      <c r="BD30" s="275">
        <v>1</v>
      </c>
    </row>
    <row r="31" spans="1:56" ht="25.5" customHeight="1" x14ac:dyDescent="0.3">
      <c r="A31" s="224" t="s">
        <v>196</v>
      </c>
      <c r="B31" s="225" t="s">
        <v>1409</v>
      </c>
      <c r="C31" s="228">
        <v>0.06</v>
      </c>
      <c r="D31" s="263">
        <f>C31*C5</f>
        <v>1.1754</v>
      </c>
      <c r="E31" s="228">
        <v>0.03</v>
      </c>
      <c r="F31" s="263">
        <f>E31*F5</f>
        <v>0.5877</v>
      </c>
      <c r="G31" s="227">
        <f t="shared" si="0"/>
        <v>1.7631000000000001</v>
      </c>
      <c r="H31" s="228">
        <v>0.1</v>
      </c>
      <c r="I31" s="227">
        <f>H31*PARÂMETROS!$E$22</f>
        <v>4.2370000000000001</v>
      </c>
      <c r="J31" s="228">
        <v>3.0000000000000001E-3</v>
      </c>
      <c r="K31" s="227">
        <f>J31*PARÂMETROS!$E$22</f>
        <v>0.12711</v>
      </c>
      <c r="L31" s="228">
        <v>2E-3</v>
      </c>
      <c r="M31" s="230">
        <f>L31*PARÂMETROS!$E$8</f>
        <v>6.1780000000000002E-2</v>
      </c>
      <c r="N31" s="228">
        <f t="shared" si="1"/>
        <v>1E-3</v>
      </c>
      <c r="O31" s="230">
        <f>N31*PARÂMETROS!$E$8</f>
        <v>3.0890000000000001E-2</v>
      </c>
      <c r="P31" s="228">
        <f t="shared" si="2"/>
        <v>3.0000000000000003E-4</v>
      </c>
      <c r="Q31" s="230">
        <f>P31*PARÂMETROS!$E$8</f>
        <v>9.2670000000000009E-3</v>
      </c>
      <c r="R31" s="228">
        <f t="shared" si="3"/>
        <v>1E-4</v>
      </c>
      <c r="S31" s="230">
        <f>R31*PARÂMETROS!$E$8</f>
        <v>3.0890000000000002E-3</v>
      </c>
      <c r="T31" s="231">
        <v>0.3</v>
      </c>
      <c r="U31" s="230">
        <f>T31*PARÂMETROS!$E$27</f>
        <v>0.89999999999999991</v>
      </c>
      <c r="V31" s="299">
        <v>0.129</v>
      </c>
      <c r="W31" s="230">
        <f>V31*PARÂMETROS!$E$28</f>
        <v>18.431519999999999</v>
      </c>
      <c r="X31" s="299">
        <v>2.5999999999999999E-2</v>
      </c>
      <c r="Y31" s="230">
        <f>X31*PARÂMETROS!$E$31</f>
        <v>0.39389999999999997</v>
      </c>
      <c r="Z31" s="228">
        <f t="shared" si="4"/>
        <v>1E-3</v>
      </c>
      <c r="AA31" s="230">
        <f>Z31*PARÂMETROS!$E$8</f>
        <v>3.0890000000000001E-2</v>
      </c>
      <c r="AB31" s="229">
        <f t="shared" si="5"/>
        <v>3.0000000000000001E-5</v>
      </c>
      <c r="AC31" s="230">
        <f>AB31*PARÂMETROS!$E$8</f>
        <v>9.2670000000000003E-4</v>
      </c>
      <c r="AD31" s="23"/>
      <c r="AE31" s="23"/>
      <c r="AF31" s="232" t="s">
        <v>1410</v>
      </c>
      <c r="AG31" s="264">
        <f t="shared" si="6"/>
        <v>25.989472699999997</v>
      </c>
      <c r="AH31" s="23"/>
      <c r="AI31" s="224" t="s">
        <v>196</v>
      </c>
      <c r="AJ31" s="291">
        <f>PARÂMETROS!$H$3</f>
        <v>40</v>
      </c>
      <c r="AK31" s="267">
        <v>2.1527777777777798E-2</v>
      </c>
      <c r="AL31" s="267">
        <v>1.7361111111111101E-2</v>
      </c>
      <c r="AM31" s="267">
        <v>3.4722222222222203E-2</v>
      </c>
      <c r="AN31" s="300"/>
      <c r="AO31" s="267">
        <v>2.0833333333333301E-2</v>
      </c>
      <c r="AP31" s="267">
        <v>6.9444444444444397E-3</v>
      </c>
      <c r="AQ31" s="267">
        <v>3.125E-2</v>
      </c>
      <c r="AR31" s="271">
        <v>4</v>
      </c>
      <c r="AS31" s="292">
        <f t="shared" si="7"/>
        <v>0.13263888888888886</v>
      </c>
      <c r="AT31" s="291">
        <f t="shared" si="8"/>
        <v>127.33333333333331</v>
      </c>
      <c r="AU31" s="272">
        <f t="shared" si="9"/>
        <v>31.833333333333329</v>
      </c>
      <c r="AV31" s="23"/>
      <c r="AW31" s="273">
        <f t="shared" si="10"/>
        <v>25.989472699999997</v>
      </c>
      <c r="AX31" s="274">
        <f t="shared" si="11"/>
        <v>127.33333333333331</v>
      </c>
      <c r="AY31" s="275">
        <v>4</v>
      </c>
      <c r="AZ31" s="276">
        <f t="shared" si="12"/>
        <v>31.833333333333329</v>
      </c>
      <c r="BA31" s="293">
        <f t="shared" si="13"/>
        <v>57.822806033333322</v>
      </c>
      <c r="BB31" s="180">
        <v>80</v>
      </c>
      <c r="BC31" s="180">
        <f t="shared" si="14"/>
        <v>137.82280603333334</v>
      </c>
      <c r="BD31" s="275">
        <v>4</v>
      </c>
    </row>
    <row r="32" spans="1:56" ht="25.5" customHeight="1" x14ac:dyDescent="0.3">
      <c r="A32" s="224" t="s">
        <v>200</v>
      </c>
      <c r="B32" s="225" t="s">
        <v>1409</v>
      </c>
      <c r="C32" s="228">
        <v>0.11</v>
      </c>
      <c r="D32" s="263">
        <f>C32*C5</f>
        <v>2.1549</v>
      </c>
      <c r="E32" s="228">
        <v>5.5E-2</v>
      </c>
      <c r="F32" s="263">
        <f>E32*F5</f>
        <v>1.07745</v>
      </c>
      <c r="G32" s="227">
        <f t="shared" si="0"/>
        <v>3.2323500000000003</v>
      </c>
      <c r="H32" s="228">
        <v>0.14000000000000001</v>
      </c>
      <c r="I32" s="227">
        <f>H32*PARÂMETROS!$E$22</f>
        <v>5.9318</v>
      </c>
      <c r="J32" s="228">
        <v>6.0000000000000001E-3</v>
      </c>
      <c r="K32" s="227">
        <f>J32*PARÂMETROS!$E$22</f>
        <v>0.25422</v>
      </c>
      <c r="L32" s="228">
        <v>2E-3</v>
      </c>
      <c r="M32" s="230">
        <f>L32*PARÂMETROS!$E$8</f>
        <v>6.1780000000000002E-2</v>
      </c>
      <c r="N32" s="228">
        <f t="shared" si="1"/>
        <v>1.4000000000000002E-3</v>
      </c>
      <c r="O32" s="230">
        <f>N32*PARÂMETROS!$E$8</f>
        <v>4.3246000000000007E-2</v>
      </c>
      <c r="P32" s="228">
        <f t="shared" si="2"/>
        <v>6.0000000000000006E-4</v>
      </c>
      <c r="Q32" s="230">
        <f>P32*PARÂMETROS!$E$8</f>
        <v>1.8534000000000002E-2</v>
      </c>
      <c r="R32" s="228">
        <f t="shared" si="3"/>
        <v>1.4000000000000001E-4</v>
      </c>
      <c r="S32" s="230">
        <f>R32*PARÂMETROS!$E$8</f>
        <v>4.3246000000000005E-3</v>
      </c>
      <c r="T32" s="231">
        <v>0.36</v>
      </c>
      <c r="U32" s="230">
        <f>T32*PARÂMETROS!$E$27</f>
        <v>1.08</v>
      </c>
      <c r="V32" s="299">
        <v>0.255</v>
      </c>
      <c r="W32" s="230">
        <f>V32*PARÂMETROS!$E$28</f>
        <v>36.434399999999997</v>
      </c>
      <c r="X32" s="299">
        <v>5.0999999999999997E-2</v>
      </c>
      <c r="Y32" s="230">
        <f>X32*PARÂMETROS!$E$31</f>
        <v>0.77264999999999995</v>
      </c>
      <c r="Z32" s="228">
        <f t="shared" si="4"/>
        <v>1.4000000000000002E-3</v>
      </c>
      <c r="AA32" s="230">
        <f>Z32*PARÂMETROS!$E$8</f>
        <v>4.3246000000000007E-2</v>
      </c>
      <c r="AB32" s="229">
        <f t="shared" si="5"/>
        <v>6.0000000000000002E-5</v>
      </c>
      <c r="AC32" s="230">
        <f>AB32*PARÂMETROS!$E$8</f>
        <v>1.8534000000000001E-3</v>
      </c>
      <c r="AF32" s="232" t="s">
        <v>1411</v>
      </c>
      <c r="AG32" s="264">
        <f t="shared" si="6"/>
        <v>47.878403999999996</v>
      </c>
      <c r="AH32" s="23"/>
      <c r="AI32" s="224" t="s">
        <v>200</v>
      </c>
      <c r="AJ32" s="291">
        <f>PARÂMETROS!$H$3</f>
        <v>40</v>
      </c>
      <c r="AK32" s="267">
        <v>2.1527777777777798E-2</v>
      </c>
      <c r="AL32" s="267">
        <v>1.7361111111111101E-2</v>
      </c>
      <c r="AM32" s="267">
        <v>3.4722222222222203E-2</v>
      </c>
      <c r="AN32" s="300"/>
      <c r="AO32" s="267">
        <v>2.0833333333333301E-2</v>
      </c>
      <c r="AP32" s="267">
        <v>6.9444444444444397E-3</v>
      </c>
      <c r="AQ32" s="267">
        <v>3.125E-2</v>
      </c>
      <c r="AR32" s="271">
        <v>4</v>
      </c>
      <c r="AS32" s="292">
        <f t="shared" si="7"/>
        <v>0.13263888888888886</v>
      </c>
      <c r="AT32" s="291">
        <f t="shared" si="8"/>
        <v>127.33333333333331</v>
      </c>
      <c r="AU32" s="272">
        <f t="shared" si="9"/>
        <v>31.833333333333329</v>
      </c>
      <c r="AV32" s="23"/>
      <c r="AW32" s="273">
        <f t="shared" si="10"/>
        <v>47.878403999999996</v>
      </c>
      <c r="AX32" s="274">
        <f t="shared" si="11"/>
        <v>127.33333333333331</v>
      </c>
      <c r="AY32" s="275">
        <v>4</v>
      </c>
      <c r="AZ32" s="276">
        <f t="shared" si="12"/>
        <v>31.833333333333329</v>
      </c>
      <c r="BA32" s="293">
        <f t="shared" si="13"/>
        <v>79.711737333333332</v>
      </c>
      <c r="BB32" s="180">
        <v>80</v>
      </c>
      <c r="BC32" s="180">
        <f t="shared" si="14"/>
        <v>159.71173733333333</v>
      </c>
      <c r="BD32" s="275">
        <v>4</v>
      </c>
    </row>
    <row r="33" spans="1:56" ht="25.5" customHeight="1" x14ac:dyDescent="0.3">
      <c r="A33" s="224" t="s">
        <v>185</v>
      </c>
      <c r="B33" s="225" t="s">
        <v>1409</v>
      </c>
      <c r="C33" s="228">
        <v>0.2</v>
      </c>
      <c r="D33" s="263">
        <f>C33*C5</f>
        <v>3.9180000000000001</v>
      </c>
      <c r="E33" s="228">
        <v>0.1</v>
      </c>
      <c r="F33" s="263">
        <f>E33*F5</f>
        <v>1.9590000000000001</v>
      </c>
      <c r="G33" s="227">
        <f t="shared" si="0"/>
        <v>5.8770000000000007</v>
      </c>
      <c r="H33" s="228">
        <v>0.26</v>
      </c>
      <c r="I33" s="227">
        <f>H33*PARÂMETROS!$E$22</f>
        <v>11.0162</v>
      </c>
      <c r="J33" s="228">
        <v>1.0999999999999999E-2</v>
      </c>
      <c r="K33" s="227">
        <f>J33*PARÂMETROS!$E$22</f>
        <v>0.46606999999999993</v>
      </c>
      <c r="L33" s="228">
        <v>2E-3</v>
      </c>
      <c r="M33" s="230">
        <f>L33*PARÂMETROS!$E$8</f>
        <v>6.1780000000000002E-2</v>
      </c>
      <c r="N33" s="228">
        <f t="shared" si="1"/>
        <v>2.6000000000000003E-3</v>
      </c>
      <c r="O33" s="230">
        <f>N33*PARÂMETROS!$E$8</f>
        <v>8.031400000000001E-2</v>
      </c>
      <c r="P33" s="228">
        <f t="shared" si="2"/>
        <v>1.1000000000000001E-3</v>
      </c>
      <c r="Q33" s="230">
        <f>P33*PARÂMETROS!$E$8</f>
        <v>3.3979000000000002E-2</v>
      </c>
      <c r="R33" s="228">
        <f t="shared" si="3"/>
        <v>2.6000000000000003E-4</v>
      </c>
      <c r="S33" s="230">
        <f>R33*PARÂMETROS!$E$8</f>
        <v>8.031400000000001E-3</v>
      </c>
      <c r="T33" s="231">
        <v>0.41</v>
      </c>
      <c r="U33" s="230">
        <f>T33*PARÂMETROS!$E$27</f>
        <v>1.23</v>
      </c>
      <c r="V33" s="299">
        <v>0.47599999999999998</v>
      </c>
      <c r="W33" s="230">
        <f>V33*PARÂMETROS!$E$28</f>
        <v>68.01088</v>
      </c>
      <c r="X33" s="299">
        <v>9.5000000000000001E-2</v>
      </c>
      <c r="Y33" s="230">
        <f>X33*PARÂMETROS!$E$31</f>
        <v>1.4392500000000001</v>
      </c>
      <c r="Z33" s="228">
        <f t="shared" si="4"/>
        <v>2.6000000000000003E-3</v>
      </c>
      <c r="AA33" s="230">
        <f>Z33*PARÂMETROS!$E$8</f>
        <v>8.031400000000001E-2</v>
      </c>
      <c r="AB33" s="229">
        <f t="shared" si="5"/>
        <v>1.0999999999999999E-4</v>
      </c>
      <c r="AC33" s="230">
        <f>AB33*PARÂMETROS!$E$8</f>
        <v>3.3978999999999997E-3</v>
      </c>
      <c r="AD33" s="23"/>
      <c r="AE33" s="23"/>
      <c r="AF33" s="232" t="s">
        <v>1412</v>
      </c>
      <c r="AG33" s="264">
        <f t="shared" si="6"/>
        <v>88.307216300000007</v>
      </c>
      <c r="AH33" s="23"/>
      <c r="AI33" s="224" t="s">
        <v>185</v>
      </c>
      <c r="AJ33" s="291">
        <f>PARÂMETROS!$H$3</f>
        <v>40</v>
      </c>
      <c r="AK33" s="267">
        <v>2.1527777777777798E-2</v>
      </c>
      <c r="AL33" s="267">
        <v>1.7361111111111101E-2</v>
      </c>
      <c r="AM33" s="267">
        <v>3.4722222222222203E-2</v>
      </c>
      <c r="AN33" s="300"/>
      <c r="AO33" s="267">
        <v>2.0833333333333301E-2</v>
      </c>
      <c r="AP33" s="267">
        <v>6.9444444444444397E-3</v>
      </c>
      <c r="AQ33" s="267">
        <v>3.125E-2</v>
      </c>
      <c r="AR33" s="271">
        <v>4</v>
      </c>
      <c r="AS33" s="292">
        <f t="shared" si="7"/>
        <v>0.13263888888888886</v>
      </c>
      <c r="AT33" s="291">
        <f t="shared" si="8"/>
        <v>127.33333333333331</v>
      </c>
      <c r="AU33" s="272">
        <f t="shared" si="9"/>
        <v>31.833333333333329</v>
      </c>
      <c r="AV33" s="23"/>
      <c r="AW33" s="273">
        <f t="shared" si="10"/>
        <v>88.307216300000007</v>
      </c>
      <c r="AX33" s="274">
        <f t="shared" si="11"/>
        <v>127.33333333333331</v>
      </c>
      <c r="AY33" s="275">
        <v>3</v>
      </c>
      <c r="AZ33" s="276">
        <f t="shared" si="12"/>
        <v>42.444444444444436</v>
      </c>
      <c r="BA33" s="293">
        <f t="shared" si="13"/>
        <v>130.75166074444445</v>
      </c>
      <c r="BB33" s="180">
        <v>80</v>
      </c>
      <c r="BC33" s="180">
        <f t="shared" si="14"/>
        <v>210.75166074444445</v>
      </c>
      <c r="BD33" s="275">
        <v>3</v>
      </c>
    </row>
    <row r="34" spans="1:56" ht="25.5" customHeight="1" x14ac:dyDescent="0.3">
      <c r="A34" s="224" t="s">
        <v>39</v>
      </c>
      <c r="B34" s="225" t="s">
        <v>1409</v>
      </c>
      <c r="C34" s="228">
        <v>0.75</v>
      </c>
      <c r="D34" s="263">
        <f>C34*C5</f>
        <v>14.692499999999999</v>
      </c>
      <c r="E34" s="228">
        <v>0.375</v>
      </c>
      <c r="F34" s="263">
        <f>E34*F5</f>
        <v>7.3462499999999995</v>
      </c>
      <c r="G34" s="227">
        <f t="shared" si="0"/>
        <v>22.03875</v>
      </c>
      <c r="H34" s="228">
        <v>0.5</v>
      </c>
      <c r="I34" s="227">
        <f>H34*PARÂMETROS!$E$22</f>
        <v>21.184999999999999</v>
      </c>
      <c r="J34" s="228">
        <v>2.5000000000000001E-2</v>
      </c>
      <c r="K34" s="227">
        <f>J34*PARÂMETROS!$E$22</f>
        <v>1.05925</v>
      </c>
      <c r="L34" s="228">
        <v>2E-3</v>
      </c>
      <c r="M34" s="230">
        <f>L34*PARÂMETROS!$E$8</f>
        <v>6.1780000000000002E-2</v>
      </c>
      <c r="N34" s="228">
        <f t="shared" si="1"/>
        <v>5.0000000000000001E-3</v>
      </c>
      <c r="O34" s="230">
        <f>N34*PARÂMETROS!$E$8</f>
        <v>0.15445</v>
      </c>
      <c r="P34" s="228">
        <f t="shared" si="2"/>
        <v>2.5000000000000005E-3</v>
      </c>
      <c r="Q34" s="230">
        <f>P34*PARÂMETROS!$E$8</f>
        <v>7.7225000000000016E-2</v>
      </c>
      <c r="R34" s="228">
        <f t="shared" si="3"/>
        <v>5.0000000000000001E-4</v>
      </c>
      <c r="S34" s="230">
        <f>R34*PARÂMETROS!$E$8</f>
        <v>1.5445E-2</v>
      </c>
      <c r="T34" s="231">
        <v>0.82</v>
      </c>
      <c r="U34" s="230">
        <f>T34*PARÂMETROS!$E$27</f>
        <v>2.46</v>
      </c>
      <c r="V34" s="299">
        <v>0.78</v>
      </c>
      <c r="W34" s="230">
        <f>V34*PARÂMETROS!$E$29</f>
        <v>139.8852</v>
      </c>
      <c r="X34" s="299">
        <v>0.156</v>
      </c>
      <c r="Y34" s="230">
        <f>X34*PARÂMETROS!$E$31</f>
        <v>2.3633999999999999</v>
      </c>
      <c r="Z34" s="228">
        <f t="shared" si="4"/>
        <v>5.0000000000000001E-3</v>
      </c>
      <c r="AA34" s="230">
        <f>Z34*PARÂMETROS!$E$8</f>
        <v>0.15445</v>
      </c>
      <c r="AB34" s="229">
        <f t="shared" si="5"/>
        <v>2.5000000000000001E-4</v>
      </c>
      <c r="AC34" s="230">
        <f>AB34*PARÂMETROS!$E$8</f>
        <v>7.7225000000000002E-3</v>
      </c>
      <c r="AF34" s="232" t="s">
        <v>1413</v>
      </c>
      <c r="AG34" s="264">
        <f t="shared" si="6"/>
        <v>189.4626725</v>
      </c>
      <c r="AH34" s="23"/>
      <c r="AI34" s="224" t="s">
        <v>39</v>
      </c>
      <c r="AJ34" s="291">
        <f>PARÂMETROS!$H$3</f>
        <v>40</v>
      </c>
      <c r="AK34" s="267">
        <v>2.1527777777777798E-2</v>
      </c>
      <c r="AL34" s="267">
        <v>1.7361111111111101E-2</v>
      </c>
      <c r="AM34" s="267">
        <v>3.4722222222222203E-2</v>
      </c>
      <c r="AN34" s="300"/>
      <c r="AO34" s="267">
        <v>2.0833333333333301E-2</v>
      </c>
      <c r="AP34" s="267">
        <v>6.9444444444444397E-3</v>
      </c>
      <c r="AQ34" s="267">
        <v>3.125E-2</v>
      </c>
      <c r="AR34" s="271">
        <v>4</v>
      </c>
      <c r="AS34" s="292">
        <f t="shared" si="7"/>
        <v>0.13263888888888886</v>
      </c>
      <c r="AT34" s="291">
        <f t="shared" si="8"/>
        <v>127.33333333333331</v>
      </c>
      <c r="AU34" s="272">
        <f t="shared" si="9"/>
        <v>31.833333333333329</v>
      </c>
      <c r="AV34" s="23"/>
      <c r="AW34" s="273">
        <f t="shared" si="10"/>
        <v>189.4626725</v>
      </c>
      <c r="AX34" s="274">
        <f t="shared" si="11"/>
        <v>127.33333333333331</v>
      </c>
      <c r="AY34" s="275">
        <v>3</v>
      </c>
      <c r="AZ34" s="276">
        <f t="shared" si="12"/>
        <v>42.444444444444436</v>
      </c>
      <c r="BA34" s="293">
        <f t="shared" si="13"/>
        <v>231.90711694444443</v>
      </c>
      <c r="BB34" s="180">
        <v>80</v>
      </c>
      <c r="BC34" s="180">
        <f t="shared" si="14"/>
        <v>311.9071169444444</v>
      </c>
      <c r="BD34" s="275">
        <v>3</v>
      </c>
    </row>
    <row r="35" spans="1:56" ht="25.5" customHeight="1" x14ac:dyDescent="0.3">
      <c r="A35" s="224" t="s">
        <v>300</v>
      </c>
      <c r="B35" s="225" t="s">
        <v>1409</v>
      </c>
      <c r="C35" s="228">
        <v>1.1100000000000001</v>
      </c>
      <c r="D35" s="263">
        <f>C35*C5</f>
        <v>21.744900000000001</v>
      </c>
      <c r="E35" s="228">
        <v>0.55000000000000004</v>
      </c>
      <c r="F35" s="263">
        <f>E35*F5</f>
        <v>10.774500000000002</v>
      </c>
      <c r="G35" s="227">
        <f t="shared" si="0"/>
        <v>32.519400000000005</v>
      </c>
      <c r="H35" s="228">
        <v>0.65</v>
      </c>
      <c r="I35" s="227">
        <f>H35*PARÂMETROS!$E$22</f>
        <v>27.540499999999998</v>
      </c>
      <c r="J35" s="228">
        <v>3.2000000000000001E-2</v>
      </c>
      <c r="K35" s="227">
        <f>J35*PARÂMETROS!$E$22</f>
        <v>1.3558399999999999</v>
      </c>
      <c r="L35" s="228">
        <v>2E-3</v>
      </c>
      <c r="M35" s="230">
        <f>L35*PARÂMETROS!$E$8</f>
        <v>6.1780000000000002E-2</v>
      </c>
      <c r="N35" s="228">
        <f t="shared" si="1"/>
        <v>6.5000000000000006E-3</v>
      </c>
      <c r="O35" s="230">
        <f>N35*PARÂMETROS!$E$8</f>
        <v>0.20078500000000002</v>
      </c>
      <c r="P35" s="228">
        <f t="shared" si="2"/>
        <v>3.2000000000000002E-3</v>
      </c>
      <c r="Q35" s="230">
        <f>P35*PARÂMETROS!$E$8</f>
        <v>9.8848000000000005E-2</v>
      </c>
      <c r="R35" s="228">
        <f t="shared" si="3"/>
        <v>6.5000000000000008E-4</v>
      </c>
      <c r="S35" s="230">
        <f>R35*PARÂMETROS!$E$8</f>
        <v>2.0078500000000003E-2</v>
      </c>
      <c r="T35" s="231">
        <v>0.86</v>
      </c>
      <c r="U35" s="230">
        <f>T35*PARÂMETROS!$E$27</f>
        <v>2.58</v>
      </c>
      <c r="V35" s="299">
        <v>1.24</v>
      </c>
      <c r="W35" s="230">
        <f>V35*PARÂMETROS!$E$29</f>
        <v>222.38159999999999</v>
      </c>
      <c r="X35" s="299">
        <v>0.248</v>
      </c>
      <c r="Y35" s="230">
        <f>X35*PARÂMETROS!$E$31</f>
        <v>3.7572000000000001</v>
      </c>
      <c r="Z35" s="228">
        <f t="shared" si="4"/>
        <v>6.5000000000000006E-3</v>
      </c>
      <c r="AA35" s="230">
        <f>Z35*PARÂMETROS!$E$8</f>
        <v>0.20078500000000002</v>
      </c>
      <c r="AB35" s="229">
        <f t="shared" si="5"/>
        <v>3.2000000000000003E-4</v>
      </c>
      <c r="AC35" s="230">
        <f>AB35*PARÂMETROS!$E$8</f>
        <v>9.8848000000000009E-3</v>
      </c>
      <c r="AD35" s="23"/>
      <c r="AE35" s="23"/>
      <c r="AF35" s="232" t="s">
        <v>1414</v>
      </c>
      <c r="AG35" s="264">
        <f t="shared" si="6"/>
        <v>290.7267013</v>
      </c>
      <c r="AH35" s="23"/>
      <c r="AI35" s="224" t="s">
        <v>300</v>
      </c>
      <c r="AJ35" s="291">
        <f>PARÂMETROS!$H$3</f>
        <v>40</v>
      </c>
      <c r="AK35" s="267">
        <v>2.1527777777777798E-2</v>
      </c>
      <c r="AL35" s="267">
        <v>1.7361111111111101E-2</v>
      </c>
      <c r="AM35" s="267">
        <v>1.7361111111111101E-2</v>
      </c>
      <c r="AN35" s="300"/>
      <c r="AO35" s="267">
        <v>2.0833333333333301E-2</v>
      </c>
      <c r="AP35" s="267">
        <v>6.9444444444444397E-3</v>
      </c>
      <c r="AQ35" s="267">
        <v>3.125E-2</v>
      </c>
      <c r="AR35" s="271">
        <v>2</v>
      </c>
      <c r="AS35" s="292">
        <f t="shared" si="7"/>
        <v>0.11527777777777774</v>
      </c>
      <c r="AT35" s="291">
        <f t="shared" si="8"/>
        <v>110.66666666666663</v>
      </c>
      <c r="AU35" s="272">
        <f t="shared" si="9"/>
        <v>55.333333333333314</v>
      </c>
      <c r="AV35" s="23"/>
      <c r="AW35" s="273">
        <f t="shared" si="10"/>
        <v>290.7267013</v>
      </c>
      <c r="AX35" s="274">
        <f t="shared" si="11"/>
        <v>110.66666666666663</v>
      </c>
      <c r="AY35" s="275">
        <v>3</v>
      </c>
      <c r="AZ35" s="276">
        <f t="shared" si="12"/>
        <v>36.888888888888879</v>
      </c>
      <c r="BA35" s="293">
        <f t="shared" si="13"/>
        <v>327.61559018888886</v>
      </c>
      <c r="BB35" s="180">
        <v>80</v>
      </c>
      <c r="BC35" s="180">
        <f t="shared" si="14"/>
        <v>407.61559018888886</v>
      </c>
      <c r="BD35" s="275">
        <v>3</v>
      </c>
    </row>
    <row r="36" spans="1:56" ht="25.5" customHeight="1" x14ac:dyDescent="0.3">
      <c r="A36" s="224" t="s">
        <v>41</v>
      </c>
      <c r="B36" s="225" t="s">
        <v>1409</v>
      </c>
      <c r="C36" s="228">
        <v>1.55</v>
      </c>
      <c r="D36" s="263">
        <f>C36*C5</f>
        <v>30.3645</v>
      </c>
      <c r="E36" s="228">
        <v>0.77500000000000002</v>
      </c>
      <c r="F36" s="263">
        <f>E36*F5</f>
        <v>15.18225</v>
      </c>
      <c r="G36" s="227">
        <f t="shared" si="0"/>
        <v>45.546750000000003</v>
      </c>
      <c r="H36" s="228">
        <v>0.8</v>
      </c>
      <c r="I36" s="227">
        <f>H36*PARÂMETROS!$E$22</f>
        <v>33.896000000000001</v>
      </c>
      <c r="J36" s="228">
        <v>4.2000000000000003E-2</v>
      </c>
      <c r="K36" s="227">
        <f>J36*PARÂMETROS!$E$22</f>
        <v>1.7795399999999999</v>
      </c>
      <c r="L36" s="228">
        <v>2E-3</v>
      </c>
      <c r="M36" s="230">
        <f>L36*PARÂMETROS!$E$8</f>
        <v>6.1780000000000002E-2</v>
      </c>
      <c r="N36" s="228">
        <f t="shared" si="1"/>
        <v>8.0000000000000002E-3</v>
      </c>
      <c r="O36" s="230">
        <f>N36*PARÂMETROS!$E$8</f>
        <v>0.24712000000000001</v>
      </c>
      <c r="P36" s="228">
        <f t="shared" si="2"/>
        <v>4.2000000000000006E-3</v>
      </c>
      <c r="Q36" s="230">
        <f>P36*PARÂMETROS!$E$8</f>
        <v>0.12973800000000002</v>
      </c>
      <c r="R36" s="228">
        <f t="shared" si="3"/>
        <v>8.0000000000000004E-4</v>
      </c>
      <c r="S36" s="230">
        <f>R36*PARÂMETROS!$E$8</f>
        <v>2.4712000000000001E-2</v>
      </c>
      <c r="T36" s="231">
        <v>0.92</v>
      </c>
      <c r="U36" s="230">
        <f>T36*PARÂMETROS!$E$27</f>
        <v>2.7600000000000002</v>
      </c>
      <c r="V36" s="299">
        <v>1.35</v>
      </c>
      <c r="W36" s="230">
        <f>V36*PARÂMETROS!$E$29</f>
        <v>242.10900000000001</v>
      </c>
      <c r="X36" s="299">
        <v>0.27</v>
      </c>
      <c r="Y36" s="230">
        <f>X36*PARÂMETROS!$E$31</f>
        <v>4.0905000000000005</v>
      </c>
      <c r="Z36" s="228">
        <f t="shared" si="4"/>
        <v>8.0000000000000002E-3</v>
      </c>
      <c r="AA36" s="230">
        <f>Z36*PARÂMETROS!$E$8</f>
        <v>0.24712000000000001</v>
      </c>
      <c r="AB36" s="229">
        <f t="shared" si="5"/>
        <v>4.2000000000000002E-4</v>
      </c>
      <c r="AC36" s="230">
        <f>AB36*PARÂMETROS!$E$8</f>
        <v>1.2973800000000001E-2</v>
      </c>
      <c r="AF36" s="232" t="s">
        <v>1415</v>
      </c>
      <c r="AG36" s="264">
        <f t="shared" si="6"/>
        <v>330.90523380000002</v>
      </c>
      <c r="AH36" s="23"/>
      <c r="AI36" s="224" t="s">
        <v>41</v>
      </c>
      <c r="AJ36" s="291">
        <f>PARÂMETROS!$H$3</f>
        <v>40</v>
      </c>
      <c r="AK36" s="267">
        <v>2.1527777777777798E-2</v>
      </c>
      <c r="AL36" s="267">
        <v>1.7361111111111101E-2</v>
      </c>
      <c r="AM36" s="267">
        <v>1.7361111111111101E-2</v>
      </c>
      <c r="AN36" s="300"/>
      <c r="AO36" s="267">
        <v>2.0833333333333301E-2</v>
      </c>
      <c r="AP36" s="267">
        <v>6.9444444444444397E-3</v>
      </c>
      <c r="AQ36" s="267">
        <v>3.125E-2</v>
      </c>
      <c r="AR36" s="271">
        <v>2</v>
      </c>
      <c r="AS36" s="292">
        <f t="shared" si="7"/>
        <v>0.11527777777777774</v>
      </c>
      <c r="AT36" s="291">
        <f t="shared" si="8"/>
        <v>110.66666666666663</v>
      </c>
      <c r="AU36" s="272">
        <f t="shared" si="9"/>
        <v>55.333333333333314</v>
      </c>
      <c r="AV36" s="23"/>
      <c r="AW36" s="273">
        <f t="shared" si="10"/>
        <v>330.90523380000002</v>
      </c>
      <c r="AX36" s="274">
        <f t="shared" si="11"/>
        <v>110.66666666666663</v>
      </c>
      <c r="AY36" s="275">
        <v>2</v>
      </c>
      <c r="AZ36" s="276">
        <f t="shared" si="12"/>
        <v>55.333333333333314</v>
      </c>
      <c r="BA36" s="293">
        <f t="shared" si="13"/>
        <v>386.23856713333333</v>
      </c>
      <c r="BB36" s="180">
        <v>80</v>
      </c>
      <c r="BC36" s="180">
        <f t="shared" si="14"/>
        <v>466.23856713333333</v>
      </c>
      <c r="BD36" s="275">
        <v>2</v>
      </c>
    </row>
    <row r="37" spans="1:56" ht="25.5" customHeight="1" x14ac:dyDescent="0.3">
      <c r="A37" s="224" t="s">
        <v>43</v>
      </c>
      <c r="B37" s="225" t="s">
        <v>1409</v>
      </c>
      <c r="C37" s="228">
        <v>3.22</v>
      </c>
      <c r="D37" s="263">
        <f>C37*C5</f>
        <v>63.079800000000006</v>
      </c>
      <c r="E37" s="228">
        <v>1.61</v>
      </c>
      <c r="F37" s="263">
        <f>E37*F5</f>
        <v>31.539900000000003</v>
      </c>
      <c r="G37" s="227">
        <f t="shared" si="0"/>
        <v>94.619700000000009</v>
      </c>
      <c r="H37" s="228">
        <v>1</v>
      </c>
      <c r="I37" s="227">
        <f>H37*PARÂMETROS!$E$22</f>
        <v>42.37</v>
      </c>
      <c r="J37" s="228">
        <v>6.5000000000000002E-2</v>
      </c>
      <c r="K37" s="227">
        <f>J37*PARÂMETROS!$E$22</f>
        <v>2.7540499999999999</v>
      </c>
      <c r="L37" s="228">
        <v>2E-3</v>
      </c>
      <c r="M37" s="230">
        <f>L37*PARÂMETROS!$E$8</f>
        <v>6.1780000000000002E-2</v>
      </c>
      <c r="N37" s="228">
        <f t="shared" si="1"/>
        <v>0.01</v>
      </c>
      <c r="O37" s="230">
        <f>N37*PARÂMETROS!$E$8</f>
        <v>0.30890000000000001</v>
      </c>
      <c r="P37" s="228">
        <f t="shared" si="2"/>
        <v>6.5000000000000006E-3</v>
      </c>
      <c r="Q37" s="230">
        <f>P37*PARÂMETROS!$E$8</f>
        <v>0.20078500000000002</v>
      </c>
      <c r="R37" s="228">
        <f t="shared" si="3"/>
        <v>1E-3</v>
      </c>
      <c r="S37" s="230">
        <f>R37*PARÂMETROS!$E$8</f>
        <v>3.0890000000000001E-2</v>
      </c>
      <c r="T37" s="231">
        <v>1.02</v>
      </c>
      <c r="U37" s="230">
        <f>T37*PARÂMETROS!$E$27</f>
        <v>3.06</v>
      </c>
      <c r="V37" s="299">
        <v>1.7250000000000001</v>
      </c>
      <c r="W37" s="230">
        <f>V37*PARÂMETROS!$E$29</f>
        <v>309.36150000000004</v>
      </c>
      <c r="X37" s="299">
        <v>0.34499999999999997</v>
      </c>
      <c r="Y37" s="230">
        <f>X37*PARÂMETROS!$E$31</f>
        <v>5.22675</v>
      </c>
      <c r="Z37" s="228">
        <f t="shared" si="4"/>
        <v>0.01</v>
      </c>
      <c r="AA37" s="230">
        <f>Z37*PARÂMETROS!$E$8</f>
        <v>0.30890000000000001</v>
      </c>
      <c r="AB37" s="228">
        <f t="shared" si="5"/>
        <v>6.5000000000000008E-4</v>
      </c>
      <c r="AC37" s="230">
        <f>AB37*PARÂMETROS!$E$8</f>
        <v>2.0078500000000003E-2</v>
      </c>
      <c r="AD37" s="23"/>
      <c r="AE37" s="23"/>
      <c r="AF37" s="232" t="s">
        <v>1416</v>
      </c>
      <c r="AG37" s="264">
        <f t="shared" si="6"/>
        <v>458.32333349999999</v>
      </c>
      <c r="AH37" s="23"/>
      <c r="AI37" s="224" t="s">
        <v>43</v>
      </c>
      <c r="AJ37" s="291">
        <f>PARÂMETROS!$H$3</f>
        <v>40</v>
      </c>
      <c r="AK37" s="267">
        <v>2.1527777777777798E-2</v>
      </c>
      <c r="AL37" s="267">
        <v>1.7361111111111101E-2</v>
      </c>
      <c r="AM37" s="267">
        <v>1.7361111111111101E-2</v>
      </c>
      <c r="AN37" s="267">
        <v>6.9444444444444397E-3</v>
      </c>
      <c r="AO37" s="267">
        <v>2.0833333333333301E-2</v>
      </c>
      <c r="AP37" s="267">
        <v>6.9444444444444397E-3</v>
      </c>
      <c r="AQ37" s="267">
        <v>3.125E-2</v>
      </c>
      <c r="AR37" s="271">
        <v>2</v>
      </c>
      <c r="AS37" s="292">
        <f t="shared" si="7"/>
        <v>0.12222222222222219</v>
      </c>
      <c r="AT37" s="291">
        <f t="shared" si="8"/>
        <v>117.3333333333333</v>
      </c>
      <c r="AU37" s="272">
        <f t="shared" si="9"/>
        <v>58.66666666666665</v>
      </c>
      <c r="AV37" s="23"/>
      <c r="AW37" s="273">
        <f t="shared" si="10"/>
        <v>458.32333349999999</v>
      </c>
      <c r="AX37" s="274">
        <f t="shared" si="11"/>
        <v>117.3333333333333</v>
      </c>
      <c r="AY37" s="275">
        <v>2</v>
      </c>
      <c r="AZ37" s="276">
        <f t="shared" si="12"/>
        <v>58.66666666666665</v>
      </c>
      <c r="BA37" s="293">
        <f t="shared" si="13"/>
        <v>516.99000016666662</v>
      </c>
      <c r="BB37" s="180">
        <v>80</v>
      </c>
      <c r="BC37" s="180">
        <f t="shared" si="14"/>
        <v>596.99000016666662</v>
      </c>
      <c r="BD37" s="275">
        <v>2</v>
      </c>
    </row>
    <row r="38" spans="1:56" ht="25.5" customHeight="1" x14ac:dyDescent="0.3">
      <c r="A38" s="224" t="s">
        <v>45</v>
      </c>
      <c r="B38" s="225" t="s">
        <v>1409</v>
      </c>
      <c r="C38" s="228">
        <v>5.3140000000000001</v>
      </c>
      <c r="D38" s="263">
        <f>C38*C5</f>
        <v>104.10126</v>
      </c>
      <c r="E38" s="228">
        <v>2.657</v>
      </c>
      <c r="F38" s="263">
        <f>E38*F5</f>
        <v>52.050629999999998</v>
      </c>
      <c r="G38" s="227">
        <f t="shared" si="0"/>
        <v>156.15188999999998</v>
      </c>
      <c r="H38" s="228">
        <v>1.4</v>
      </c>
      <c r="I38" s="227">
        <f>H38*PARÂMETROS!$E$22</f>
        <v>59.317999999999991</v>
      </c>
      <c r="J38" s="228">
        <v>9.1999999999999998E-2</v>
      </c>
      <c r="K38" s="227">
        <f>J38*PARÂMETROS!$E$22</f>
        <v>3.8980399999999995</v>
      </c>
      <c r="L38" s="228">
        <v>2E-3</v>
      </c>
      <c r="M38" s="230">
        <f>L38*PARÂMETROS!$E$8</f>
        <v>6.1780000000000002E-2</v>
      </c>
      <c r="N38" s="228">
        <f t="shared" si="1"/>
        <v>1.3999999999999999E-2</v>
      </c>
      <c r="O38" s="230">
        <f>N38*PARÂMETROS!$E$8</f>
        <v>0.43245999999999996</v>
      </c>
      <c r="P38" s="228">
        <f t="shared" si="2"/>
        <v>9.1999999999999998E-3</v>
      </c>
      <c r="Q38" s="230">
        <f>P38*PARÂMETROS!$E$8</f>
        <v>0.284188</v>
      </c>
      <c r="R38" s="228">
        <f t="shared" si="3"/>
        <v>1.4E-3</v>
      </c>
      <c r="S38" s="230">
        <f>R38*PARÂMETROS!$E$8</f>
        <v>4.3246E-2</v>
      </c>
      <c r="T38" s="231">
        <v>1.1200000000000001</v>
      </c>
      <c r="U38" s="230">
        <f>T38*PARÂMETROS!$E$27</f>
        <v>3.3600000000000003</v>
      </c>
      <c r="V38" s="299">
        <v>2.3250000000000002</v>
      </c>
      <c r="W38" s="230">
        <f>V38*PARÂMETROS!$E$29</f>
        <v>416.96550000000002</v>
      </c>
      <c r="X38" s="299">
        <v>0.46500000000000002</v>
      </c>
      <c r="Y38" s="230">
        <f>X38*PARÂMETROS!$E$31</f>
        <v>7.0447500000000005</v>
      </c>
      <c r="Z38" s="228">
        <f t="shared" si="4"/>
        <v>1.3999999999999999E-2</v>
      </c>
      <c r="AA38" s="230">
        <f>Z38*PARÂMETROS!$E$8</f>
        <v>0.43245999999999996</v>
      </c>
      <c r="AB38" s="228">
        <f t="shared" si="5"/>
        <v>9.2000000000000003E-4</v>
      </c>
      <c r="AC38" s="230">
        <f>AB38*PARÂMETROS!$E$8</f>
        <v>2.8418800000000001E-2</v>
      </c>
      <c r="AF38" s="232" t="s">
        <v>1417</v>
      </c>
      <c r="AG38" s="264">
        <f t="shared" si="6"/>
        <v>648.02073280000013</v>
      </c>
      <c r="AH38" s="23"/>
      <c r="AI38" s="224" t="s">
        <v>45</v>
      </c>
      <c r="AJ38" s="291">
        <f>PARÂMETROS!$H$3</f>
        <v>40</v>
      </c>
      <c r="AK38" s="267">
        <v>2.1527777777777798E-2</v>
      </c>
      <c r="AL38" s="267">
        <v>1.7361111111111101E-2</v>
      </c>
      <c r="AM38" s="267">
        <v>1.7361111111111101E-2</v>
      </c>
      <c r="AN38" s="267">
        <v>6.9444444444444397E-3</v>
      </c>
      <c r="AO38" s="267">
        <v>2.0833333333333301E-2</v>
      </c>
      <c r="AP38" s="267">
        <v>6.9444444444444397E-3</v>
      </c>
      <c r="AQ38" s="267">
        <v>3.125E-2</v>
      </c>
      <c r="AR38" s="271">
        <v>2</v>
      </c>
      <c r="AS38" s="292">
        <f t="shared" si="7"/>
        <v>0.12222222222222219</v>
      </c>
      <c r="AT38" s="291">
        <f t="shared" si="8"/>
        <v>117.3333333333333</v>
      </c>
      <c r="AU38" s="272">
        <f t="shared" si="9"/>
        <v>58.66666666666665</v>
      </c>
      <c r="AV38" s="23"/>
      <c r="AW38" s="273">
        <f t="shared" si="10"/>
        <v>648.02073280000013</v>
      </c>
      <c r="AX38" s="274">
        <f t="shared" si="11"/>
        <v>117.3333333333333</v>
      </c>
      <c r="AY38" s="275">
        <v>2</v>
      </c>
      <c r="AZ38" s="276">
        <f t="shared" si="12"/>
        <v>58.66666666666665</v>
      </c>
      <c r="BA38" s="293">
        <f t="shared" si="13"/>
        <v>706.68739946666676</v>
      </c>
      <c r="BB38" s="180">
        <v>80</v>
      </c>
      <c r="BC38" s="180">
        <f t="shared" si="14"/>
        <v>786.68739946666676</v>
      </c>
      <c r="BD38" s="275">
        <v>2</v>
      </c>
    </row>
    <row r="39" spans="1:56" ht="25.5" customHeight="1" x14ac:dyDescent="0.3">
      <c r="A39" s="224" t="s">
        <v>47</v>
      </c>
      <c r="B39" s="225" t="s">
        <v>1409</v>
      </c>
      <c r="C39" s="228">
        <v>7.8</v>
      </c>
      <c r="D39" s="263">
        <f>C39*C5</f>
        <v>152.80199999999999</v>
      </c>
      <c r="E39" s="228">
        <v>3.9</v>
      </c>
      <c r="F39" s="263">
        <f>E39*F5</f>
        <v>76.400999999999996</v>
      </c>
      <c r="G39" s="227">
        <f t="shared" si="0"/>
        <v>229.20299999999997</v>
      </c>
      <c r="H39" s="228">
        <v>1.8</v>
      </c>
      <c r="I39" s="227">
        <f>H39*PARÂMETROS!$E$22</f>
        <v>76.265999999999991</v>
      </c>
      <c r="J39" s="228">
        <v>0.124</v>
      </c>
      <c r="K39" s="227">
        <f>J39*PARÂMETROS!$E$22</f>
        <v>5.2538799999999997</v>
      </c>
      <c r="L39" s="228">
        <v>2E-3</v>
      </c>
      <c r="M39" s="230">
        <f>L39*PARÂMETROS!$E$8</f>
        <v>6.1780000000000002E-2</v>
      </c>
      <c r="N39" s="228">
        <f t="shared" si="1"/>
        <v>1.8000000000000002E-2</v>
      </c>
      <c r="O39" s="230">
        <f>N39*PARÂMETROS!$E$8</f>
        <v>0.55602000000000007</v>
      </c>
      <c r="P39" s="228">
        <f t="shared" si="2"/>
        <v>1.2400000000000001E-2</v>
      </c>
      <c r="Q39" s="230">
        <f>P39*PARÂMETROS!$E$8</f>
        <v>0.38303600000000004</v>
      </c>
      <c r="R39" s="228">
        <f t="shared" si="3"/>
        <v>1.8000000000000004E-3</v>
      </c>
      <c r="S39" s="230">
        <f>R39*PARÂMETROS!$E$8</f>
        <v>5.5602000000000013E-2</v>
      </c>
      <c r="T39" s="231">
        <v>1.22</v>
      </c>
      <c r="U39" s="230">
        <f>T39*PARÂMETROS!$E$27</f>
        <v>3.66</v>
      </c>
      <c r="V39" s="299">
        <v>3.03</v>
      </c>
      <c r="W39" s="230">
        <f>V39*PARÂMETROS!$E$29</f>
        <v>543.40019999999993</v>
      </c>
      <c r="X39" s="299">
        <v>0.60599999999999998</v>
      </c>
      <c r="Y39" s="230">
        <f>X39*PARÂMETROS!$E$31</f>
        <v>9.1808999999999994</v>
      </c>
      <c r="Z39" s="228">
        <f t="shared" si="4"/>
        <v>1.8000000000000002E-2</v>
      </c>
      <c r="AA39" s="230">
        <f>Z39*PARÂMETROS!$E$8</f>
        <v>0.55602000000000007</v>
      </c>
      <c r="AB39" s="228">
        <f t="shared" si="5"/>
        <v>1.24E-3</v>
      </c>
      <c r="AC39" s="230">
        <f>AB39*PARÂMETROS!$E$8</f>
        <v>3.83036E-2</v>
      </c>
      <c r="AD39" s="23"/>
      <c r="AE39" s="23"/>
      <c r="AF39" s="232" t="s">
        <v>1418</v>
      </c>
      <c r="AG39" s="264">
        <f t="shared" si="6"/>
        <v>868.61474159999977</v>
      </c>
      <c r="AH39" s="23"/>
      <c r="AI39" s="224" t="s">
        <v>47</v>
      </c>
      <c r="AJ39" s="291">
        <f>PARÂMETROS!$H$3</f>
        <v>40</v>
      </c>
      <c r="AK39" s="267">
        <v>2.1527777777777798E-2</v>
      </c>
      <c r="AL39" s="267">
        <v>2.7777777777777801E-2</v>
      </c>
      <c r="AM39" s="267">
        <v>2.7777777777777801E-2</v>
      </c>
      <c r="AN39" s="267">
        <v>6.9444444444444397E-3</v>
      </c>
      <c r="AO39" s="267">
        <v>2.0833333333333301E-2</v>
      </c>
      <c r="AP39" s="267">
        <v>6.9444444444444397E-3</v>
      </c>
      <c r="AQ39" s="267">
        <v>3.125E-2</v>
      </c>
      <c r="AR39" s="271">
        <v>1</v>
      </c>
      <c r="AS39" s="292">
        <f t="shared" si="7"/>
        <v>0.1430555555555556</v>
      </c>
      <c r="AT39" s="291">
        <f t="shared" si="8"/>
        <v>137.33333333333337</v>
      </c>
      <c r="AU39" s="272">
        <f t="shared" si="9"/>
        <v>137.33333333333337</v>
      </c>
      <c r="AV39" s="23"/>
      <c r="AW39" s="273">
        <f t="shared" si="10"/>
        <v>868.61474159999977</v>
      </c>
      <c r="AX39" s="274">
        <f t="shared" si="11"/>
        <v>137.33333333333337</v>
      </c>
      <c r="AY39" s="275">
        <v>1</v>
      </c>
      <c r="AZ39" s="276">
        <f t="shared" si="12"/>
        <v>137.33333333333337</v>
      </c>
      <c r="BA39" s="293">
        <f t="shared" si="13"/>
        <v>1005.9480749333331</v>
      </c>
      <c r="BB39" s="180">
        <v>80</v>
      </c>
      <c r="BC39" s="180">
        <f t="shared" si="14"/>
        <v>1085.9480749333331</v>
      </c>
      <c r="BD39" s="275">
        <v>1</v>
      </c>
    </row>
    <row r="40" spans="1:56" ht="25.5" customHeight="1" x14ac:dyDescent="0.3">
      <c r="A40" s="224" t="s">
        <v>222</v>
      </c>
      <c r="B40" s="225" t="s">
        <v>1409</v>
      </c>
      <c r="C40" s="228">
        <v>10.4</v>
      </c>
      <c r="D40" s="263">
        <f>C40*C5</f>
        <v>203.73600000000002</v>
      </c>
      <c r="E40" s="228">
        <v>5.2</v>
      </c>
      <c r="F40" s="263">
        <f>E40*F5</f>
        <v>101.86800000000001</v>
      </c>
      <c r="G40" s="227">
        <f t="shared" si="0"/>
        <v>305.60400000000004</v>
      </c>
      <c r="H40" s="228">
        <v>2.5</v>
      </c>
      <c r="I40" s="227">
        <f>H40*PARÂMETROS!$E$22</f>
        <v>105.925</v>
      </c>
      <c r="J40" s="228">
        <v>0.161</v>
      </c>
      <c r="K40" s="227">
        <f>J40*PARÂMETROS!$E$22</f>
        <v>6.8215699999999995</v>
      </c>
      <c r="L40" s="228">
        <v>2E-3</v>
      </c>
      <c r="M40" s="230">
        <f>L40*PARÂMETROS!$E$8</f>
        <v>6.1780000000000002E-2</v>
      </c>
      <c r="N40" s="228">
        <f t="shared" si="1"/>
        <v>2.5000000000000001E-2</v>
      </c>
      <c r="O40" s="230">
        <f>N40*PARÂMETROS!$E$8</f>
        <v>0.7722500000000001</v>
      </c>
      <c r="P40" s="228">
        <f t="shared" si="2"/>
        <v>1.61E-2</v>
      </c>
      <c r="Q40" s="230">
        <f>P40*PARÂMETROS!$E$8</f>
        <v>0.49732900000000002</v>
      </c>
      <c r="R40" s="228">
        <f t="shared" si="3"/>
        <v>2.5000000000000005E-3</v>
      </c>
      <c r="S40" s="230">
        <f>R40*PARÂMETROS!$E$8</f>
        <v>7.7225000000000016E-2</v>
      </c>
      <c r="T40" s="231">
        <v>1.31</v>
      </c>
      <c r="U40" s="230">
        <f>T40*PARÂMETROS!$E$27</f>
        <v>3.93</v>
      </c>
      <c r="V40" s="299">
        <v>3.21</v>
      </c>
      <c r="W40" s="230">
        <f>V40*PARÂMETROS!$E$29</f>
        <v>575.68140000000005</v>
      </c>
      <c r="X40" s="299">
        <v>0.64200000000000002</v>
      </c>
      <c r="Y40" s="230">
        <f>X40*PARÂMETROS!$E$31</f>
        <v>9.7263000000000002</v>
      </c>
      <c r="Z40" s="228">
        <f t="shared" si="4"/>
        <v>2.5000000000000001E-2</v>
      </c>
      <c r="AA40" s="230">
        <f>Z40*PARÂMETROS!$E$8</f>
        <v>0.7722500000000001</v>
      </c>
      <c r="AB40" s="228">
        <f t="shared" si="5"/>
        <v>1.6100000000000001E-3</v>
      </c>
      <c r="AC40" s="230">
        <f>AB40*PARÂMETROS!$E$8</f>
        <v>4.9732900000000003E-2</v>
      </c>
      <c r="AF40" s="232" t="s">
        <v>1419</v>
      </c>
      <c r="AG40" s="264">
        <f t="shared" si="6"/>
        <v>1009.9188369000001</v>
      </c>
      <c r="AH40" s="23"/>
      <c r="AI40" s="224" t="s">
        <v>222</v>
      </c>
      <c r="AJ40" s="291">
        <f>PARÂMETROS!$H$3</f>
        <v>40</v>
      </c>
      <c r="AK40" s="267">
        <v>2.1527777777777798E-2</v>
      </c>
      <c r="AL40" s="267">
        <v>2.7777777777777801E-2</v>
      </c>
      <c r="AM40" s="267">
        <v>2.7777777777777801E-2</v>
      </c>
      <c r="AN40" s="267">
        <v>6.9444444444444397E-3</v>
      </c>
      <c r="AO40" s="267">
        <v>2.0833333333333301E-2</v>
      </c>
      <c r="AP40" s="267">
        <v>6.9444444444444397E-3</v>
      </c>
      <c r="AQ40" s="267">
        <v>3.125E-2</v>
      </c>
      <c r="AR40" s="271">
        <v>1</v>
      </c>
      <c r="AS40" s="292">
        <f t="shared" si="7"/>
        <v>0.1430555555555556</v>
      </c>
      <c r="AT40" s="291">
        <f t="shared" si="8"/>
        <v>137.33333333333337</v>
      </c>
      <c r="AU40" s="272">
        <f t="shared" si="9"/>
        <v>137.33333333333337</v>
      </c>
      <c r="AV40" s="23"/>
      <c r="AW40" s="273">
        <f t="shared" si="10"/>
        <v>1009.9188369000001</v>
      </c>
      <c r="AX40" s="274">
        <f t="shared" si="11"/>
        <v>137.33333333333337</v>
      </c>
      <c r="AY40" s="275">
        <v>1</v>
      </c>
      <c r="AZ40" s="276">
        <f t="shared" si="12"/>
        <v>137.33333333333337</v>
      </c>
      <c r="BA40" s="293">
        <f t="shared" si="13"/>
        <v>1147.2521702333333</v>
      </c>
      <c r="BB40" s="180">
        <v>80</v>
      </c>
      <c r="BC40" s="180">
        <f t="shared" si="14"/>
        <v>1227.2521702333333</v>
      </c>
      <c r="BD40" s="275">
        <v>1</v>
      </c>
    </row>
    <row r="41" spans="1:56" ht="25.5" customHeight="1" x14ac:dyDescent="0.3">
      <c r="A41" s="224" t="s">
        <v>226</v>
      </c>
      <c r="B41" s="225" t="s">
        <v>1409</v>
      </c>
      <c r="C41" s="228">
        <v>18</v>
      </c>
      <c r="D41" s="263">
        <f>C41*C5</f>
        <v>352.62</v>
      </c>
      <c r="E41" s="228">
        <v>9</v>
      </c>
      <c r="F41" s="263">
        <f>E41*F5</f>
        <v>176.31</v>
      </c>
      <c r="G41" s="227">
        <f t="shared" si="0"/>
        <v>528.93000000000006</v>
      </c>
      <c r="H41" s="228">
        <v>3</v>
      </c>
      <c r="I41" s="227">
        <f>H41*PARÂMETROS!$E$22</f>
        <v>127.10999999999999</v>
      </c>
      <c r="J41" s="228">
        <v>0.19400000000000001</v>
      </c>
      <c r="K41" s="227">
        <f>J41*PARÂMETROS!$E$22</f>
        <v>8.2197800000000001</v>
      </c>
      <c r="L41" s="228">
        <v>2E-3</v>
      </c>
      <c r="M41" s="230">
        <f>L41*PARÂMETROS!$E$8</f>
        <v>6.1780000000000002E-2</v>
      </c>
      <c r="N41" s="228">
        <f t="shared" si="1"/>
        <v>0.03</v>
      </c>
      <c r="O41" s="230">
        <f>N41*PARÂMETROS!$E$8</f>
        <v>0.92669999999999997</v>
      </c>
      <c r="P41" s="228">
        <f t="shared" si="2"/>
        <v>1.9400000000000001E-2</v>
      </c>
      <c r="Q41" s="230">
        <f>P41*PARÂMETROS!$E$8</f>
        <v>0.59926600000000008</v>
      </c>
      <c r="R41" s="228">
        <f t="shared" si="3"/>
        <v>3.0000000000000001E-3</v>
      </c>
      <c r="S41" s="230">
        <f>R41*PARÂMETROS!$E$8</f>
        <v>9.2670000000000002E-2</v>
      </c>
      <c r="T41" s="231">
        <v>1.4</v>
      </c>
      <c r="U41" s="230">
        <f>T41*PARÂMETROS!$E$27</f>
        <v>4.1999999999999993</v>
      </c>
      <c r="V41" s="299">
        <v>4.3049999999999997</v>
      </c>
      <c r="W41" s="230">
        <f>V41*PARÂMETROS!$E$29</f>
        <v>772.05869999999993</v>
      </c>
      <c r="X41" s="299">
        <v>0.86099999999999999</v>
      </c>
      <c r="Y41" s="230">
        <f>X41*PARÂMETROS!$E$31</f>
        <v>13.04415</v>
      </c>
      <c r="Z41" s="228">
        <f t="shared" si="4"/>
        <v>0.03</v>
      </c>
      <c r="AA41" s="230">
        <f>Z41*PARÂMETROS!$E$8</f>
        <v>0.92669999999999997</v>
      </c>
      <c r="AB41" s="228">
        <f t="shared" si="5"/>
        <v>1.9400000000000001E-3</v>
      </c>
      <c r="AC41" s="230">
        <f>AB41*PARÂMETROS!$E$8</f>
        <v>5.9926600000000003E-2</v>
      </c>
      <c r="AD41" s="23"/>
      <c r="AE41" s="23"/>
      <c r="AF41" s="232" t="s">
        <v>1420</v>
      </c>
      <c r="AG41" s="264">
        <f t="shared" si="6"/>
        <v>1456.2296725999997</v>
      </c>
      <c r="AH41" s="23"/>
      <c r="AI41" s="224" t="s">
        <v>226</v>
      </c>
      <c r="AJ41" s="291">
        <f>PARÂMETROS!$H$3</f>
        <v>40</v>
      </c>
      <c r="AK41" s="267">
        <v>2.1527777777777798E-2</v>
      </c>
      <c r="AL41" s="267">
        <v>2.7777777777777801E-2</v>
      </c>
      <c r="AM41" s="267">
        <v>2.7777777777777801E-2</v>
      </c>
      <c r="AN41" s="267">
        <v>6.9444444444444397E-3</v>
      </c>
      <c r="AO41" s="267">
        <v>2.0833333333333301E-2</v>
      </c>
      <c r="AP41" s="267">
        <v>6.9444444444444397E-3</v>
      </c>
      <c r="AQ41" s="267">
        <v>3.125E-2</v>
      </c>
      <c r="AR41" s="271">
        <v>1</v>
      </c>
      <c r="AS41" s="292">
        <f t="shared" si="7"/>
        <v>0.1430555555555556</v>
      </c>
      <c r="AT41" s="291">
        <f t="shared" si="8"/>
        <v>137.33333333333337</v>
      </c>
      <c r="AU41" s="272">
        <f t="shared" si="9"/>
        <v>137.33333333333337</v>
      </c>
      <c r="AV41" s="23"/>
      <c r="AW41" s="273">
        <f t="shared" si="10"/>
        <v>1456.2296725999997</v>
      </c>
      <c r="AX41" s="274">
        <f t="shared" si="11"/>
        <v>137.33333333333337</v>
      </c>
      <c r="AY41" s="275">
        <v>1</v>
      </c>
      <c r="AZ41" s="276">
        <f t="shared" si="12"/>
        <v>137.33333333333337</v>
      </c>
      <c r="BA41" s="293">
        <f t="shared" si="13"/>
        <v>1593.563005933333</v>
      </c>
      <c r="BB41" s="180">
        <v>80</v>
      </c>
      <c r="BC41" s="180">
        <f t="shared" si="14"/>
        <v>1673.563005933333</v>
      </c>
      <c r="BD41" s="275">
        <v>1</v>
      </c>
    </row>
    <row r="42" spans="1:56" ht="25.5" customHeight="1" x14ac:dyDescent="0.3">
      <c r="A42" s="224" t="s">
        <v>230</v>
      </c>
      <c r="B42" s="225" t="s">
        <v>1409</v>
      </c>
      <c r="C42" s="228">
        <v>24</v>
      </c>
      <c r="D42" s="263">
        <f>C42*C5</f>
        <v>470.15999999999997</v>
      </c>
      <c r="E42" s="228">
        <v>12</v>
      </c>
      <c r="F42" s="263">
        <f>E42*F5</f>
        <v>235.07999999999998</v>
      </c>
      <c r="G42" s="227">
        <f t="shared" si="0"/>
        <v>705.24</v>
      </c>
      <c r="H42" s="228">
        <v>3.4</v>
      </c>
      <c r="I42" s="227">
        <f>H42*PARÂMETROS!$E$22</f>
        <v>144.05799999999999</v>
      </c>
      <c r="J42" s="228">
        <v>0.25</v>
      </c>
      <c r="K42" s="227">
        <f>J42*PARÂMETROS!$E$22</f>
        <v>10.592499999999999</v>
      </c>
      <c r="L42" s="228">
        <v>2E-3</v>
      </c>
      <c r="M42" s="230">
        <f>L42*PARÂMETROS!$E$8</f>
        <v>6.1780000000000002E-2</v>
      </c>
      <c r="N42" s="228">
        <f t="shared" si="1"/>
        <v>3.4000000000000002E-2</v>
      </c>
      <c r="O42" s="230">
        <f>N42*PARÂMETROS!$E$8</f>
        <v>1.0502600000000002</v>
      </c>
      <c r="P42" s="228">
        <f t="shared" si="2"/>
        <v>2.5000000000000001E-2</v>
      </c>
      <c r="Q42" s="230">
        <f>P42*PARÂMETROS!$E$8</f>
        <v>0.7722500000000001</v>
      </c>
      <c r="R42" s="228">
        <f t="shared" si="3"/>
        <v>3.4000000000000002E-3</v>
      </c>
      <c r="S42" s="230">
        <f>R42*PARÂMETROS!$E$8</f>
        <v>0.10502600000000001</v>
      </c>
      <c r="T42" s="231">
        <v>1.52</v>
      </c>
      <c r="U42" s="230">
        <f>T42*PARÂMETROS!$E$27</f>
        <v>4.5600000000000005</v>
      </c>
      <c r="V42" s="299">
        <v>5.48</v>
      </c>
      <c r="W42" s="230">
        <f>V42*PARÂMETROS!$E$29</f>
        <v>982.78320000000008</v>
      </c>
      <c r="X42" s="299">
        <v>1.0960000000000001</v>
      </c>
      <c r="Y42" s="230">
        <f>X42*PARÂMETROS!$E$31</f>
        <v>16.604400000000002</v>
      </c>
      <c r="Z42" s="228">
        <f t="shared" si="4"/>
        <v>3.4000000000000002E-2</v>
      </c>
      <c r="AA42" s="230">
        <f>Z42*PARÂMETROS!$E$8</f>
        <v>1.0502600000000002</v>
      </c>
      <c r="AB42" s="228">
        <f t="shared" si="5"/>
        <v>2.5000000000000001E-3</v>
      </c>
      <c r="AC42" s="230">
        <f>AB42*PARÂMETROS!$E$8</f>
        <v>7.7225000000000002E-2</v>
      </c>
      <c r="AF42" s="232" t="s">
        <v>1421</v>
      </c>
      <c r="AG42" s="264">
        <f t="shared" si="6"/>
        <v>1866.9549010000001</v>
      </c>
      <c r="AH42" s="23"/>
      <c r="AI42" s="224" t="s">
        <v>230</v>
      </c>
      <c r="AJ42" s="291">
        <f>PARÂMETROS!$H$3</f>
        <v>40</v>
      </c>
      <c r="AK42" s="267">
        <v>2.1527777777777798E-2</v>
      </c>
      <c r="AL42" s="267">
        <v>4.1666666666666699E-2</v>
      </c>
      <c r="AM42" s="267">
        <v>3.4722222222222203E-2</v>
      </c>
      <c r="AN42" s="267">
        <v>6.9444444444444397E-3</v>
      </c>
      <c r="AO42" s="267">
        <v>2.0833333333333301E-2</v>
      </c>
      <c r="AP42" s="267">
        <v>6.9444444444444397E-3</v>
      </c>
      <c r="AQ42" s="267">
        <v>3.125E-2</v>
      </c>
      <c r="AR42" s="271">
        <v>1</v>
      </c>
      <c r="AS42" s="292">
        <f t="shared" si="7"/>
        <v>0.16388888888888892</v>
      </c>
      <c r="AT42" s="291">
        <f t="shared" si="8"/>
        <v>157.33333333333337</v>
      </c>
      <c r="AU42" s="272">
        <f t="shared" si="9"/>
        <v>157.33333333333337</v>
      </c>
      <c r="AV42" s="23"/>
      <c r="AW42" s="273">
        <f t="shared" si="10"/>
        <v>1866.9549010000001</v>
      </c>
      <c r="AX42" s="274">
        <f t="shared" si="11"/>
        <v>157.33333333333337</v>
      </c>
      <c r="AY42" s="275">
        <v>1</v>
      </c>
      <c r="AZ42" s="276">
        <f t="shared" si="12"/>
        <v>157.33333333333337</v>
      </c>
      <c r="BA42" s="293">
        <f t="shared" si="13"/>
        <v>2024.2882343333335</v>
      </c>
      <c r="BB42" s="180">
        <v>80</v>
      </c>
      <c r="BC42" s="180">
        <f t="shared" si="14"/>
        <v>2104.2882343333335</v>
      </c>
      <c r="BD42" s="275">
        <v>1</v>
      </c>
    </row>
    <row r="43" spans="1:56" ht="25.5" customHeight="1" x14ac:dyDescent="0.3">
      <c r="A43" s="224" t="s">
        <v>234</v>
      </c>
      <c r="B43" s="225" t="s">
        <v>1409</v>
      </c>
      <c r="C43" s="228">
        <v>34</v>
      </c>
      <c r="D43" s="263">
        <f>C43*C5</f>
        <v>666.06</v>
      </c>
      <c r="E43" s="228">
        <v>17</v>
      </c>
      <c r="F43" s="263">
        <f>E43*F5</f>
        <v>333.03</v>
      </c>
      <c r="G43" s="227">
        <f t="shared" si="0"/>
        <v>999.08999999999992</v>
      </c>
      <c r="H43" s="228">
        <v>3.9</v>
      </c>
      <c r="I43" s="227">
        <f>H43*PARÂMETROS!$E$22</f>
        <v>165.24299999999999</v>
      </c>
      <c r="J43" s="228">
        <v>0.30099999999999999</v>
      </c>
      <c r="K43" s="227">
        <f>J43*PARÂMETROS!$E$22</f>
        <v>12.753369999999999</v>
      </c>
      <c r="L43" s="228">
        <v>2E-3</v>
      </c>
      <c r="M43" s="230">
        <f>L43*PARÂMETROS!$E$8</f>
        <v>6.1780000000000002E-2</v>
      </c>
      <c r="N43" s="228">
        <f t="shared" si="1"/>
        <v>3.9E-2</v>
      </c>
      <c r="O43" s="230">
        <f>N43*PARÂMETROS!$E$8</f>
        <v>1.2047099999999999</v>
      </c>
      <c r="P43" s="228">
        <f t="shared" si="2"/>
        <v>3.0100000000000002E-2</v>
      </c>
      <c r="Q43" s="230">
        <f>P43*PARÂMETROS!$E$8</f>
        <v>0.92978900000000009</v>
      </c>
      <c r="R43" s="228">
        <f t="shared" si="3"/>
        <v>3.9000000000000003E-3</v>
      </c>
      <c r="S43" s="230">
        <f>R43*PARÂMETROS!$E$8</f>
        <v>0.12047100000000001</v>
      </c>
      <c r="T43" s="231">
        <v>1.62</v>
      </c>
      <c r="U43" s="230">
        <f>T43*PARÂMETROS!$E$27</f>
        <v>4.8600000000000003</v>
      </c>
      <c r="V43" s="299">
        <v>4.2</v>
      </c>
      <c r="W43" s="230">
        <f>V43*PARÂMETROS!$E$29</f>
        <v>753.22800000000007</v>
      </c>
      <c r="X43" s="299">
        <v>0.84</v>
      </c>
      <c r="Y43" s="230">
        <f>X43*PARÂMETROS!$E$31</f>
        <v>12.725999999999999</v>
      </c>
      <c r="Z43" s="228">
        <f t="shared" si="4"/>
        <v>3.9E-2</v>
      </c>
      <c r="AA43" s="230">
        <f>Z43*PARÂMETROS!$E$8</f>
        <v>1.2047099999999999</v>
      </c>
      <c r="AB43" s="228">
        <f t="shared" si="5"/>
        <v>3.0100000000000001E-3</v>
      </c>
      <c r="AC43" s="230">
        <f>AB43*PARÂMETROS!$E$8</f>
        <v>9.2978900000000003E-2</v>
      </c>
      <c r="AD43" s="23"/>
      <c r="AE43" s="23"/>
      <c r="AF43" s="232" t="s">
        <v>1422</v>
      </c>
      <c r="AG43" s="264">
        <f t="shared" si="6"/>
        <v>1951.5148088999997</v>
      </c>
      <c r="AH43" s="23"/>
      <c r="AI43" s="224" t="s">
        <v>234</v>
      </c>
      <c r="AJ43" s="291">
        <f>PARÂMETROS!$H$3</f>
        <v>40</v>
      </c>
      <c r="AK43" s="267">
        <v>2.1527777777777798E-2</v>
      </c>
      <c r="AL43" s="267">
        <v>4.1666666666666699E-2</v>
      </c>
      <c r="AM43" s="267">
        <v>8.3333333333333301E-2</v>
      </c>
      <c r="AN43" s="267">
        <v>6.9444444444444397E-3</v>
      </c>
      <c r="AO43" s="267">
        <v>2.0833333333333301E-2</v>
      </c>
      <c r="AP43" s="267">
        <v>6.9444444444444397E-3</v>
      </c>
      <c r="AQ43" s="267">
        <v>3.125E-2</v>
      </c>
      <c r="AR43" s="271">
        <v>1</v>
      </c>
      <c r="AS43" s="292">
        <f t="shared" si="7"/>
        <v>0.21249999999999997</v>
      </c>
      <c r="AT43" s="291">
        <f t="shared" si="8"/>
        <v>203.99999999999994</v>
      </c>
      <c r="AU43" s="272">
        <f t="shared" si="9"/>
        <v>203.99999999999994</v>
      </c>
      <c r="AV43" s="23"/>
      <c r="AW43" s="273">
        <f t="shared" si="10"/>
        <v>1951.5148088999997</v>
      </c>
      <c r="AX43" s="274">
        <f t="shared" si="11"/>
        <v>203.99999999999994</v>
      </c>
      <c r="AY43" s="275">
        <v>1</v>
      </c>
      <c r="AZ43" s="276">
        <f t="shared" si="12"/>
        <v>203.99999999999994</v>
      </c>
      <c r="BA43" s="293">
        <f t="shared" si="13"/>
        <v>2155.5148088999995</v>
      </c>
      <c r="BB43" s="180">
        <v>80</v>
      </c>
      <c r="BC43" s="180">
        <f t="shared" si="14"/>
        <v>2235.5148088999995</v>
      </c>
      <c r="BD43" s="275">
        <v>1</v>
      </c>
    </row>
    <row r="44" spans="1:56" ht="25.5" customHeight="1" x14ac:dyDescent="0.3">
      <c r="A44" s="224" t="s">
        <v>238</v>
      </c>
      <c r="B44" s="225" t="s">
        <v>1409</v>
      </c>
      <c r="C44" s="228">
        <v>40</v>
      </c>
      <c r="D44" s="263">
        <f>C44*C5</f>
        <v>783.6</v>
      </c>
      <c r="E44" s="228">
        <v>20</v>
      </c>
      <c r="F44" s="263">
        <f>E44*F5</f>
        <v>391.8</v>
      </c>
      <c r="G44" s="227">
        <f t="shared" si="0"/>
        <v>1175.4000000000001</v>
      </c>
      <c r="H44" s="228">
        <v>4.5</v>
      </c>
      <c r="I44" s="227">
        <f>H44*PARÂMETROS!$E$22</f>
        <v>190.66499999999999</v>
      </c>
      <c r="J44" s="228">
        <v>0.35699999999999998</v>
      </c>
      <c r="K44" s="227">
        <f>J44*PARÂMETROS!$E$22</f>
        <v>15.126089999999998</v>
      </c>
      <c r="L44" s="228">
        <v>2E-3</v>
      </c>
      <c r="M44" s="230">
        <f>L44*PARÂMETROS!$E$8</f>
        <v>6.1780000000000002E-2</v>
      </c>
      <c r="N44" s="228">
        <f t="shared" si="1"/>
        <v>4.4999999999999998E-2</v>
      </c>
      <c r="O44" s="230">
        <f>N44*PARÂMETROS!$E$8</f>
        <v>1.39005</v>
      </c>
      <c r="P44" s="228">
        <f t="shared" si="2"/>
        <v>3.5700000000000003E-2</v>
      </c>
      <c r="Q44" s="230">
        <f>P44*PARÂMETROS!$E$8</f>
        <v>1.102773</v>
      </c>
      <c r="R44" s="228">
        <f t="shared" si="3"/>
        <v>4.4999999999999997E-3</v>
      </c>
      <c r="S44" s="230">
        <f>R44*PARÂMETROS!$E$8</f>
        <v>0.13900499999999999</v>
      </c>
      <c r="T44" s="231">
        <v>1.72</v>
      </c>
      <c r="U44" s="230">
        <f>T44*PARÂMETROS!$E$27</f>
        <v>5.16</v>
      </c>
      <c r="V44" s="299">
        <v>6.84</v>
      </c>
      <c r="W44" s="230">
        <f>V44*PARÂMETROS!$E$29</f>
        <v>1226.6856</v>
      </c>
      <c r="X44" s="299">
        <v>1.3680000000000001</v>
      </c>
      <c r="Y44" s="230">
        <f>X44*PARÂMETROS!$E$31</f>
        <v>20.725200000000001</v>
      </c>
      <c r="Z44" s="228">
        <f t="shared" si="4"/>
        <v>4.4999999999999998E-2</v>
      </c>
      <c r="AA44" s="230">
        <f>Z44*PARÂMETROS!$E$8</f>
        <v>1.39005</v>
      </c>
      <c r="AB44" s="228">
        <f t="shared" si="5"/>
        <v>3.5699999999999998E-3</v>
      </c>
      <c r="AC44" s="230">
        <f>AB44*PARÂMETROS!$E$8</f>
        <v>0.11027729999999999</v>
      </c>
      <c r="AF44" s="232" t="s">
        <v>1423</v>
      </c>
      <c r="AG44" s="264">
        <f t="shared" si="6"/>
        <v>2637.9558253</v>
      </c>
      <c r="AH44" s="23"/>
      <c r="AI44" s="224" t="s">
        <v>238</v>
      </c>
      <c r="AJ44" s="291">
        <f>PARÂMETROS!$H$3</f>
        <v>40</v>
      </c>
      <c r="AK44" s="267">
        <v>4.1666666666666699E-2</v>
      </c>
      <c r="AL44" s="267">
        <v>0.125</v>
      </c>
      <c r="AM44" s="267">
        <v>8.3333333333333301E-2</v>
      </c>
      <c r="AN44" s="267">
        <v>6.9444444444444397E-3</v>
      </c>
      <c r="AO44" s="267">
        <v>2.0833333333333301E-2</v>
      </c>
      <c r="AP44" s="267">
        <v>6.9444444444444397E-3</v>
      </c>
      <c r="AQ44" s="267">
        <v>3.125E-2</v>
      </c>
      <c r="AR44" s="271">
        <v>1</v>
      </c>
      <c r="AS44" s="292">
        <f t="shared" si="7"/>
        <v>0.31597222222222215</v>
      </c>
      <c r="AT44" s="291">
        <f t="shared" si="8"/>
        <v>303.33333333333326</v>
      </c>
      <c r="AU44" s="272">
        <f t="shared" si="9"/>
        <v>303.33333333333326</v>
      </c>
      <c r="AV44" s="23"/>
      <c r="AW44" s="273">
        <f t="shared" si="10"/>
        <v>2637.9558253</v>
      </c>
      <c r="AX44" s="274">
        <f t="shared" si="11"/>
        <v>303.33333333333326</v>
      </c>
      <c r="AY44" s="275">
        <v>1</v>
      </c>
      <c r="AZ44" s="276">
        <f t="shared" si="12"/>
        <v>303.33333333333326</v>
      </c>
      <c r="BA44" s="293">
        <f t="shared" si="13"/>
        <v>2941.2891586333335</v>
      </c>
      <c r="BB44" s="180">
        <v>80</v>
      </c>
      <c r="BC44" s="180">
        <f t="shared" si="14"/>
        <v>3021.2891586333335</v>
      </c>
      <c r="BD44" s="275">
        <v>1</v>
      </c>
    </row>
    <row r="45" spans="1:56" ht="25.5" customHeight="1" x14ac:dyDescent="0.3">
      <c r="A45" s="224" t="s">
        <v>242</v>
      </c>
      <c r="B45" s="225" t="s">
        <v>1409</v>
      </c>
      <c r="C45" s="228">
        <v>52</v>
      </c>
      <c r="D45" s="263">
        <f>C45*C5</f>
        <v>1018.68</v>
      </c>
      <c r="E45" s="228">
        <v>26</v>
      </c>
      <c r="F45" s="263">
        <f>E45*F5</f>
        <v>509.34</v>
      </c>
      <c r="G45" s="227">
        <f t="shared" si="0"/>
        <v>1528.02</v>
      </c>
      <c r="H45" s="228">
        <v>5</v>
      </c>
      <c r="I45" s="227">
        <f>H45*PARÂMETROS!$E$22</f>
        <v>211.85</v>
      </c>
      <c r="J45" s="228">
        <v>0.41799999999999998</v>
      </c>
      <c r="K45" s="227">
        <f>J45*PARÂMETROS!$E$22</f>
        <v>17.710659999999997</v>
      </c>
      <c r="L45" s="228">
        <v>2E-3</v>
      </c>
      <c r="M45" s="230">
        <f>L45*PARÂMETROS!$E$8</f>
        <v>6.1780000000000002E-2</v>
      </c>
      <c r="N45" s="228">
        <f t="shared" si="1"/>
        <v>0.05</v>
      </c>
      <c r="O45" s="230">
        <f>N45*PARÂMETROS!$E$8</f>
        <v>1.5445000000000002</v>
      </c>
      <c r="P45" s="228">
        <f t="shared" si="2"/>
        <v>4.1800000000000004E-2</v>
      </c>
      <c r="Q45" s="230">
        <f>P45*PARÂMETROS!$E$8</f>
        <v>1.2912020000000002</v>
      </c>
      <c r="R45" s="228">
        <f t="shared" si="3"/>
        <v>5.000000000000001E-3</v>
      </c>
      <c r="S45" s="230">
        <f>R45*PARÂMETROS!$E$8</f>
        <v>0.15445000000000003</v>
      </c>
      <c r="T45" s="231">
        <v>1.82</v>
      </c>
      <c r="U45" s="230">
        <f>T45*PARÂMETROS!$E$27</f>
        <v>5.46</v>
      </c>
      <c r="V45" s="299">
        <v>6.88</v>
      </c>
      <c r="W45" s="230">
        <f>V45*PARÂMETROS!$E$29</f>
        <v>1233.8592000000001</v>
      </c>
      <c r="X45" s="299">
        <v>1.766</v>
      </c>
      <c r="Y45" s="230">
        <f>X45*PARÂMETROS!$E$31</f>
        <v>26.754899999999999</v>
      </c>
      <c r="Z45" s="228">
        <f t="shared" si="4"/>
        <v>0.05</v>
      </c>
      <c r="AA45" s="230">
        <f>Z45*PARÂMETROS!$E$8</f>
        <v>1.5445000000000002</v>
      </c>
      <c r="AB45" s="228">
        <f t="shared" si="5"/>
        <v>4.1799999999999997E-3</v>
      </c>
      <c r="AC45" s="230">
        <f>AB45*PARÂMETROS!$E$8</f>
        <v>0.12912019999999999</v>
      </c>
      <c r="AD45" s="23"/>
      <c r="AE45" s="23"/>
      <c r="AF45" s="232" t="s">
        <v>1424</v>
      </c>
      <c r="AG45" s="264">
        <f t="shared" si="6"/>
        <v>3028.3803121999999</v>
      </c>
      <c r="AH45" s="23"/>
      <c r="AI45" s="224" t="s">
        <v>242</v>
      </c>
      <c r="AJ45" s="291">
        <f>PARÂMETROS!$H$3</f>
        <v>40</v>
      </c>
      <c r="AK45" s="267">
        <v>4.1666666666666699E-2</v>
      </c>
      <c r="AL45" s="267">
        <v>0.125</v>
      </c>
      <c r="AM45" s="267">
        <v>8.3333333333333301E-2</v>
      </c>
      <c r="AN45" s="267">
        <v>6.9444444444444397E-3</v>
      </c>
      <c r="AO45" s="267">
        <v>2.0833333333333301E-2</v>
      </c>
      <c r="AP45" s="267">
        <v>6.9444444444444397E-3</v>
      </c>
      <c r="AQ45" s="267">
        <v>3.125E-2</v>
      </c>
      <c r="AR45" s="271">
        <v>1</v>
      </c>
      <c r="AS45" s="292">
        <f t="shared" si="7"/>
        <v>0.31597222222222215</v>
      </c>
      <c r="AT45" s="291">
        <f t="shared" si="8"/>
        <v>303.33333333333326</v>
      </c>
      <c r="AU45" s="272">
        <f t="shared" si="9"/>
        <v>303.33333333333326</v>
      </c>
      <c r="AV45" s="23"/>
      <c r="AW45" s="273">
        <f t="shared" si="10"/>
        <v>3028.3803121999999</v>
      </c>
      <c r="AX45" s="274">
        <f t="shared" si="11"/>
        <v>303.33333333333326</v>
      </c>
      <c r="AY45" s="275">
        <v>1</v>
      </c>
      <c r="AZ45" s="276">
        <f t="shared" si="12"/>
        <v>303.33333333333326</v>
      </c>
      <c r="BA45" s="293">
        <f t="shared" si="13"/>
        <v>3331.713645533333</v>
      </c>
      <c r="BB45" s="180">
        <v>80</v>
      </c>
      <c r="BC45" s="180">
        <f t="shared" si="14"/>
        <v>3411.713645533333</v>
      </c>
      <c r="BD45" s="275">
        <v>1</v>
      </c>
    </row>
    <row r="46" spans="1:56" ht="25.5" customHeight="1" x14ac:dyDescent="0.3">
      <c r="A46" s="224" t="s">
        <v>246</v>
      </c>
      <c r="B46" s="225" t="s">
        <v>1409</v>
      </c>
      <c r="C46" s="228">
        <v>66</v>
      </c>
      <c r="D46" s="263">
        <f>C46*C5</f>
        <v>1292.94</v>
      </c>
      <c r="E46" s="228">
        <v>33</v>
      </c>
      <c r="F46" s="263">
        <f>E46*F5</f>
        <v>646.47</v>
      </c>
      <c r="G46" s="227">
        <f t="shared" si="0"/>
        <v>1939.41</v>
      </c>
      <c r="H46" s="228">
        <v>5.4</v>
      </c>
      <c r="I46" s="227">
        <f>H46*PARÂMETROS!$E$22</f>
        <v>228.798</v>
      </c>
      <c r="J46" s="228">
        <v>0.498</v>
      </c>
      <c r="K46" s="227">
        <f>J46*PARÂMETROS!$E$22</f>
        <v>21.100259999999999</v>
      </c>
      <c r="L46" s="228">
        <v>2E-3</v>
      </c>
      <c r="M46" s="230">
        <f>L46*PARÂMETROS!$E$8</f>
        <v>6.1780000000000002E-2</v>
      </c>
      <c r="N46" s="228">
        <f t="shared" si="1"/>
        <v>5.4000000000000006E-2</v>
      </c>
      <c r="O46" s="230">
        <f>N46*PARÂMETROS!$E$8</f>
        <v>1.6680600000000003</v>
      </c>
      <c r="P46" s="228">
        <f t="shared" si="2"/>
        <v>4.9800000000000004E-2</v>
      </c>
      <c r="Q46" s="230">
        <f>P46*PARÂMETROS!$E$8</f>
        <v>1.5383220000000002</v>
      </c>
      <c r="R46" s="228">
        <f t="shared" si="3"/>
        <v>5.4000000000000012E-3</v>
      </c>
      <c r="S46" s="230">
        <f>R46*PARÂMETROS!$E$8</f>
        <v>0.16680600000000004</v>
      </c>
      <c r="T46" s="231">
        <v>1.92</v>
      </c>
      <c r="U46" s="230">
        <f>T46*PARÂMETROS!$E$27</f>
        <v>5.76</v>
      </c>
      <c r="V46" s="299">
        <v>6.76</v>
      </c>
      <c r="W46" s="230">
        <f>V46*PARÂMETROS!$E$29</f>
        <v>1212.3384000000001</v>
      </c>
      <c r="X46" s="299">
        <v>1.3560000000000001</v>
      </c>
      <c r="Y46" s="230">
        <f>X46*PARÂMETROS!$E$31</f>
        <v>20.543400000000002</v>
      </c>
      <c r="Z46" s="228">
        <f t="shared" si="4"/>
        <v>5.4000000000000006E-2</v>
      </c>
      <c r="AA46" s="230">
        <f>Z46*PARÂMETROS!$E$8</f>
        <v>1.6680600000000003</v>
      </c>
      <c r="AB46" s="228">
        <f t="shared" si="5"/>
        <v>4.9800000000000001E-3</v>
      </c>
      <c r="AC46" s="230">
        <f>AB46*PARÂMETROS!$E$8</f>
        <v>0.1538322</v>
      </c>
      <c r="AF46" s="232" t="s">
        <v>1425</v>
      </c>
      <c r="AG46" s="264">
        <f t="shared" si="6"/>
        <v>3433.2069202000002</v>
      </c>
      <c r="AH46" s="23"/>
      <c r="AI46" s="224" t="s">
        <v>246</v>
      </c>
      <c r="AJ46" s="291">
        <f>PARÂMETROS!$H$3</f>
        <v>40</v>
      </c>
      <c r="AK46" s="267">
        <v>4.1666666666666699E-2</v>
      </c>
      <c r="AL46" s="267">
        <v>0.125</v>
      </c>
      <c r="AM46" s="267">
        <v>8.3333333333333301E-2</v>
      </c>
      <c r="AN46" s="267">
        <v>6.9444444444444397E-3</v>
      </c>
      <c r="AO46" s="267">
        <v>2.0833333333333301E-2</v>
      </c>
      <c r="AP46" s="267">
        <v>6.9444444444444397E-3</v>
      </c>
      <c r="AQ46" s="267">
        <v>3.125E-2</v>
      </c>
      <c r="AR46" s="271">
        <v>1</v>
      </c>
      <c r="AS46" s="292">
        <f t="shared" si="7"/>
        <v>0.31597222222222215</v>
      </c>
      <c r="AT46" s="291">
        <f t="shared" si="8"/>
        <v>303.33333333333326</v>
      </c>
      <c r="AU46" s="272">
        <f t="shared" si="9"/>
        <v>303.33333333333326</v>
      </c>
      <c r="AV46" s="23"/>
      <c r="AW46" s="273">
        <f t="shared" si="10"/>
        <v>3433.2069202000002</v>
      </c>
      <c r="AX46" s="274">
        <f t="shared" si="11"/>
        <v>303.33333333333326</v>
      </c>
      <c r="AY46" s="275">
        <v>1</v>
      </c>
      <c r="AZ46" s="276">
        <f t="shared" si="12"/>
        <v>303.33333333333326</v>
      </c>
      <c r="BA46" s="293">
        <f t="shared" si="13"/>
        <v>3736.5402535333333</v>
      </c>
      <c r="BB46" s="180">
        <v>80</v>
      </c>
      <c r="BC46" s="180">
        <f t="shared" si="14"/>
        <v>3816.5402535333333</v>
      </c>
      <c r="BD46" s="275">
        <v>1</v>
      </c>
    </row>
    <row r="47" spans="1:56" ht="25.5" customHeight="1" x14ac:dyDescent="0.3">
      <c r="A47" s="224" t="s">
        <v>250</v>
      </c>
      <c r="B47" s="225" t="s">
        <v>1409</v>
      </c>
      <c r="C47" s="228">
        <v>86</v>
      </c>
      <c r="D47" s="263">
        <f>C47*C5</f>
        <v>1684.74</v>
      </c>
      <c r="E47" s="228">
        <v>43</v>
      </c>
      <c r="F47" s="263">
        <f>E47*F5</f>
        <v>842.37</v>
      </c>
      <c r="G47" s="227">
        <f t="shared" si="0"/>
        <v>2527.11</v>
      </c>
      <c r="H47" s="228">
        <v>6</v>
      </c>
      <c r="I47" s="227">
        <f>H47*PARÂMETROS!$E$22</f>
        <v>254.21999999999997</v>
      </c>
      <c r="J47" s="228">
        <v>0.54</v>
      </c>
      <c r="K47" s="227">
        <f>J47*PARÂMETROS!$E$22</f>
        <v>22.879799999999999</v>
      </c>
      <c r="L47" s="228">
        <v>2E-3</v>
      </c>
      <c r="M47" s="230">
        <f>L47*PARÂMETROS!$E$8</f>
        <v>6.1780000000000002E-2</v>
      </c>
      <c r="N47" s="228">
        <f t="shared" si="1"/>
        <v>0.06</v>
      </c>
      <c r="O47" s="230">
        <f>N47*PARÂMETROS!$E$8</f>
        <v>1.8533999999999999</v>
      </c>
      <c r="P47" s="228">
        <f t="shared" si="2"/>
        <v>5.4000000000000006E-2</v>
      </c>
      <c r="Q47" s="230">
        <f>P47*PARÂMETROS!$E$8</f>
        <v>1.6680600000000003</v>
      </c>
      <c r="R47" s="228">
        <f t="shared" si="3"/>
        <v>6.0000000000000001E-3</v>
      </c>
      <c r="S47" s="230">
        <f>R47*PARÂMETROS!$E$8</f>
        <v>0.18534</v>
      </c>
      <c r="T47" s="231">
        <v>2</v>
      </c>
      <c r="U47" s="230">
        <f>T47*PARÂMETROS!$E$27</f>
        <v>6</v>
      </c>
      <c r="V47" s="299">
        <v>7.84</v>
      </c>
      <c r="W47" s="230">
        <f>V47*PARÂMETROS!$E$29</f>
        <v>1406.0255999999999</v>
      </c>
      <c r="X47" s="299">
        <v>1.5680000000000001</v>
      </c>
      <c r="Y47" s="230">
        <f>X47*PARÂMETROS!$E$31</f>
        <v>23.755200000000002</v>
      </c>
      <c r="Z47" s="228">
        <f t="shared" si="4"/>
        <v>0.06</v>
      </c>
      <c r="AA47" s="230">
        <f>Z47*PARÂMETROS!$E$8</f>
        <v>1.8533999999999999</v>
      </c>
      <c r="AB47" s="228">
        <f t="shared" si="5"/>
        <v>5.4000000000000003E-3</v>
      </c>
      <c r="AC47" s="230">
        <f>AB47*PARÂMETROS!$E$8</f>
        <v>0.16680600000000001</v>
      </c>
      <c r="AD47" s="23"/>
      <c r="AE47" s="23"/>
      <c r="AF47" s="232" t="s">
        <v>1426</v>
      </c>
      <c r="AG47" s="264">
        <f t="shared" si="6"/>
        <v>4245.7793859999992</v>
      </c>
      <c r="AH47" s="23"/>
      <c r="AI47" s="224" t="s">
        <v>250</v>
      </c>
      <c r="AJ47" s="291">
        <f>PARÂMETROS!$H$3</f>
        <v>40</v>
      </c>
      <c r="AK47" s="267">
        <v>4.1666666666666699E-2</v>
      </c>
      <c r="AL47" s="267">
        <v>0.125</v>
      </c>
      <c r="AM47" s="267">
        <v>8.3333333333333301E-2</v>
      </c>
      <c r="AN47" s="267">
        <v>6.9444444444444397E-3</v>
      </c>
      <c r="AO47" s="267">
        <v>2.0833333333333301E-2</v>
      </c>
      <c r="AP47" s="267">
        <v>6.9444444444444397E-3</v>
      </c>
      <c r="AQ47" s="267">
        <v>3.125E-2</v>
      </c>
      <c r="AR47" s="271">
        <v>1</v>
      </c>
      <c r="AS47" s="292">
        <f t="shared" si="7"/>
        <v>0.31597222222222215</v>
      </c>
      <c r="AT47" s="291">
        <f t="shared" si="8"/>
        <v>303.33333333333326</v>
      </c>
      <c r="AU47" s="272">
        <f t="shared" si="9"/>
        <v>303.33333333333326</v>
      </c>
      <c r="AV47" s="23"/>
      <c r="AW47" s="273">
        <f t="shared" si="10"/>
        <v>4245.7793859999992</v>
      </c>
      <c r="AX47" s="274">
        <f t="shared" si="11"/>
        <v>303.33333333333326</v>
      </c>
      <c r="AY47" s="275">
        <v>1</v>
      </c>
      <c r="AZ47" s="276">
        <f t="shared" si="12"/>
        <v>303.33333333333326</v>
      </c>
      <c r="BA47" s="293">
        <f t="shared" si="13"/>
        <v>4549.1127193333323</v>
      </c>
      <c r="BB47" s="180">
        <v>80</v>
      </c>
      <c r="BC47" s="180">
        <f t="shared" si="14"/>
        <v>4629.1127193333323</v>
      </c>
      <c r="BD47" s="275">
        <v>1</v>
      </c>
    </row>
    <row r="48" spans="1:56" ht="25.5" customHeight="1" x14ac:dyDescent="0.3">
      <c r="A48" s="224" t="s">
        <v>254</v>
      </c>
      <c r="B48" s="225" t="s">
        <v>1409</v>
      </c>
      <c r="C48" s="228">
        <v>90</v>
      </c>
      <c r="D48" s="263">
        <f>C48*C5</f>
        <v>1763.1</v>
      </c>
      <c r="E48" s="228">
        <v>45</v>
      </c>
      <c r="F48" s="263">
        <f>E48*F5</f>
        <v>881.55</v>
      </c>
      <c r="G48" s="227">
        <f t="shared" si="0"/>
        <v>2644.6499999999996</v>
      </c>
      <c r="H48" s="228">
        <v>6.4</v>
      </c>
      <c r="I48" s="227">
        <f>H48*PARÂMETROS!$E$22</f>
        <v>271.16800000000001</v>
      </c>
      <c r="J48" s="228">
        <v>0.61499999999999999</v>
      </c>
      <c r="K48" s="227">
        <f>J48*PARÂMETROS!$E$22</f>
        <v>26.057549999999999</v>
      </c>
      <c r="L48" s="228">
        <v>2E-3</v>
      </c>
      <c r="M48" s="230">
        <f>L48*PARÂMETROS!$E$8</f>
        <v>6.1780000000000002E-2</v>
      </c>
      <c r="N48" s="228">
        <f t="shared" si="1"/>
        <v>6.4000000000000001E-2</v>
      </c>
      <c r="O48" s="230">
        <f>N48*PARÂMETROS!$E$8</f>
        <v>1.9769600000000001</v>
      </c>
      <c r="P48" s="228">
        <f t="shared" si="2"/>
        <v>6.1499999999999999E-2</v>
      </c>
      <c r="Q48" s="230">
        <f>P48*PARÂMETROS!$E$8</f>
        <v>1.899735</v>
      </c>
      <c r="R48" s="228">
        <f t="shared" si="3"/>
        <v>6.4000000000000003E-3</v>
      </c>
      <c r="S48" s="230">
        <f>R48*PARÂMETROS!$E$8</f>
        <v>0.19769600000000001</v>
      </c>
      <c r="T48" s="231">
        <v>2.1</v>
      </c>
      <c r="U48" s="230">
        <f>T48*PARÂMETROS!$E$27</f>
        <v>6.3000000000000007</v>
      </c>
      <c r="V48" s="299">
        <v>9.48</v>
      </c>
      <c r="W48" s="230">
        <f>V48*PARÂMETROS!$E$29</f>
        <v>1700.1432000000002</v>
      </c>
      <c r="X48" s="299">
        <v>1.9279999999999999</v>
      </c>
      <c r="Y48" s="230">
        <f>X48*PARÂMETROS!$E$31</f>
        <v>29.209199999999999</v>
      </c>
      <c r="Z48" s="228">
        <f t="shared" si="4"/>
        <v>6.4000000000000001E-2</v>
      </c>
      <c r="AA48" s="230">
        <f>Z48*PARÂMETROS!$E$8</f>
        <v>1.9769600000000001</v>
      </c>
      <c r="AB48" s="228">
        <f t="shared" si="5"/>
        <v>6.1500000000000001E-3</v>
      </c>
      <c r="AC48" s="230">
        <f>AB48*PARÂMETROS!$E$8</f>
        <v>0.18997350000000002</v>
      </c>
      <c r="AF48" s="232" t="s">
        <v>1427</v>
      </c>
      <c r="AG48" s="264">
        <f t="shared" si="6"/>
        <v>4683.8310544999995</v>
      </c>
      <c r="AH48" s="23"/>
      <c r="AI48" s="224" t="s">
        <v>254</v>
      </c>
      <c r="AJ48" s="291">
        <f>PARÂMETROS!$H$3</f>
        <v>40</v>
      </c>
      <c r="AK48" s="267">
        <v>4.1666666666666699E-2</v>
      </c>
      <c r="AL48" s="267">
        <v>0.125</v>
      </c>
      <c r="AM48" s="267">
        <v>8.3333333333333301E-2</v>
      </c>
      <c r="AN48" s="267">
        <v>6.9444444444444397E-3</v>
      </c>
      <c r="AO48" s="267">
        <v>2.0833333333333301E-2</v>
      </c>
      <c r="AP48" s="267">
        <v>6.9444444444444397E-3</v>
      </c>
      <c r="AQ48" s="267">
        <v>3.125E-2</v>
      </c>
      <c r="AR48" s="271">
        <v>1</v>
      </c>
      <c r="AS48" s="292">
        <f t="shared" si="7"/>
        <v>0.31597222222222215</v>
      </c>
      <c r="AT48" s="291">
        <f t="shared" si="8"/>
        <v>303.33333333333326</v>
      </c>
      <c r="AU48" s="272">
        <f t="shared" si="9"/>
        <v>303.33333333333326</v>
      </c>
      <c r="AV48" s="23"/>
      <c r="AW48" s="273">
        <f t="shared" si="10"/>
        <v>4683.8310544999995</v>
      </c>
      <c r="AX48" s="274">
        <f t="shared" si="11"/>
        <v>303.33333333333326</v>
      </c>
      <c r="AY48" s="275">
        <v>1</v>
      </c>
      <c r="AZ48" s="276">
        <f t="shared" si="12"/>
        <v>303.33333333333326</v>
      </c>
      <c r="BA48" s="293">
        <f t="shared" si="13"/>
        <v>4987.1643878333325</v>
      </c>
      <c r="BB48" s="180">
        <v>80</v>
      </c>
      <c r="BC48" s="180">
        <f t="shared" si="14"/>
        <v>5067.1643878333325</v>
      </c>
      <c r="BD48" s="275">
        <v>1</v>
      </c>
    </row>
    <row r="49" spans="1:74" ht="25.5" customHeight="1" x14ac:dyDescent="0.3">
      <c r="A49" s="224" t="s">
        <v>258</v>
      </c>
      <c r="B49" s="225" t="s">
        <v>1409</v>
      </c>
      <c r="C49" s="228">
        <v>115</v>
      </c>
      <c r="D49" s="263">
        <f>C49*C5</f>
        <v>2252.85</v>
      </c>
      <c r="E49" s="228">
        <v>57</v>
      </c>
      <c r="F49" s="263">
        <f>E49*F5</f>
        <v>1116.6299999999999</v>
      </c>
      <c r="G49" s="227">
        <f t="shared" si="0"/>
        <v>3369.4799999999996</v>
      </c>
      <c r="H49" s="228">
        <v>7.7</v>
      </c>
      <c r="I49" s="227">
        <f>H49*PARÂMETROS!$E$22</f>
        <v>326.24899999999997</v>
      </c>
      <c r="J49" s="228">
        <v>0.71</v>
      </c>
      <c r="K49" s="227">
        <f>J49*PARÂMETROS!$E$22</f>
        <v>30.082699999999996</v>
      </c>
      <c r="L49" s="228">
        <v>2E-3</v>
      </c>
      <c r="M49" s="230">
        <f>L49*PARÂMETROS!$E$8</f>
        <v>6.1780000000000002E-2</v>
      </c>
      <c r="N49" s="228">
        <f t="shared" si="1"/>
        <v>7.6999999999999999E-2</v>
      </c>
      <c r="O49" s="230">
        <f>N49*PARÂMETROS!$E$8</f>
        <v>2.37853</v>
      </c>
      <c r="P49" s="228">
        <f t="shared" si="2"/>
        <v>7.0999999999999994E-2</v>
      </c>
      <c r="Q49" s="230">
        <f>P49*PARÂMETROS!$E$8</f>
        <v>2.19319</v>
      </c>
      <c r="R49" s="228">
        <f t="shared" si="3"/>
        <v>7.7000000000000002E-3</v>
      </c>
      <c r="S49" s="230">
        <f>R49*PARÂMETROS!$E$8</f>
        <v>0.23785300000000001</v>
      </c>
      <c r="T49" s="231">
        <v>2.2000000000000002</v>
      </c>
      <c r="U49" s="230">
        <f>T49*PARÂMETROS!$E$27</f>
        <v>6.6000000000000005</v>
      </c>
      <c r="V49" s="299">
        <v>9.64</v>
      </c>
      <c r="W49" s="230">
        <f>V49*PARÂMETROS!$E$29</f>
        <v>1728.8376000000001</v>
      </c>
      <c r="X49" s="299">
        <v>1.88</v>
      </c>
      <c r="Y49" s="230">
        <f>X49*PARÂMETROS!$E$31</f>
        <v>28.481999999999999</v>
      </c>
      <c r="Z49" s="228">
        <f t="shared" si="4"/>
        <v>7.6999999999999999E-2</v>
      </c>
      <c r="AA49" s="230">
        <f>Z49*PARÂMETROS!$E$8</f>
        <v>2.37853</v>
      </c>
      <c r="AB49" s="228">
        <f t="shared" si="5"/>
        <v>7.0999999999999995E-3</v>
      </c>
      <c r="AC49" s="230">
        <f>AB49*PARÂMETROS!$E$8</f>
        <v>0.21931899999999999</v>
      </c>
      <c r="AD49" s="23"/>
      <c r="AE49" s="23"/>
      <c r="AF49" s="232" t="s">
        <v>1428</v>
      </c>
      <c r="AG49" s="264">
        <f t="shared" si="6"/>
        <v>5497.2005019999997</v>
      </c>
      <c r="AH49" s="23"/>
      <c r="AI49" s="224" t="s">
        <v>258</v>
      </c>
      <c r="AJ49" s="291">
        <f>PARÂMETROS!$H$3</f>
        <v>40</v>
      </c>
      <c r="AK49" s="267">
        <v>4.1666666666666699E-2</v>
      </c>
      <c r="AL49" s="267">
        <v>0.13888888888888901</v>
      </c>
      <c r="AM49" s="267">
        <v>0.11111111111111099</v>
      </c>
      <c r="AN49" s="267">
        <v>6.9444444444444397E-3</v>
      </c>
      <c r="AO49" s="267">
        <v>2.0833333333333301E-2</v>
      </c>
      <c r="AP49" s="267">
        <v>6.9444444444444397E-3</v>
      </c>
      <c r="AQ49" s="267">
        <v>3.125E-2</v>
      </c>
      <c r="AR49" s="271">
        <v>1</v>
      </c>
      <c r="AS49" s="292">
        <f t="shared" si="7"/>
        <v>0.3576388888888889</v>
      </c>
      <c r="AT49" s="291">
        <f t="shared" si="8"/>
        <v>343.33333333333331</v>
      </c>
      <c r="AU49" s="272">
        <f t="shared" si="9"/>
        <v>343.33333333333331</v>
      </c>
      <c r="AV49" s="23"/>
      <c r="AW49" s="273">
        <f t="shared" si="10"/>
        <v>5497.2005019999997</v>
      </c>
      <c r="AX49" s="274">
        <f t="shared" si="11"/>
        <v>343.33333333333331</v>
      </c>
      <c r="AY49" s="275">
        <v>1</v>
      </c>
      <c r="AZ49" s="276">
        <f t="shared" si="12"/>
        <v>343.33333333333331</v>
      </c>
      <c r="BA49" s="293">
        <f t="shared" si="13"/>
        <v>5840.5338353333327</v>
      </c>
      <c r="BB49" s="180">
        <v>80</v>
      </c>
      <c r="BC49" s="180">
        <f t="shared" si="14"/>
        <v>5920.5338353333327</v>
      </c>
      <c r="BD49" s="275">
        <v>1</v>
      </c>
    </row>
    <row r="50" spans="1:74" ht="25.5" customHeight="1" x14ac:dyDescent="0.3">
      <c r="A50" s="224" t="s">
        <v>262</v>
      </c>
      <c r="B50" s="225" t="s">
        <v>1409</v>
      </c>
      <c r="C50" s="228">
        <v>140</v>
      </c>
      <c r="D50" s="263">
        <f>C50*C5</f>
        <v>2742.6</v>
      </c>
      <c r="E50" s="228">
        <v>70</v>
      </c>
      <c r="F50" s="263">
        <f>E50*F5</f>
        <v>1371.3</v>
      </c>
      <c r="G50" s="227">
        <f t="shared" si="0"/>
        <v>4113.8999999999996</v>
      </c>
      <c r="H50" s="228">
        <v>8.4</v>
      </c>
      <c r="I50" s="227">
        <f>H50*PARÂMETROS!$E$22</f>
        <v>355.90800000000002</v>
      </c>
      <c r="J50" s="228">
        <v>0.79500000000000004</v>
      </c>
      <c r="K50" s="227">
        <f>J50*PARÂMETROS!$E$22</f>
        <v>33.684150000000002</v>
      </c>
      <c r="L50" s="228">
        <v>2E-3</v>
      </c>
      <c r="M50" s="230">
        <f>L50*PARÂMETROS!$E$8</f>
        <v>6.1780000000000002E-2</v>
      </c>
      <c r="N50" s="228">
        <f t="shared" si="1"/>
        <v>8.4000000000000005E-2</v>
      </c>
      <c r="O50" s="230">
        <f>N50*PARÂMETROS!$E$8</f>
        <v>2.5947600000000004</v>
      </c>
      <c r="P50" s="228">
        <f t="shared" si="2"/>
        <v>7.9500000000000015E-2</v>
      </c>
      <c r="Q50" s="230">
        <f>P50*PARÂMETROS!$E$8</f>
        <v>2.4557550000000004</v>
      </c>
      <c r="R50" s="228">
        <f t="shared" si="3"/>
        <v>8.4000000000000012E-3</v>
      </c>
      <c r="S50" s="230">
        <f>R50*PARÂMETROS!$E$8</f>
        <v>0.25947600000000004</v>
      </c>
      <c r="T50" s="231">
        <v>2.2999999999999998</v>
      </c>
      <c r="U50" s="230">
        <f>T50*PARÂMETROS!$E$27</f>
        <v>6.8999999999999995</v>
      </c>
      <c r="V50" s="299">
        <v>9.4</v>
      </c>
      <c r="W50" s="230">
        <f>V50*PARÂMETROS!$E$29</f>
        <v>1685.796</v>
      </c>
      <c r="X50" s="299">
        <v>1.8560000000000001</v>
      </c>
      <c r="Y50" s="230">
        <f>X50*PARÂMETROS!$E$31</f>
        <v>28.118400000000001</v>
      </c>
      <c r="Z50" s="228">
        <f t="shared" si="4"/>
        <v>8.4000000000000005E-2</v>
      </c>
      <c r="AA50" s="230">
        <f>Z50*PARÂMETROS!$E$8</f>
        <v>2.5947600000000004</v>
      </c>
      <c r="AB50" s="228">
        <f t="shared" si="5"/>
        <v>7.9500000000000005E-3</v>
      </c>
      <c r="AC50" s="230">
        <f>AB50*PARÂMETROS!$E$8</f>
        <v>0.24557550000000003</v>
      </c>
      <c r="AF50" s="232" t="s">
        <v>1429</v>
      </c>
      <c r="AG50" s="264">
        <f t="shared" si="6"/>
        <v>6232.5186565000004</v>
      </c>
      <c r="AH50" s="23"/>
      <c r="AI50" s="224" t="s">
        <v>262</v>
      </c>
      <c r="AJ50" s="291">
        <f>PARÂMETROS!$H$3</f>
        <v>40</v>
      </c>
      <c r="AK50" s="267">
        <v>4.1666666666666699E-2</v>
      </c>
      <c r="AL50" s="267">
        <v>0.13888888888888901</v>
      </c>
      <c r="AM50" s="267">
        <v>0.11111111111111099</v>
      </c>
      <c r="AN50" s="267">
        <v>6.9444444444444397E-3</v>
      </c>
      <c r="AO50" s="267">
        <v>2.0833333333333301E-2</v>
      </c>
      <c r="AP50" s="267">
        <v>6.9444444444444397E-3</v>
      </c>
      <c r="AQ50" s="267">
        <v>3.125E-2</v>
      </c>
      <c r="AR50" s="271">
        <v>1</v>
      </c>
      <c r="AS50" s="292">
        <f t="shared" si="7"/>
        <v>0.3576388888888889</v>
      </c>
      <c r="AT50" s="291">
        <f t="shared" si="8"/>
        <v>343.33333333333331</v>
      </c>
      <c r="AU50" s="272">
        <f t="shared" si="9"/>
        <v>343.33333333333331</v>
      </c>
      <c r="AV50" s="23"/>
      <c r="AW50" s="273">
        <f t="shared" si="10"/>
        <v>6232.5186565000004</v>
      </c>
      <c r="AX50" s="274">
        <f t="shared" si="11"/>
        <v>343.33333333333331</v>
      </c>
      <c r="AY50" s="275">
        <v>1</v>
      </c>
      <c r="AZ50" s="276">
        <f t="shared" si="12"/>
        <v>343.33333333333331</v>
      </c>
      <c r="BA50" s="293">
        <f t="shared" si="13"/>
        <v>6575.8519898333334</v>
      </c>
      <c r="BB50" s="180">
        <v>80</v>
      </c>
      <c r="BC50" s="180">
        <f t="shared" si="14"/>
        <v>6655.8519898333334</v>
      </c>
      <c r="BD50" s="275">
        <v>1</v>
      </c>
    </row>
    <row r="51" spans="1:74" ht="25.5" customHeight="1" x14ac:dyDescent="0.3">
      <c r="A51" s="224" t="s">
        <v>266</v>
      </c>
      <c r="B51" s="225" t="s">
        <v>1409</v>
      </c>
      <c r="C51" s="228">
        <v>170</v>
      </c>
      <c r="D51" s="263">
        <f>C51*C5</f>
        <v>3330.3</v>
      </c>
      <c r="E51" s="228">
        <v>85</v>
      </c>
      <c r="F51" s="263">
        <f>E51*F5</f>
        <v>1665.15</v>
      </c>
      <c r="G51" s="227">
        <f t="shared" si="0"/>
        <v>4995.4500000000007</v>
      </c>
      <c r="H51" s="228">
        <v>9</v>
      </c>
      <c r="I51" s="227">
        <f>H51*PARÂMETROS!$E$22</f>
        <v>381.33</v>
      </c>
      <c r="J51" s="228">
        <v>0.88500000000000001</v>
      </c>
      <c r="K51" s="227">
        <f>J51*PARÂMETROS!$E$22</f>
        <v>37.497450000000001</v>
      </c>
      <c r="L51" s="228">
        <v>2E-3</v>
      </c>
      <c r="M51" s="230">
        <f>L51*PARÂMETROS!$E$8</f>
        <v>6.1780000000000002E-2</v>
      </c>
      <c r="N51" s="228">
        <f t="shared" si="1"/>
        <v>0.09</v>
      </c>
      <c r="O51" s="230">
        <f>N51*PARÂMETROS!$E$8</f>
        <v>2.7801</v>
      </c>
      <c r="P51" s="228">
        <f t="shared" si="2"/>
        <v>8.8500000000000009E-2</v>
      </c>
      <c r="Q51" s="230">
        <f>P51*PARÂMETROS!$E$8</f>
        <v>2.7337650000000004</v>
      </c>
      <c r="R51" s="228">
        <f t="shared" si="3"/>
        <v>8.9999999999999993E-3</v>
      </c>
      <c r="S51" s="230">
        <f>R51*PARÂMETROS!$E$8</f>
        <v>0.27800999999999998</v>
      </c>
      <c r="T51" s="231">
        <v>2.4</v>
      </c>
      <c r="U51" s="230">
        <f>T51*PARÂMETROS!$E$27</f>
        <v>7.1999999999999993</v>
      </c>
      <c r="V51" s="299">
        <v>9.2799999999999994</v>
      </c>
      <c r="W51" s="230">
        <f>V51*PARÂMETROS!$E$29</f>
        <v>1664.2751999999998</v>
      </c>
      <c r="X51" s="299">
        <v>2.008</v>
      </c>
      <c r="Y51" s="230">
        <f>X51*PARÂMETROS!$E$31</f>
        <v>30.421200000000002</v>
      </c>
      <c r="Z51" s="228">
        <f t="shared" si="4"/>
        <v>0.09</v>
      </c>
      <c r="AA51" s="230">
        <f>Z51*PARÂMETROS!$E$8</f>
        <v>2.7801</v>
      </c>
      <c r="AB51" s="228">
        <f t="shared" si="5"/>
        <v>8.8500000000000002E-3</v>
      </c>
      <c r="AC51" s="230">
        <f>AB51*PARÂMETROS!$E$8</f>
        <v>0.27337650000000002</v>
      </c>
      <c r="AD51" s="23"/>
      <c r="AE51" s="23"/>
      <c r="AF51" s="232" t="s">
        <v>1430</v>
      </c>
      <c r="AG51" s="264">
        <f t="shared" si="6"/>
        <v>7125.0809815000011</v>
      </c>
      <c r="AH51" s="23"/>
      <c r="AI51" s="224" t="s">
        <v>266</v>
      </c>
      <c r="AJ51" s="291">
        <f>PARÂMETROS!$H$3</f>
        <v>40</v>
      </c>
      <c r="AK51" s="267">
        <v>8.3333333333333301E-2</v>
      </c>
      <c r="AL51" s="267">
        <v>0.13888888888888901</v>
      </c>
      <c r="AM51" s="267">
        <v>0.11111111111111099</v>
      </c>
      <c r="AN51" s="267">
        <v>6.9444444444444397E-3</v>
      </c>
      <c r="AO51" s="267">
        <v>2.0833333333333301E-2</v>
      </c>
      <c r="AP51" s="267">
        <v>6.9444444444444397E-3</v>
      </c>
      <c r="AQ51" s="267">
        <v>3.125E-2</v>
      </c>
      <c r="AR51" s="271">
        <v>1</v>
      </c>
      <c r="AS51" s="292">
        <f t="shared" si="7"/>
        <v>0.39930555555555552</v>
      </c>
      <c r="AT51" s="291">
        <f t="shared" si="8"/>
        <v>383.33333333333331</v>
      </c>
      <c r="AU51" s="272">
        <f t="shared" si="9"/>
        <v>383.33333333333331</v>
      </c>
      <c r="AV51" s="23"/>
      <c r="AW51" s="273">
        <f t="shared" si="10"/>
        <v>7125.0809815000011</v>
      </c>
      <c r="AX51" s="274">
        <f t="shared" si="11"/>
        <v>383.33333333333331</v>
      </c>
      <c r="AY51" s="275">
        <v>1</v>
      </c>
      <c r="AZ51" s="276">
        <f t="shared" si="12"/>
        <v>383.33333333333331</v>
      </c>
      <c r="BA51" s="293">
        <f t="shared" si="13"/>
        <v>7508.4143148333342</v>
      </c>
      <c r="BB51" s="180">
        <v>80</v>
      </c>
      <c r="BC51" s="180">
        <f t="shared" si="14"/>
        <v>7588.4143148333342</v>
      </c>
      <c r="BD51" s="275">
        <v>1</v>
      </c>
    </row>
    <row r="52" spans="1:74" ht="25.5" customHeight="1" x14ac:dyDescent="0.3">
      <c r="A52" s="224" t="s">
        <v>270</v>
      </c>
      <c r="B52" s="225" t="s">
        <v>1409</v>
      </c>
      <c r="C52" s="228">
        <v>180</v>
      </c>
      <c r="D52" s="263">
        <f>C52*C5</f>
        <v>3526.2</v>
      </c>
      <c r="E52" s="228">
        <v>90</v>
      </c>
      <c r="F52" s="263">
        <f>E52*F5</f>
        <v>1763.1</v>
      </c>
      <c r="G52" s="227">
        <f t="shared" si="0"/>
        <v>5289.2999999999993</v>
      </c>
      <c r="H52" s="228">
        <v>9.6999999999999993</v>
      </c>
      <c r="I52" s="227">
        <f>H52*PARÂMETROS!$E$22</f>
        <v>410.98899999999992</v>
      </c>
      <c r="J52" s="228">
        <v>0.96</v>
      </c>
      <c r="K52" s="227">
        <f>J52*PARÂMETROS!$E$22</f>
        <v>40.675199999999997</v>
      </c>
      <c r="L52" s="228">
        <v>2E-3</v>
      </c>
      <c r="M52" s="230">
        <f>L52*PARÂMETROS!$E$8</f>
        <v>6.1780000000000002E-2</v>
      </c>
      <c r="N52" s="228">
        <f t="shared" si="1"/>
        <v>9.6999999999999989E-2</v>
      </c>
      <c r="O52" s="230">
        <f>N52*PARÂMETROS!$E$8</f>
        <v>2.9963299999999995</v>
      </c>
      <c r="P52" s="228">
        <f t="shared" si="2"/>
        <v>9.6000000000000002E-2</v>
      </c>
      <c r="Q52" s="230">
        <f>P52*PARÂMETROS!$E$8</f>
        <v>2.9654400000000001</v>
      </c>
      <c r="R52" s="228">
        <f t="shared" si="3"/>
        <v>9.7000000000000003E-3</v>
      </c>
      <c r="S52" s="230">
        <f>R52*PARÂMETROS!$E$8</f>
        <v>0.29963300000000004</v>
      </c>
      <c r="T52" s="231">
        <v>2.5</v>
      </c>
      <c r="U52" s="230">
        <f>T52*PARÂMETROS!$E$27</f>
        <v>7.5</v>
      </c>
      <c r="V52" s="299">
        <v>10.039999999999999</v>
      </c>
      <c r="W52" s="230">
        <f>V52*PARÂMETROS!$E$29</f>
        <v>1800.5735999999999</v>
      </c>
      <c r="X52" s="299">
        <v>2.1680000000000001</v>
      </c>
      <c r="Y52" s="230">
        <f>X52*PARÂMETROS!$E$31</f>
        <v>32.845200000000006</v>
      </c>
      <c r="Z52" s="228">
        <f t="shared" si="4"/>
        <v>9.6999999999999989E-2</v>
      </c>
      <c r="AA52" s="230">
        <f>Z52*PARÂMETROS!$E$8</f>
        <v>2.9963299999999995</v>
      </c>
      <c r="AB52" s="228">
        <f t="shared" si="5"/>
        <v>9.5999999999999992E-3</v>
      </c>
      <c r="AC52" s="230">
        <f>AB52*PARÂMETROS!$E$8</f>
        <v>0.29654399999999997</v>
      </c>
      <c r="AF52" s="232" t="s">
        <v>1431</v>
      </c>
      <c r="AG52" s="264">
        <f t="shared" si="6"/>
        <v>7591.4990569999982</v>
      </c>
      <c r="AH52" s="23"/>
      <c r="AI52" s="224" t="s">
        <v>270</v>
      </c>
      <c r="AJ52" s="291">
        <f>PARÂMETROS!$H$3</f>
        <v>40</v>
      </c>
      <c r="AK52" s="267">
        <v>8.3333333333333301E-2</v>
      </c>
      <c r="AL52" s="267">
        <v>0.15277777777777801</v>
      </c>
      <c r="AM52" s="267">
        <v>0.11111111111111099</v>
      </c>
      <c r="AN52" s="267">
        <v>6.9444444444444397E-3</v>
      </c>
      <c r="AO52" s="267">
        <v>2.0833333333333301E-2</v>
      </c>
      <c r="AP52" s="267">
        <v>6.9444444444444397E-3</v>
      </c>
      <c r="AQ52" s="267">
        <v>3.125E-2</v>
      </c>
      <c r="AR52" s="271">
        <v>1</v>
      </c>
      <c r="AS52" s="292">
        <f t="shared" si="7"/>
        <v>0.41319444444444448</v>
      </c>
      <c r="AT52" s="291">
        <f t="shared" si="8"/>
        <v>396.66666666666669</v>
      </c>
      <c r="AU52" s="272">
        <f t="shared" si="9"/>
        <v>396.66666666666669</v>
      </c>
      <c r="AV52" s="23"/>
      <c r="AW52" s="273">
        <f t="shared" si="10"/>
        <v>7591.4990569999982</v>
      </c>
      <c r="AX52" s="274">
        <f t="shared" si="11"/>
        <v>396.66666666666669</v>
      </c>
      <c r="AY52" s="275">
        <v>1</v>
      </c>
      <c r="AZ52" s="276">
        <f t="shared" si="12"/>
        <v>396.66666666666669</v>
      </c>
      <c r="BA52" s="293">
        <f t="shared" si="13"/>
        <v>7988.1657236666651</v>
      </c>
      <c r="BB52" s="180">
        <v>80</v>
      </c>
      <c r="BC52" s="180">
        <f t="shared" si="14"/>
        <v>8068.1657236666651</v>
      </c>
      <c r="BD52" s="275">
        <v>1</v>
      </c>
    </row>
    <row r="53" spans="1:74" ht="25.5" customHeight="1" x14ac:dyDescent="0.3">
      <c r="A53" s="224" t="s">
        <v>274</v>
      </c>
      <c r="B53" s="225" t="s">
        <v>1409</v>
      </c>
      <c r="C53" s="228">
        <v>200</v>
      </c>
      <c r="D53" s="263">
        <f>C53*C5</f>
        <v>3918</v>
      </c>
      <c r="E53" s="228">
        <v>100</v>
      </c>
      <c r="F53" s="263">
        <f>E53*F5</f>
        <v>1959</v>
      </c>
      <c r="G53" s="227">
        <f t="shared" si="0"/>
        <v>5877</v>
      </c>
      <c r="H53" s="228">
        <v>10.4</v>
      </c>
      <c r="I53" s="227">
        <f>H53*PARÂMETROS!$E$22</f>
        <v>440.64799999999997</v>
      </c>
      <c r="J53" s="228">
        <v>1.079</v>
      </c>
      <c r="K53" s="227">
        <f>J53*PARÂMETROS!$E$22</f>
        <v>45.717229999999994</v>
      </c>
      <c r="L53" s="228">
        <v>2E-3</v>
      </c>
      <c r="M53" s="230">
        <f>L53*PARÂMETROS!$E$8</f>
        <v>6.1780000000000002E-2</v>
      </c>
      <c r="N53" s="228">
        <f t="shared" si="1"/>
        <v>0.10400000000000001</v>
      </c>
      <c r="O53" s="230">
        <f>N53*PARÂMETROS!$E$8</f>
        <v>3.2125600000000003</v>
      </c>
      <c r="P53" s="228">
        <f t="shared" si="2"/>
        <v>0.1079</v>
      </c>
      <c r="Q53" s="230">
        <f>P53*PARÂMETROS!$E$8</f>
        <v>3.3330310000000001</v>
      </c>
      <c r="R53" s="228">
        <f t="shared" si="3"/>
        <v>1.0400000000000001E-2</v>
      </c>
      <c r="S53" s="230">
        <f>R53*PARÂMETROS!$E$8</f>
        <v>0.32125600000000004</v>
      </c>
      <c r="T53" s="231">
        <v>2.6</v>
      </c>
      <c r="U53" s="230">
        <f>T53*PARÂMETROS!$E$27</f>
        <v>7.8000000000000007</v>
      </c>
      <c r="V53" s="299">
        <v>10.84</v>
      </c>
      <c r="W53" s="230">
        <f>V53*PARÂMETROS!$E$29</f>
        <v>1944.0455999999999</v>
      </c>
      <c r="X53" s="299">
        <v>2.488</v>
      </c>
      <c r="Y53" s="230">
        <f>X53*PARÂMETROS!$E$31</f>
        <v>37.693199999999997</v>
      </c>
      <c r="Z53" s="228">
        <f t="shared" si="4"/>
        <v>0.10400000000000001</v>
      </c>
      <c r="AA53" s="230">
        <f>Z53*PARÂMETROS!$E$8</f>
        <v>3.2125600000000003</v>
      </c>
      <c r="AB53" s="228">
        <f t="shared" si="5"/>
        <v>1.0789999999999999E-2</v>
      </c>
      <c r="AC53" s="230">
        <f>AB53*PARÂMETROS!$E$8</f>
        <v>0.33330309999999996</v>
      </c>
      <c r="AD53" s="23"/>
      <c r="AE53" s="23"/>
      <c r="AF53" s="232" t="s">
        <v>1432</v>
      </c>
      <c r="AG53" s="264">
        <f t="shared" si="6"/>
        <v>8363.3785200999992</v>
      </c>
      <c r="AH53" s="23"/>
      <c r="AI53" s="224" t="s">
        <v>274</v>
      </c>
      <c r="AJ53" s="291">
        <f>PARÂMETROS!$H$3</f>
        <v>40</v>
      </c>
      <c r="AK53" s="267">
        <v>8.3333333333333301E-2</v>
      </c>
      <c r="AL53" s="267">
        <v>0.15277777777777801</v>
      </c>
      <c r="AM53" s="267">
        <v>0.11111111111111099</v>
      </c>
      <c r="AN53" s="267">
        <v>6.9444444444444397E-3</v>
      </c>
      <c r="AO53" s="267">
        <v>2.0833333333333301E-2</v>
      </c>
      <c r="AP53" s="267">
        <v>6.9444444444444397E-3</v>
      </c>
      <c r="AQ53" s="267">
        <v>3.125E-2</v>
      </c>
      <c r="AR53" s="271">
        <v>1</v>
      </c>
      <c r="AS53" s="292">
        <f t="shared" si="7"/>
        <v>0.41319444444444448</v>
      </c>
      <c r="AT53" s="291">
        <f t="shared" si="8"/>
        <v>396.66666666666669</v>
      </c>
      <c r="AU53" s="272">
        <f t="shared" si="9"/>
        <v>396.66666666666669</v>
      </c>
      <c r="AV53" s="23"/>
      <c r="AW53" s="273">
        <f t="shared" si="10"/>
        <v>8363.3785200999992</v>
      </c>
      <c r="AX53" s="274">
        <f t="shared" si="11"/>
        <v>396.66666666666669</v>
      </c>
      <c r="AY53" s="275">
        <v>1</v>
      </c>
      <c r="AZ53" s="276">
        <f t="shared" si="12"/>
        <v>396.66666666666669</v>
      </c>
      <c r="BA53" s="293">
        <f t="shared" si="13"/>
        <v>8760.0451867666652</v>
      </c>
      <c r="BB53" s="180">
        <v>80</v>
      </c>
      <c r="BC53" s="180">
        <f t="shared" si="14"/>
        <v>8840.0451867666652</v>
      </c>
      <c r="BD53" s="275">
        <v>1</v>
      </c>
    </row>
    <row r="54" spans="1:74" ht="25.5" customHeight="1" x14ac:dyDescent="0.3">
      <c r="A54" s="224" t="s">
        <v>278</v>
      </c>
      <c r="B54" s="225" t="s">
        <v>1409</v>
      </c>
      <c r="C54" s="228">
        <v>235</v>
      </c>
      <c r="D54" s="263">
        <f>C54*C5</f>
        <v>4603.6499999999996</v>
      </c>
      <c r="E54" s="228">
        <v>117.5</v>
      </c>
      <c r="F54" s="263">
        <f>E54*F5</f>
        <v>2301.8249999999998</v>
      </c>
      <c r="G54" s="227">
        <f t="shared" si="0"/>
        <v>6905.4749999999995</v>
      </c>
      <c r="H54" s="228">
        <v>11.7</v>
      </c>
      <c r="I54" s="227">
        <f>H54*PARÂMETROS!$E$22</f>
        <v>495.72899999999993</v>
      </c>
      <c r="J54" s="228">
        <v>1.1599999999999999</v>
      </c>
      <c r="K54" s="227">
        <f>J54*PARÂMETROS!$E$22</f>
        <v>49.149199999999993</v>
      </c>
      <c r="L54" s="228">
        <v>2E-3</v>
      </c>
      <c r="M54" s="230">
        <f>L54*PARÂMETROS!$E$8</f>
        <v>6.1780000000000002E-2</v>
      </c>
      <c r="N54" s="228">
        <f t="shared" si="1"/>
        <v>0.11699999999999999</v>
      </c>
      <c r="O54" s="230">
        <f>N54*PARÂMETROS!$E$8</f>
        <v>3.6141299999999998</v>
      </c>
      <c r="P54" s="228">
        <f t="shared" si="2"/>
        <v>0.11599999999999999</v>
      </c>
      <c r="Q54" s="230">
        <f>P54*PARÂMETROS!$E$8</f>
        <v>3.58324</v>
      </c>
      <c r="R54" s="228">
        <f t="shared" si="3"/>
        <v>1.17E-2</v>
      </c>
      <c r="S54" s="230">
        <f>R54*PARÂMETROS!$E$8</f>
        <v>0.36141300000000004</v>
      </c>
      <c r="T54" s="231">
        <v>2.7</v>
      </c>
      <c r="U54" s="230">
        <f>T54*PARÂMETROS!$E$27</f>
        <v>8.1000000000000014</v>
      </c>
      <c r="V54" s="299">
        <v>12.44</v>
      </c>
      <c r="W54" s="230">
        <f>V54*PARÂMETROS!$E$29</f>
        <v>2230.9895999999999</v>
      </c>
      <c r="X54" s="299">
        <v>2.7509999999999999</v>
      </c>
      <c r="Y54" s="230">
        <f>X54*PARÂMETROS!$E$31</f>
        <v>41.67765</v>
      </c>
      <c r="Z54" s="228">
        <f t="shared" si="4"/>
        <v>0.11699999999999999</v>
      </c>
      <c r="AA54" s="230">
        <f>Z54*PARÂMETROS!$E$8</f>
        <v>3.6141299999999998</v>
      </c>
      <c r="AB54" s="228">
        <f t="shared" si="5"/>
        <v>1.1599999999999999E-2</v>
      </c>
      <c r="AC54" s="230">
        <f>AB54*PARÂMETROS!$E$8</f>
        <v>0.35832399999999998</v>
      </c>
      <c r="AF54" s="232" t="s">
        <v>1433</v>
      </c>
      <c r="AG54" s="264">
        <f t="shared" si="6"/>
        <v>9742.7134669999996</v>
      </c>
      <c r="AH54" s="23"/>
      <c r="AI54" s="224" t="s">
        <v>278</v>
      </c>
      <c r="AJ54" s="291">
        <f>PARÂMETROS!$H$3</f>
        <v>40</v>
      </c>
      <c r="AK54" s="267">
        <v>8.3333333333333301E-2</v>
      </c>
      <c r="AL54" s="267">
        <v>0.15277777777777801</v>
      </c>
      <c r="AM54" s="267">
        <v>0.11111111111111099</v>
      </c>
      <c r="AN54" s="267">
        <v>6.9444444444444397E-3</v>
      </c>
      <c r="AO54" s="267">
        <v>2.0833333333333301E-2</v>
      </c>
      <c r="AP54" s="267">
        <v>6.9444444444444397E-3</v>
      </c>
      <c r="AQ54" s="267">
        <v>3.125E-2</v>
      </c>
      <c r="AR54" s="271">
        <v>1</v>
      </c>
      <c r="AS54" s="292">
        <f t="shared" si="7"/>
        <v>0.41319444444444448</v>
      </c>
      <c r="AT54" s="291">
        <f t="shared" si="8"/>
        <v>396.66666666666669</v>
      </c>
      <c r="AU54" s="272">
        <f t="shared" si="9"/>
        <v>396.66666666666669</v>
      </c>
      <c r="AV54" s="23"/>
      <c r="AW54" s="273">
        <f t="shared" si="10"/>
        <v>9742.7134669999996</v>
      </c>
      <c r="AX54" s="274">
        <f t="shared" si="11"/>
        <v>396.66666666666669</v>
      </c>
      <c r="AY54" s="275">
        <v>1</v>
      </c>
      <c r="AZ54" s="276">
        <f t="shared" si="12"/>
        <v>396.66666666666669</v>
      </c>
      <c r="BA54" s="293">
        <f t="shared" si="13"/>
        <v>10139.380133666666</v>
      </c>
      <c r="BB54" s="180">
        <v>80</v>
      </c>
      <c r="BC54" s="180">
        <f t="shared" si="14"/>
        <v>10219.380133666666</v>
      </c>
      <c r="BD54" s="275">
        <v>1</v>
      </c>
    </row>
    <row r="55" spans="1:74" s="223" customFormat="1" ht="14.25" customHeight="1" x14ac:dyDescent="0.3">
      <c r="A55" s="43"/>
      <c r="B55" s="43"/>
      <c r="C55" s="43"/>
      <c r="D55" s="246"/>
      <c r="E55" s="43"/>
      <c r="F55" s="246"/>
      <c r="G55" s="246"/>
      <c r="H55" s="43"/>
      <c r="I55" s="43"/>
      <c r="J55" s="246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280"/>
      <c r="AX55" s="280"/>
      <c r="BA55" s="280"/>
      <c r="BB55" s="280"/>
      <c r="BC55" s="280"/>
      <c r="BD55" s="280"/>
      <c r="BE55" s="280"/>
      <c r="BF55" s="280"/>
      <c r="BG55" s="280"/>
      <c r="BH55" s="280"/>
      <c r="BI55" s="280"/>
      <c r="BJ55" s="280"/>
      <c r="BK55" s="280"/>
      <c r="BL55" s="280"/>
      <c r="BM55" s="280"/>
      <c r="BN55" s="280"/>
      <c r="BO55" s="280"/>
      <c r="BP55" s="280"/>
      <c r="BQ55" s="280"/>
      <c r="BR55" s="280"/>
      <c r="BS55" s="280"/>
      <c r="BT55" s="280"/>
      <c r="BU55" s="280"/>
      <c r="BV55" s="280"/>
    </row>
    <row r="56" spans="1:74" s="223" customFormat="1" ht="14.25" customHeight="1" x14ac:dyDescent="0.3">
      <c r="A56" s="43"/>
      <c r="B56" s="43"/>
      <c r="C56" s="43"/>
      <c r="D56" s="246"/>
      <c r="E56" s="43"/>
      <c r="F56" s="246"/>
      <c r="G56" s="246"/>
      <c r="H56" s="43"/>
      <c r="I56" s="43"/>
      <c r="J56" s="246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280"/>
      <c r="AX56" s="280"/>
      <c r="BA56" s="280"/>
      <c r="BB56" s="280"/>
      <c r="BC56" s="280"/>
      <c r="BD56" s="280"/>
      <c r="BE56" s="280"/>
      <c r="BF56" s="280"/>
      <c r="BG56" s="280"/>
      <c r="BH56" s="280"/>
      <c r="BI56" s="280"/>
      <c r="BJ56" s="280"/>
      <c r="BK56" s="280"/>
      <c r="BL56" s="280"/>
      <c r="BM56" s="280"/>
      <c r="BN56" s="280"/>
      <c r="BO56" s="280"/>
      <c r="BP56" s="280"/>
      <c r="BQ56" s="280"/>
      <c r="BR56" s="280"/>
      <c r="BS56" s="280"/>
      <c r="BT56" s="280"/>
      <c r="BU56" s="280"/>
      <c r="BV56" s="280"/>
    </row>
    <row r="57" spans="1:74" s="223" customFormat="1" ht="14.25" customHeight="1" x14ac:dyDescent="0.3">
      <c r="A57" s="43"/>
      <c r="B57" s="43"/>
      <c r="C57" s="43"/>
      <c r="D57" s="246"/>
      <c r="E57" s="43"/>
      <c r="F57" s="246"/>
      <c r="G57" s="246"/>
      <c r="H57" s="43"/>
      <c r="I57" s="43"/>
      <c r="J57" s="246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280"/>
      <c r="AX57" s="280"/>
      <c r="BA57" s="280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  <c r="BR57" s="280"/>
      <c r="BS57" s="280"/>
      <c r="BT57" s="280"/>
      <c r="BU57" s="280"/>
      <c r="BV57" s="280"/>
    </row>
    <row r="58" spans="1:74" s="223" customFormat="1" ht="14.25" customHeight="1" x14ac:dyDescent="0.3">
      <c r="A58" s="43"/>
      <c r="B58" s="43"/>
      <c r="C58" s="43"/>
      <c r="D58" s="246"/>
      <c r="E58" s="43"/>
      <c r="F58" s="246"/>
      <c r="G58" s="246"/>
      <c r="H58" s="43"/>
      <c r="I58" s="43"/>
      <c r="J58" s="246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280"/>
      <c r="AX58" s="280"/>
      <c r="BA58" s="280"/>
      <c r="BB58" s="280"/>
      <c r="BC58" s="280"/>
      <c r="BD58" s="280"/>
      <c r="BE58" s="280"/>
      <c r="BF58" s="280"/>
      <c r="BG58" s="280"/>
      <c r="BH58" s="280"/>
      <c r="BI58" s="280"/>
      <c r="BJ58" s="280"/>
      <c r="BK58" s="280"/>
      <c r="BL58" s="280"/>
      <c r="BM58" s="280"/>
      <c r="BN58" s="280"/>
      <c r="BO58" s="280"/>
      <c r="BP58" s="280"/>
      <c r="BQ58" s="280"/>
      <c r="BR58" s="280"/>
      <c r="BS58" s="280"/>
      <c r="BT58" s="280"/>
      <c r="BU58" s="280"/>
      <c r="BV58" s="280"/>
    </row>
    <row r="59" spans="1:74" ht="14.25" customHeight="1" x14ac:dyDescent="0.3">
      <c r="A59" s="43"/>
      <c r="B59" s="43"/>
      <c r="C59" s="43"/>
      <c r="D59" s="246"/>
      <c r="E59" s="43"/>
      <c r="F59" s="246"/>
      <c r="G59" s="246"/>
      <c r="H59" s="43"/>
      <c r="I59" s="43"/>
      <c r="J59" s="246"/>
      <c r="K59" s="43"/>
      <c r="L59" s="43"/>
      <c r="M59" s="43"/>
      <c r="N59" s="43"/>
    </row>
  </sheetData>
  <autoFilter ref="A6:BT54" xr:uid="{00000000-0009-0000-0000-00000D000000}"/>
  <mergeCells count="28">
    <mergeCell ref="AX4:AZ5"/>
    <mergeCell ref="D5:E5"/>
    <mergeCell ref="F5:G5"/>
    <mergeCell ref="AX2:AZ3"/>
    <mergeCell ref="BD2:BH2"/>
    <mergeCell ref="A3:G3"/>
    <mergeCell ref="H3:M3"/>
    <mergeCell ref="N3:S3"/>
    <mergeCell ref="T3:U3"/>
    <mergeCell ref="V3:W3"/>
    <mergeCell ref="X3:Y3"/>
    <mergeCell ref="Z3:AC3"/>
    <mergeCell ref="AF4:AG5"/>
    <mergeCell ref="AI4:AT5"/>
    <mergeCell ref="H4:J5"/>
    <mergeCell ref="A2:Y2"/>
    <mergeCell ref="AF2:AG2"/>
    <mergeCell ref="K4:M5"/>
    <mergeCell ref="U4:U5"/>
    <mergeCell ref="X4:X5"/>
    <mergeCell ref="Y4:Y5"/>
    <mergeCell ref="Z4:AA5"/>
    <mergeCell ref="AB4:AC5"/>
    <mergeCell ref="D4:E4"/>
    <mergeCell ref="F4:G4"/>
    <mergeCell ref="N4:P5"/>
    <mergeCell ref="Q4:S5"/>
    <mergeCell ref="T4:T5"/>
  </mergeCells>
  <hyperlinks>
    <hyperlink ref="A5" location="PAINEL!A1" tooltip="Voltar ao Painel de Navegação" display="⬅ PAINEL" xr:uid="{92D66A51-14F6-4895-9C43-E689338AE1A3}"/>
    <hyperlink ref="C2" location="PAINEL!A1" tooltip="Voltar ao Painel de Navegação" display="⬅ PAINEL" xr:uid="{7368941B-9FEF-4D72-9C1D-ECBB81468C53}"/>
    <hyperlink ref="A1" location="PAINEL!A1" tooltip="Voltar ao Painel de Navegação" display="⬅ PAINEL" xr:uid="{8FE49346-9BBD-4C81-9E34-F0A928BA05B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BX59"/>
  <sheetViews>
    <sheetView topLeftCell="AL1" zoomScale="90" zoomScaleNormal="90" workbookViewId="0">
      <pane ySplit="5" topLeftCell="A6" activePane="bottomLeft" state="frozen"/>
      <selection activeCell="AE1" sqref="AE1"/>
      <selection pane="bottomLeft" activeCell="A3" sqref="A3:G3"/>
    </sheetView>
  </sheetViews>
  <sheetFormatPr defaultColWidth="8.5546875" defaultRowHeight="14.4" x14ac:dyDescent="0.3"/>
  <cols>
    <col min="1" max="1" width="6.44140625" style="184" customWidth="1"/>
    <col min="2" max="2" width="31.33203125" style="185" customWidth="1"/>
    <col min="3" max="3" width="15.6640625" style="185" customWidth="1"/>
    <col min="4" max="4" width="16.109375" style="186" customWidth="1"/>
    <col min="5" max="5" width="14.6640625" style="185" customWidth="1"/>
    <col min="6" max="6" width="19.109375" style="186" customWidth="1"/>
    <col min="7" max="7" width="20.33203125" style="186" customWidth="1"/>
    <col min="8" max="9" width="23.6640625" style="185" customWidth="1"/>
    <col min="10" max="10" width="23" style="186" customWidth="1"/>
    <col min="11" max="11" width="24" style="185" customWidth="1"/>
    <col min="12" max="12" width="20.33203125" style="187" customWidth="1"/>
    <col min="13" max="13" width="19.109375" style="188" customWidth="1"/>
    <col min="14" max="14" width="21.88671875" style="188" customWidth="1"/>
    <col min="15" max="15" width="20" style="43" customWidth="1"/>
    <col min="16" max="16" width="21.109375" style="43" customWidth="1"/>
    <col min="17" max="17" width="24.88671875" style="43" customWidth="1"/>
    <col min="18" max="18" width="17.5546875" style="43" customWidth="1"/>
    <col min="19" max="19" width="17" style="43" customWidth="1"/>
    <col min="20" max="20" width="20.6640625" style="43" customWidth="1"/>
    <col min="21" max="21" width="13.44140625" style="43" customWidth="1"/>
    <col min="22" max="22" width="38.88671875" style="43" customWidth="1"/>
    <col min="23" max="23" width="22.88671875" style="43" customWidth="1"/>
    <col min="24" max="24" width="25" style="43" customWidth="1"/>
    <col min="25" max="25" width="18.6640625" style="43" customWidth="1"/>
    <col min="26" max="28" width="27.6640625" style="43" customWidth="1"/>
    <col min="29" max="29" width="21.109375" style="43" customWidth="1"/>
    <col min="30" max="31" width="13.44140625" style="43" customWidth="1"/>
    <col min="32" max="32" width="17.6640625" style="43" customWidth="1"/>
    <col min="33" max="33" width="20.5546875" style="43" customWidth="1"/>
    <col min="34" max="35" width="8.88671875" style="43" customWidth="1"/>
    <col min="36" max="45" width="8.88671875" style="23" customWidth="1"/>
    <col min="46" max="46" width="21.33203125" style="23" customWidth="1"/>
    <col min="47" max="47" width="13.88671875" style="23" customWidth="1"/>
    <col min="48" max="48" width="19.77734375" style="23" customWidth="1"/>
    <col min="49" max="50" width="14" style="23" customWidth="1"/>
    <col min="51" max="51" width="8" style="23" customWidth="1"/>
    <col min="52" max="53" width="14" style="23" customWidth="1"/>
    <col min="54" max="54" width="9.33203125" style="23" customWidth="1"/>
    <col min="55" max="71" width="14" style="23" customWidth="1"/>
  </cols>
  <sheetData>
    <row r="1" spans="1:76" ht="19.95" customHeight="1" x14ac:dyDescent="0.3">
      <c r="A1" s="508" t="s">
        <v>1757</v>
      </c>
      <c r="B1" s="508"/>
      <c r="L1" s="188"/>
    </row>
    <row r="2" spans="1:76" ht="75" customHeight="1" x14ac:dyDescent="0.3">
      <c r="A2" s="506" t="s">
        <v>1467</v>
      </c>
      <c r="B2" s="506"/>
      <c r="C2" s="507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  <c r="V2" s="506"/>
      <c r="W2" s="506"/>
      <c r="X2" s="506"/>
      <c r="Y2" s="506"/>
      <c r="AX2" s="466" t="s">
        <v>1217</v>
      </c>
      <c r="AY2" s="466"/>
      <c r="AZ2" s="466"/>
      <c r="BB2" s="497"/>
      <c r="BC2" s="497"/>
      <c r="BD2" s="497"/>
      <c r="BE2" s="497"/>
      <c r="BF2" s="497"/>
    </row>
    <row r="3" spans="1:76" ht="60" customHeight="1" x14ac:dyDescent="0.3">
      <c r="A3" s="498" t="s">
        <v>1359</v>
      </c>
      <c r="B3" s="498"/>
      <c r="C3" s="498"/>
      <c r="D3" s="498"/>
      <c r="E3" s="498"/>
      <c r="F3" s="498"/>
      <c r="G3" s="498"/>
      <c r="H3" s="485" t="s">
        <v>1435</v>
      </c>
      <c r="I3" s="485"/>
      <c r="J3" s="485"/>
      <c r="K3" s="485"/>
      <c r="L3" s="485"/>
      <c r="M3" s="485"/>
      <c r="N3" s="485" t="s">
        <v>1361</v>
      </c>
      <c r="O3" s="485"/>
      <c r="P3" s="485"/>
      <c r="Q3" s="485"/>
      <c r="R3" s="485"/>
      <c r="S3" s="485"/>
      <c r="T3" s="485" t="s">
        <v>1362</v>
      </c>
      <c r="U3" s="485"/>
      <c r="V3" s="485" t="s">
        <v>1468</v>
      </c>
      <c r="W3" s="485"/>
      <c r="X3" s="485" t="s">
        <v>1457</v>
      </c>
      <c r="Y3" s="485"/>
      <c r="Z3" s="485" t="s">
        <v>1436</v>
      </c>
      <c r="AA3" s="485"/>
      <c r="AB3" s="485"/>
      <c r="AC3" s="485"/>
      <c r="AD3" s="23"/>
      <c r="AE3" s="23"/>
      <c r="AF3" s="23"/>
      <c r="AG3" s="23"/>
      <c r="AH3" s="23"/>
      <c r="AI3" s="23"/>
      <c r="AX3" s="466"/>
      <c r="AY3" s="466"/>
      <c r="AZ3" s="466"/>
    </row>
    <row r="4" spans="1:76" ht="39.75" customHeight="1" x14ac:dyDescent="0.3">
      <c r="A4" s="321" t="s">
        <v>1758</v>
      </c>
      <c r="B4" s="320"/>
      <c r="C4" s="250" t="s">
        <v>1363</v>
      </c>
      <c r="D4" s="493" t="s">
        <v>1364</v>
      </c>
      <c r="E4" s="493"/>
      <c r="F4" s="494" t="s">
        <v>1365</v>
      </c>
      <c r="G4" s="494"/>
      <c r="H4" s="505" t="s">
        <v>1843</v>
      </c>
      <c r="I4" s="505"/>
      <c r="J4" s="505"/>
      <c r="K4" s="478">
        <f>PARÂMETROS!$E$22</f>
        <v>42.37</v>
      </c>
      <c r="L4" s="478"/>
      <c r="M4" s="478"/>
      <c r="N4" s="504" t="s">
        <v>1846</v>
      </c>
      <c r="O4" s="504"/>
      <c r="P4" s="504"/>
      <c r="Q4" s="492">
        <f>PARÂMETROS!$E$8</f>
        <v>30.89</v>
      </c>
      <c r="R4" s="492"/>
      <c r="S4" s="492"/>
      <c r="T4" s="479" t="s">
        <v>1833</v>
      </c>
      <c r="U4" s="480">
        <f>PARÂMETROS!$E$27</f>
        <v>3</v>
      </c>
      <c r="V4" s="296" t="s">
        <v>1841</v>
      </c>
      <c r="W4" s="251">
        <f>PARÂMETROS!$E$28</f>
        <v>142.88</v>
      </c>
      <c r="X4" s="479" t="s">
        <v>1844</v>
      </c>
      <c r="Y4" s="480">
        <f>PARÂMETROS!$E$31</f>
        <v>15.15</v>
      </c>
      <c r="Z4" s="500" t="s">
        <v>1838</v>
      </c>
      <c r="AA4" s="500"/>
      <c r="AB4" s="502">
        <f>PARÂMETROS!$E$26</f>
        <v>89.3</v>
      </c>
      <c r="AC4" s="502"/>
      <c r="AF4" s="472" t="s">
        <v>1469</v>
      </c>
      <c r="AG4" s="472"/>
      <c r="AH4" s="23"/>
      <c r="AI4" s="509" t="s">
        <v>835</v>
      </c>
      <c r="AJ4" s="509"/>
      <c r="AK4" s="509"/>
      <c r="AL4" s="509"/>
      <c r="AM4" s="509"/>
      <c r="AN4" s="509"/>
      <c r="AO4" s="509"/>
      <c r="AP4" s="509"/>
      <c r="AQ4" s="509"/>
      <c r="AR4" s="509"/>
      <c r="AS4" s="509"/>
      <c r="AT4" s="509"/>
      <c r="AU4" s="297"/>
      <c r="AX4" s="499" t="s">
        <v>1459</v>
      </c>
      <c r="AY4" s="499"/>
      <c r="AZ4" s="499"/>
    </row>
    <row r="5" spans="1:76" ht="54" customHeight="1" x14ac:dyDescent="0.3">
      <c r="A5" s="359"/>
      <c r="B5" s="362"/>
      <c r="C5" s="252">
        <f>PARÂMETROS!$E$23</f>
        <v>19.59</v>
      </c>
      <c r="D5" s="490">
        <f>PARÂMETROS!$E$24</f>
        <v>19.59</v>
      </c>
      <c r="E5" s="490"/>
      <c r="F5" s="491">
        <f>PARÂMETROS!$E$25</f>
        <v>19.59</v>
      </c>
      <c r="G5" s="491"/>
      <c r="H5" s="505"/>
      <c r="I5" s="505"/>
      <c r="J5" s="505"/>
      <c r="K5" s="478"/>
      <c r="L5" s="478"/>
      <c r="M5" s="478"/>
      <c r="N5" s="504"/>
      <c r="O5" s="504"/>
      <c r="P5" s="504"/>
      <c r="Q5" s="492"/>
      <c r="R5" s="492"/>
      <c r="S5" s="492"/>
      <c r="T5" s="479"/>
      <c r="U5" s="480"/>
      <c r="V5" s="200" t="s">
        <v>1845</v>
      </c>
      <c r="W5" s="251">
        <f>PARÂMETROS!$E$29</f>
        <v>179.34</v>
      </c>
      <c r="X5" s="479"/>
      <c r="Y5" s="480"/>
      <c r="Z5" s="500"/>
      <c r="AA5" s="500"/>
      <c r="AB5" s="502"/>
      <c r="AC5" s="502"/>
      <c r="AD5" s="23"/>
      <c r="AE5" s="23"/>
      <c r="AF5" s="472"/>
      <c r="AG5" s="472"/>
      <c r="AH5" s="23"/>
      <c r="AI5" s="509"/>
      <c r="AJ5" s="509"/>
      <c r="AK5" s="509"/>
      <c r="AL5" s="509"/>
      <c r="AM5" s="509"/>
      <c r="AN5" s="509"/>
      <c r="AO5" s="509"/>
      <c r="AP5" s="509"/>
      <c r="AQ5" s="509"/>
      <c r="AR5" s="509"/>
      <c r="AS5" s="509"/>
      <c r="AT5" s="509"/>
      <c r="AU5" s="298"/>
      <c r="AX5" s="499"/>
      <c r="AY5" s="499"/>
      <c r="AZ5" s="499"/>
      <c r="BB5" s="366" t="s">
        <v>1816</v>
      </c>
    </row>
    <row r="6" spans="1:76" ht="34.5" customHeight="1" x14ac:dyDescent="0.3">
      <c r="A6" s="204" t="s">
        <v>10</v>
      </c>
      <c r="B6" s="205" t="s">
        <v>1235</v>
      </c>
      <c r="C6" s="206" t="s">
        <v>1369</v>
      </c>
      <c r="D6" s="253" t="s">
        <v>1370</v>
      </c>
      <c r="E6" s="206" t="s">
        <v>1371</v>
      </c>
      <c r="F6" s="253" t="s">
        <v>1372</v>
      </c>
      <c r="G6" s="254" t="s">
        <v>1373</v>
      </c>
      <c r="H6" s="206" t="s">
        <v>1440</v>
      </c>
      <c r="I6" s="253" t="s">
        <v>1441</v>
      </c>
      <c r="J6" s="206" t="s">
        <v>1442</v>
      </c>
      <c r="K6" s="207" t="s">
        <v>1460</v>
      </c>
      <c r="L6" s="206" t="s">
        <v>1240</v>
      </c>
      <c r="M6" s="207" t="s">
        <v>1443</v>
      </c>
      <c r="N6" s="208" t="s">
        <v>1444</v>
      </c>
      <c r="O6" s="209" t="s">
        <v>1445</v>
      </c>
      <c r="P6" s="208" t="s">
        <v>1374</v>
      </c>
      <c r="Q6" s="209" t="s">
        <v>1446</v>
      </c>
      <c r="R6" s="208" t="s">
        <v>1447</v>
      </c>
      <c r="S6" s="209" t="s">
        <v>1448</v>
      </c>
      <c r="T6" s="208" t="s">
        <v>1242</v>
      </c>
      <c r="U6" s="209" t="s">
        <v>1243</v>
      </c>
      <c r="V6" s="208" t="s">
        <v>1461</v>
      </c>
      <c r="W6" s="209" t="s">
        <v>1462</v>
      </c>
      <c r="X6" s="208" t="s">
        <v>1463</v>
      </c>
      <c r="Y6" s="209" t="s">
        <v>1464</v>
      </c>
      <c r="Z6" s="208" t="s">
        <v>1449</v>
      </c>
      <c r="AA6" s="209" t="s">
        <v>1450</v>
      </c>
      <c r="AB6" s="208" t="s">
        <v>1451</v>
      </c>
      <c r="AC6" s="209" t="s">
        <v>1452</v>
      </c>
      <c r="AF6" s="210" t="s">
        <v>10</v>
      </c>
      <c r="AG6" s="211" t="s">
        <v>1120</v>
      </c>
      <c r="AH6" s="23"/>
      <c r="AI6" s="285"/>
      <c r="AJ6" s="301" t="s">
        <v>880</v>
      </c>
      <c r="AK6" s="302" t="s">
        <v>1376</v>
      </c>
      <c r="AL6" s="302" t="s">
        <v>1453</v>
      </c>
      <c r="AM6" s="302" t="s">
        <v>1454</v>
      </c>
      <c r="AN6" s="302" t="s">
        <v>1377</v>
      </c>
      <c r="AO6" s="302" t="s">
        <v>1248</v>
      </c>
      <c r="AP6" s="302" t="s">
        <v>1378</v>
      </c>
      <c r="AQ6" s="302" t="s">
        <v>1251</v>
      </c>
      <c r="AR6" s="303" t="s">
        <v>1380</v>
      </c>
      <c r="AS6" s="304" t="s">
        <v>1252</v>
      </c>
      <c r="AT6" s="301" t="s">
        <v>1253</v>
      </c>
      <c r="AU6" s="260" t="s">
        <v>1382</v>
      </c>
      <c r="AW6" s="217" t="s">
        <v>1093</v>
      </c>
      <c r="AX6" s="218" t="s">
        <v>882</v>
      </c>
      <c r="AY6" s="36" t="s">
        <v>954</v>
      </c>
      <c r="AZ6" s="220" t="s">
        <v>955</v>
      </c>
      <c r="BA6" s="48" t="s">
        <v>883</v>
      </c>
      <c r="BB6" s="36" t="s">
        <v>954</v>
      </c>
      <c r="BW6" s="48" t="s">
        <v>957</v>
      </c>
      <c r="BX6" s="48" t="s">
        <v>1383</v>
      </c>
    </row>
    <row r="7" spans="1:76" ht="27" customHeight="1" x14ac:dyDescent="0.3">
      <c r="A7" s="224" t="s">
        <v>196</v>
      </c>
      <c r="B7" s="225" t="s">
        <v>1384</v>
      </c>
      <c r="C7" s="225">
        <v>5.2999999999999999E-2</v>
      </c>
      <c r="D7" s="263">
        <f>C7*D5</f>
        <v>1.03827</v>
      </c>
      <c r="E7" s="225">
        <v>2.4E-2</v>
      </c>
      <c r="F7" s="263">
        <f>E7*F5</f>
        <v>0.47016000000000002</v>
      </c>
      <c r="G7" s="227">
        <f t="shared" ref="G7:G54" si="0">D7+F7</f>
        <v>1.5084300000000002</v>
      </c>
      <c r="H7" s="228">
        <v>0.1</v>
      </c>
      <c r="I7" s="227">
        <f>H7*PARÂMETROS!$E$22</f>
        <v>4.2370000000000001</v>
      </c>
      <c r="J7" s="228">
        <v>3.0000000000000001E-3</v>
      </c>
      <c r="K7" s="227">
        <f>J7*PARÂMETROS!$E$22</f>
        <v>0.12711</v>
      </c>
      <c r="L7" s="228">
        <v>2E-3</v>
      </c>
      <c r="M7" s="230">
        <f>L7*PARÂMETROS!$E$8</f>
        <v>6.1780000000000002E-2</v>
      </c>
      <c r="N7" s="228">
        <f t="shared" ref="N7:N54" si="1">H7*0.01</f>
        <v>1E-3</v>
      </c>
      <c r="O7" s="230">
        <f>N7*PARÂMETROS!$E$8</f>
        <v>3.0890000000000001E-2</v>
      </c>
      <c r="P7" s="228">
        <f t="shared" ref="P7:P54" si="2">0.1 * J7</f>
        <v>3.0000000000000003E-4</v>
      </c>
      <c r="Q7" s="230">
        <f>P7*PARÂMETROS!$E$8</f>
        <v>9.2670000000000009E-3</v>
      </c>
      <c r="R7" s="228">
        <f t="shared" ref="R7:R54" si="3">0.1 * N7</f>
        <v>1E-4</v>
      </c>
      <c r="S7" s="230">
        <f>R7*PARÂMETROS!$E$8</f>
        <v>3.0890000000000002E-3</v>
      </c>
      <c r="T7" s="231">
        <v>0.3</v>
      </c>
      <c r="U7" s="230">
        <f>T7*PARÂMETROS!$E$27</f>
        <v>0.89999999999999991</v>
      </c>
      <c r="V7" s="299">
        <v>0.25800000000000001</v>
      </c>
      <c r="W7" s="230">
        <f>V7*PARÂMETROS!$E$28</f>
        <v>36.863039999999998</v>
      </c>
      <c r="X7" s="299">
        <v>5.1999999999999998E-2</v>
      </c>
      <c r="Y7" s="230">
        <f>X7*PARÂMETROS!$E$31</f>
        <v>0.78779999999999994</v>
      </c>
      <c r="Z7" s="228">
        <f t="shared" ref="Z7:Z54" si="4">H7*0.01</f>
        <v>1E-3</v>
      </c>
      <c r="AA7" s="230">
        <f>Z7*PARÂMETROS!$E$8</f>
        <v>3.0890000000000001E-2</v>
      </c>
      <c r="AB7" s="229">
        <f t="shared" ref="AB7:AB54" si="5">J7*0.01</f>
        <v>3.0000000000000001E-5</v>
      </c>
      <c r="AC7" s="230">
        <f>AB7*PARÂMETROS!$E$8</f>
        <v>9.2670000000000003E-4</v>
      </c>
      <c r="AD7" s="23"/>
      <c r="AE7" s="23"/>
      <c r="AF7" s="232" t="s">
        <v>1385</v>
      </c>
      <c r="AG7" s="264">
        <f t="shared" ref="AG7:AG54" si="6">U7+S7+Q7+O7+M7+K7+I7+G7+W7+Y7+AA7+AC7</f>
        <v>44.560222699999997</v>
      </c>
      <c r="AH7" s="23"/>
      <c r="AI7" s="224" t="s">
        <v>196</v>
      </c>
      <c r="AJ7" s="291">
        <f>PARÂMETROS!$H$3</f>
        <v>40</v>
      </c>
      <c r="AK7" s="267">
        <v>2.1527777777777798E-2</v>
      </c>
      <c r="AL7" s="267">
        <v>5.5555555555555601E-2</v>
      </c>
      <c r="AM7" s="267">
        <v>1.7361111111111101E-2</v>
      </c>
      <c r="AN7" s="267"/>
      <c r="AO7" s="267">
        <v>2.0833333333333301E-2</v>
      </c>
      <c r="AP7" s="267">
        <v>6.9444444444444397E-3</v>
      </c>
      <c r="AQ7" s="267">
        <v>3.125E-2</v>
      </c>
      <c r="AR7" s="271">
        <v>4</v>
      </c>
      <c r="AS7" s="292">
        <f t="shared" ref="AS7:AS54" si="7">AP7+AQ7+AO7+AN7+AM7+AL7+AK7</f>
        <v>0.15347222222222223</v>
      </c>
      <c r="AT7" s="291">
        <f t="shared" ref="AT7:AT54" si="8">AJ7*AS7*24</f>
        <v>147.33333333333334</v>
      </c>
      <c r="AU7" s="272">
        <f t="shared" ref="AU7:AU54" si="9">AT7/AR7</f>
        <v>36.833333333333336</v>
      </c>
      <c r="AW7" s="273">
        <f t="shared" ref="AW7:AW54" si="10">AG7</f>
        <v>44.560222699999997</v>
      </c>
      <c r="AX7" s="274">
        <f t="shared" ref="AX7:AX54" si="11">AT7</f>
        <v>147.33333333333334</v>
      </c>
      <c r="AY7" s="275">
        <v>4</v>
      </c>
      <c r="AZ7" s="276">
        <f t="shared" ref="AZ7:AZ54" si="12">IFERROR(AX7/AY7,0)</f>
        <v>36.833333333333336</v>
      </c>
      <c r="BA7" s="293">
        <f t="shared" ref="BA7:BA54" si="13">AZ7+AW7</f>
        <v>81.39355603333334</v>
      </c>
      <c r="BB7" s="275">
        <v>4</v>
      </c>
      <c r="BW7" s="293">
        <v>80</v>
      </c>
      <c r="BX7" s="293">
        <f t="shared" ref="BX7:BX54" si="14">BA7+BW7</f>
        <v>161.39355603333334</v>
      </c>
    </row>
    <row r="8" spans="1:76" ht="27" customHeight="1" x14ac:dyDescent="0.3">
      <c r="A8" s="224" t="s">
        <v>200</v>
      </c>
      <c r="B8" s="225" t="s">
        <v>1384</v>
      </c>
      <c r="C8" s="228">
        <v>0.1</v>
      </c>
      <c r="D8" s="263">
        <f>C8*D5</f>
        <v>1.9590000000000001</v>
      </c>
      <c r="E8" s="228">
        <v>4.4999999999999998E-2</v>
      </c>
      <c r="F8" s="263">
        <f>E8*F5</f>
        <v>0.88154999999999994</v>
      </c>
      <c r="G8" s="227">
        <f t="shared" si="0"/>
        <v>2.8405499999999999</v>
      </c>
      <c r="H8" s="228">
        <v>0.14000000000000001</v>
      </c>
      <c r="I8" s="227">
        <f>H8*PARÂMETROS!$E$22</f>
        <v>5.9318</v>
      </c>
      <c r="J8" s="228">
        <v>6.0000000000000001E-3</v>
      </c>
      <c r="K8" s="227">
        <f>J8*PARÂMETROS!$E$22</f>
        <v>0.25422</v>
      </c>
      <c r="L8" s="228">
        <v>2E-3</v>
      </c>
      <c r="M8" s="230">
        <f>L8*PARÂMETROS!$E$8</f>
        <v>6.1780000000000002E-2</v>
      </c>
      <c r="N8" s="228">
        <f t="shared" si="1"/>
        <v>1.4000000000000002E-3</v>
      </c>
      <c r="O8" s="230">
        <f>N8*PARÂMETROS!$E$8</f>
        <v>4.3246000000000007E-2</v>
      </c>
      <c r="P8" s="228">
        <f t="shared" si="2"/>
        <v>6.0000000000000006E-4</v>
      </c>
      <c r="Q8" s="230">
        <f>P8*PARÂMETROS!$E$8</f>
        <v>1.8534000000000002E-2</v>
      </c>
      <c r="R8" s="228">
        <f t="shared" si="3"/>
        <v>1.4000000000000001E-4</v>
      </c>
      <c r="S8" s="230">
        <f>R8*PARÂMETROS!$E$8</f>
        <v>4.3246000000000005E-3</v>
      </c>
      <c r="T8" s="231">
        <v>0.36</v>
      </c>
      <c r="U8" s="230">
        <f>T8*PARÂMETROS!$E$27</f>
        <v>1.08</v>
      </c>
      <c r="V8" s="299">
        <v>0.51</v>
      </c>
      <c r="W8" s="230">
        <f>V8*PARÂMETROS!$E$28</f>
        <v>72.868799999999993</v>
      </c>
      <c r="X8" s="299">
        <v>0.11</v>
      </c>
      <c r="Y8" s="230">
        <f>X8*PARÂMETROS!$E$31</f>
        <v>1.6665000000000001</v>
      </c>
      <c r="Z8" s="228">
        <f t="shared" si="4"/>
        <v>1.4000000000000002E-3</v>
      </c>
      <c r="AA8" s="230">
        <f>Z8*PARÂMETROS!$E$8</f>
        <v>4.3246000000000007E-2</v>
      </c>
      <c r="AB8" s="229">
        <f t="shared" si="5"/>
        <v>6.0000000000000002E-5</v>
      </c>
      <c r="AC8" s="230">
        <f>AB8*PARÂMETROS!$E$8</f>
        <v>1.8534000000000001E-3</v>
      </c>
      <c r="AF8" s="232" t="s">
        <v>1386</v>
      </c>
      <c r="AG8" s="264">
        <f t="shared" si="6"/>
        <v>84.814853999999983</v>
      </c>
      <c r="AH8" s="23"/>
      <c r="AI8" s="224" t="s">
        <v>200</v>
      </c>
      <c r="AJ8" s="291">
        <f>PARÂMETROS!$H$3</f>
        <v>40</v>
      </c>
      <c r="AK8" s="267">
        <v>2.1527777777777798E-2</v>
      </c>
      <c r="AL8" s="267">
        <v>5.5555555555555601E-2</v>
      </c>
      <c r="AM8" s="267">
        <v>1.7361111111111101E-2</v>
      </c>
      <c r="AN8" s="267"/>
      <c r="AO8" s="267">
        <v>2.0833333333333301E-2</v>
      </c>
      <c r="AP8" s="267">
        <v>6.9444444444444397E-3</v>
      </c>
      <c r="AQ8" s="267">
        <v>3.125E-2</v>
      </c>
      <c r="AR8" s="271">
        <v>4</v>
      </c>
      <c r="AS8" s="292">
        <f t="shared" si="7"/>
        <v>0.15347222222222223</v>
      </c>
      <c r="AT8" s="291">
        <f t="shared" si="8"/>
        <v>147.33333333333334</v>
      </c>
      <c r="AU8" s="272">
        <f t="shared" si="9"/>
        <v>36.833333333333336</v>
      </c>
      <c r="AW8" s="273">
        <f t="shared" si="10"/>
        <v>84.814853999999983</v>
      </c>
      <c r="AX8" s="274">
        <f t="shared" si="11"/>
        <v>147.33333333333334</v>
      </c>
      <c r="AY8" s="275">
        <v>4</v>
      </c>
      <c r="AZ8" s="276">
        <f t="shared" si="12"/>
        <v>36.833333333333336</v>
      </c>
      <c r="BA8" s="293">
        <f t="shared" si="13"/>
        <v>121.64818733333331</v>
      </c>
      <c r="BB8" s="275">
        <v>4</v>
      </c>
      <c r="BW8" s="293">
        <v>80</v>
      </c>
      <c r="BX8" s="293">
        <f t="shared" si="14"/>
        <v>201.64818733333331</v>
      </c>
    </row>
    <row r="9" spans="1:76" ht="27" customHeight="1" x14ac:dyDescent="0.3">
      <c r="A9" s="224" t="s">
        <v>185</v>
      </c>
      <c r="B9" s="225" t="s">
        <v>1384</v>
      </c>
      <c r="C9" s="228">
        <v>0.16800000000000001</v>
      </c>
      <c r="D9" s="263">
        <f>C9*D5</f>
        <v>3.2911200000000003</v>
      </c>
      <c r="E9" s="228">
        <v>7.5999999999999998E-2</v>
      </c>
      <c r="F9" s="263">
        <f>E9*F5</f>
        <v>1.4888399999999999</v>
      </c>
      <c r="G9" s="227">
        <f t="shared" si="0"/>
        <v>4.77996</v>
      </c>
      <c r="H9" s="228">
        <v>0.26</v>
      </c>
      <c r="I9" s="227">
        <f>H9*PARÂMETROS!$E$22</f>
        <v>11.0162</v>
      </c>
      <c r="J9" s="228">
        <v>1.0999999999999999E-2</v>
      </c>
      <c r="K9" s="227">
        <f>J9*PARÂMETROS!$E$22</f>
        <v>0.46606999999999993</v>
      </c>
      <c r="L9" s="228">
        <v>2E-3</v>
      </c>
      <c r="M9" s="230">
        <f>L9*PARÂMETROS!$E$8</f>
        <v>6.1780000000000002E-2</v>
      </c>
      <c r="N9" s="228">
        <f t="shared" si="1"/>
        <v>2.6000000000000003E-3</v>
      </c>
      <c r="O9" s="230">
        <f>N9*PARÂMETROS!$E$8</f>
        <v>8.031400000000001E-2</v>
      </c>
      <c r="P9" s="228">
        <f t="shared" si="2"/>
        <v>1.1000000000000001E-3</v>
      </c>
      <c r="Q9" s="230">
        <f>P9*PARÂMETROS!$E$8</f>
        <v>3.3979000000000002E-2</v>
      </c>
      <c r="R9" s="228">
        <f t="shared" si="3"/>
        <v>2.6000000000000003E-4</v>
      </c>
      <c r="S9" s="230">
        <f>R9*PARÂMETROS!$E$8</f>
        <v>8.031400000000001E-3</v>
      </c>
      <c r="T9" s="231">
        <v>0.41</v>
      </c>
      <c r="U9" s="230">
        <f>T9*PARÂMETROS!$E$27</f>
        <v>1.23</v>
      </c>
      <c r="V9" s="299">
        <v>0.95199999999999996</v>
      </c>
      <c r="W9" s="230">
        <f>V9*PARÂMETROS!$E$28</f>
        <v>136.02176</v>
      </c>
      <c r="X9" s="299">
        <v>0.2</v>
      </c>
      <c r="Y9" s="230">
        <f>X9*PARÂMETROS!$E$31</f>
        <v>3.0300000000000002</v>
      </c>
      <c r="Z9" s="228">
        <f t="shared" si="4"/>
        <v>2.6000000000000003E-3</v>
      </c>
      <c r="AA9" s="230">
        <f>Z9*PARÂMETROS!$E$8</f>
        <v>8.031400000000001E-2</v>
      </c>
      <c r="AB9" s="229">
        <f t="shared" si="5"/>
        <v>1.0999999999999999E-4</v>
      </c>
      <c r="AC9" s="230">
        <f>AB9*PARÂMETROS!$E$8</f>
        <v>3.3978999999999997E-3</v>
      </c>
      <c r="AD9" s="23"/>
      <c r="AE9" s="23"/>
      <c r="AF9" s="232" t="s">
        <v>1387</v>
      </c>
      <c r="AG9" s="264">
        <f t="shared" si="6"/>
        <v>156.8118063</v>
      </c>
      <c r="AH9" s="23"/>
      <c r="AI9" s="224" t="s">
        <v>185</v>
      </c>
      <c r="AJ9" s="291">
        <f>PARÂMETROS!$H$3</f>
        <v>40</v>
      </c>
      <c r="AK9" s="267">
        <v>2.1527777777777798E-2</v>
      </c>
      <c r="AL9" s="267">
        <v>5.5555555555555601E-2</v>
      </c>
      <c r="AM9" s="267">
        <v>2.0833333333333301E-2</v>
      </c>
      <c r="AN9" s="267"/>
      <c r="AO9" s="267">
        <v>2.0833333333333301E-2</v>
      </c>
      <c r="AP9" s="267">
        <v>6.9444444444444397E-3</v>
      </c>
      <c r="AQ9" s="267">
        <v>3.125E-2</v>
      </c>
      <c r="AR9" s="271">
        <v>4</v>
      </c>
      <c r="AS9" s="292">
        <f t="shared" si="7"/>
        <v>0.15694444444444444</v>
      </c>
      <c r="AT9" s="291">
        <f t="shared" si="8"/>
        <v>150.66666666666666</v>
      </c>
      <c r="AU9" s="272">
        <f t="shared" si="9"/>
        <v>37.666666666666664</v>
      </c>
      <c r="AW9" s="273">
        <f t="shared" si="10"/>
        <v>156.8118063</v>
      </c>
      <c r="AX9" s="274">
        <f t="shared" si="11"/>
        <v>150.66666666666666</v>
      </c>
      <c r="AY9" s="275">
        <v>3</v>
      </c>
      <c r="AZ9" s="276">
        <f t="shared" si="12"/>
        <v>50.222222222222221</v>
      </c>
      <c r="BA9" s="293">
        <f t="shared" si="13"/>
        <v>207.03402852222223</v>
      </c>
      <c r="BB9" s="275">
        <v>3</v>
      </c>
      <c r="BW9" s="293">
        <v>80</v>
      </c>
      <c r="BX9" s="293">
        <f t="shared" si="14"/>
        <v>287.03402852222223</v>
      </c>
    </row>
    <row r="10" spans="1:76" ht="25.5" customHeight="1" x14ac:dyDescent="0.3">
      <c r="A10" s="224" t="s">
        <v>39</v>
      </c>
      <c r="B10" s="225" t="s">
        <v>1384</v>
      </c>
      <c r="C10" s="228">
        <v>0.624</v>
      </c>
      <c r="D10" s="263">
        <f>C10*D5</f>
        <v>12.224159999999999</v>
      </c>
      <c r="E10" s="228">
        <v>0.28100000000000003</v>
      </c>
      <c r="F10" s="263">
        <f>E10*F5</f>
        <v>5.5047900000000007</v>
      </c>
      <c r="G10" s="227">
        <f t="shared" si="0"/>
        <v>17.728950000000001</v>
      </c>
      <c r="H10" s="228">
        <v>0.5</v>
      </c>
      <c r="I10" s="227">
        <f>H10*PARÂMETROS!$E$22</f>
        <v>21.184999999999999</v>
      </c>
      <c r="J10" s="228">
        <v>2.5000000000000001E-2</v>
      </c>
      <c r="K10" s="227">
        <f>J10*PARÂMETROS!$E$22</f>
        <v>1.05925</v>
      </c>
      <c r="L10" s="228">
        <v>2E-3</v>
      </c>
      <c r="M10" s="230">
        <f>L10*PARÂMETROS!$E$8</f>
        <v>6.1780000000000002E-2</v>
      </c>
      <c r="N10" s="228">
        <f t="shared" si="1"/>
        <v>5.0000000000000001E-3</v>
      </c>
      <c r="O10" s="230">
        <f>N10*PARÂMETROS!$E$8</f>
        <v>0.15445</v>
      </c>
      <c r="P10" s="228">
        <f t="shared" si="2"/>
        <v>2.5000000000000005E-3</v>
      </c>
      <c r="Q10" s="230">
        <f>P10*PARÂMETROS!$E$8</f>
        <v>7.7225000000000016E-2</v>
      </c>
      <c r="R10" s="228">
        <f t="shared" si="3"/>
        <v>5.0000000000000001E-4</v>
      </c>
      <c r="S10" s="230">
        <f>R10*PARÂMETROS!$E$8</f>
        <v>1.5445E-2</v>
      </c>
      <c r="T10" s="231">
        <v>0.82</v>
      </c>
      <c r="U10" s="230">
        <f>T10*PARÂMETROS!$E$27</f>
        <v>2.46</v>
      </c>
      <c r="V10" s="299">
        <v>1.56</v>
      </c>
      <c r="W10" s="230">
        <f>V10*PARÂMETROS!$E$29</f>
        <v>279.7704</v>
      </c>
      <c r="X10" s="299">
        <v>0.3</v>
      </c>
      <c r="Y10" s="230">
        <f>X10*PARÂMETROS!$E$31</f>
        <v>4.5449999999999999</v>
      </c>
      <c r="Z10" s="228">
        <f t="shared" si="4"/>
        <v>5.0000000000000001E-3</v>
      </c>
      <c r="AA10" s="230">
        <f>Z10*PARÂMETROS!$E$8</f>
        <v>0.15445</v>
      </c>
      <c r="AB10" s="229">
        <f t="shared" si="5"/>
        <v>2.5000000000000001E-4</v>
      </c>
      <c r="AC10" s="230">
        <f>AB10*PARÂMETROS!$E$8</f>
        <v>7.7225000000000002E-3</v>
      </c>
      <c r="AF10" s="232" t="s">
        <v>1388</v>
      </c>
      <c r="AG10" s="264">
        <f t="shared" si="6"/>
        <v>327.2196725</v>
      </c>
      <c r="AH10" s="23"/>
      <c r="AI10" s="224" t="s">
        <v>39</v>
      </c>
      <c r="AJ10" s="291">
        <f>PARÂMETROS!$H$3</f>
        <v>40</v>
      </c>
      <c r="AK10" s="267">
        <v>2.1527777777777798E-2</v>
      </c>
      <c r="AL10" s="267">
        <v>5.5555555555555601E-2</v>
      </c>
      <c r="AM10" s="267">
        <v>2.7777777777777801E-2</v>
      </c>
      <c r="AN10" s="267"/>
      <c r="AO10" s="267">
        <v>2.0833333333333301E-2</v>
      </c>
      <c r="AP10" s="267">
        <v>6.9444444444444397E-3</v>
      </c>
      <c r="AQ10" s="267">
        <v>3.125E-2</v>
      </c>
      <c r="AR10" s="271">
        <v>4</v>
      </c>
      <c r="AS10" s="292">
        <f t="shared" si="7"/>
        <v>0.16388888888888892</v>
      </c>
      <c r="AT10" s="291">
        <f t="shared" si="8"/>
        <v>157.33333333333337</v>
      </c>
      <c r="AU10" s="272">
        <f t="shared" si="9"/>
        <v>39.333333333333343</v>
      </c>
      <c r="AW10" s="273">
        <f t="shared" si="10"/>
        <v>327.2196725</v>
      </c>
      <c r="AX10" s="274">
        <f t="shared" si="11"/>
        <v>157.33333333333337</v>
      </c>
      <c r="AY10" s="275">
        <v>3</v>
      </c>
      <c r="AZ10" s="276">
        <f t="shared" si="12"/>
        <v>52.444444444444457</v>
      </c>
      <c r="BA10" s="293">
        <f t="shared" si="13"/>
        <v>379.66411694444446</v>
      </c>
      <c r="BB10" s="275">
        <v>3</v>
      </c>
      <c r="BW10" s="293">
        <v>80</v>
      </c>
      <c r="BX10" s="293">
        <f t="shared" si="14"/>
        <v>459.66411694444446</v>
      </c>
    </row>
    <row r="11" spans="1:76" ht="27" customHeight="1" x14ac:dyDescent="0.3">
      <c r="A11" s="224" t="s">
        <v>300</v>
      </c>
      <c r="B11" s="225" t="s">
        <v>1384</v>
      </c>
      <c r="C11" s="228">
        <v>0.94799999999999995</v>
      </c>
      <c r="D11" s="263">
        <f>C11*D5</f>
        <v>18.57132</v>
      </c>
      <c r="E11" s="228">
        <v>0.42699999999999999</v>
      </c>
      <c r="F11" s="263">
        <f>E11*F5</f>
        <v>8.3649299999999993</v>
      </c>
      <c r="G11" s="227">
        <f t="shared" si="0"/>
        <v>26.936250000000001</v>
      </c>
      <c r="H11" s="228">
        <v>0.65</v>
      </c>
      <c r="I11" s="227">
        <f>H11*PARÂMETROS!$E$22</f>
        <v>27.540499999999998</v>
      </c>
      <c r="J11" s="228">
        <v>3.2000000000000001E-2</v>
      </c>
      <c r="K11" s="227">
        <f>J11*PARÂMETROS!$E$22</f>
        <v>1.3558399999999999</v>
      </c>
      <c r="L11" s="228">
        <v>2E-3</v>
      </c>
      <c r="M11" s="230">
        <f>L11*PARÂMETROS!$E$8</f>
        <v>6.1780000000000002E-2</v>
      </c>
      <c r="N11" s="228">
        <f t="shared" si="1"/>
        <v>6.5000000000000006E-3</v>
      </c>
      <c r="O11" s="230">
        <f>N11*PARÂMETROS!$E$8</f>
        <v>0.20078500000000002</v>
      </c>
      <c r="P11" s="228">
        <f t="shared" si="2"/>
        <v>3.2000000000000002E-3</v>
      </c>
      <c r="Q11" s="230">
        <f>P11*PARÂMETROS!$E$8</f>
        <v>9.8848000000000005E-2</v>
      </c>
      <c r="R11" s="228">
        <f t="shared" si="3"/>
        <v>6.5000000000000008E-4</v>
      </c>
      <c r="S11" s="230">
        <f>R11*PARÂMETROS!$E$8</f>
        <v>2.0078500000000003E-2</v>
      </c>
      <c r="T11" s="231">
        <v>0.86</v>
      </c>
      <c r="U11" s="230">
        <f>T11*PARÂMETROS!$E$27</f>
        <v>2.58</v>
      </c>
      <c r="V11" s="299">
        <v>2.48</v>
      </c>
      <c r="W11" s="230">
        <f>V11*PARÂMETROS!$E$29</f>
        <v>444.76319999999998</v>
      </c>
      <c r="X11" s="299">
        <v>0.5</v>
      </c>
      <c r="Y11" s="230">
        <f>X11*PARÂMETROS!$E$31</f>
        <v>7.5750000000000002</v>
      </c>
      <c r="Z11" s="228">
        <f t="shared" si="4"/>
        <v>6.5000000000000006E-3</v>
      </c>
      <c r="AA11" s="230">
        <f>Z11*PARÂMETROS!$E$8</f>
        <v>0.20078500000000002</v>
      </c>
      <c r="AB11" s="229">
        <f t="shared" si="5"/>
        <v>3.2000000000000003E-4</v>
      </c>
      <c r="AC11" s="230">
        <f>AB11*PARÂMETROS!$E$8</f>
        <v>9.8848000000000009E-3</v>
      </c>
      <c r="AD11" s="23"/>
      <c r="AE11" s="23"/>
      <c r="AF11" s="232" t="s">
        <v>1389</v>
      </c>
      <c r="AG11" s="264">
        <f t="shared" si="6"/>
        <v>511.34295129999998</v>
      </c>
      <c r="AH11" s="23"/>
      <c r="AI11" s="224" t="s">
        <v>300</v>
      </c>
      <c r="AJ11" s="291">
        <f>PARÂMETROS!$H$3</f>
        <v>40</v>
      </c>
      <c r="AK11" s="267">
        <v>2.1527777777777798E-2</v>
      </c>
      <c r="AL11" s="267">
        <v>3.4722222222222203E-2</v>
      </c>
      <c r="AM11" s="267">
        <v>2.7777777777777801E-2</v>
      </c>
      <c r="AN11" s="267"/>
      <c r="AO11" s="267">
        <v>2.0833333333333301E-2</v>
      </c>
      <c r="AP11" s="267">
        <v>6.9444444444444397E-3</v>
      </c>
      <c r="AQ11" s="267">
        <v>3.125E-2</v>
      </c>
      <c r="AR11" s="271">
        <v>2</v>
      </c>
      <c r="AS11" s="292">
        <f t="shared" si="7"/>
        <v>0.14305555555555555</v>
      </c>
      <c r="AT11" s="291">
        <f t="shared" si="8"/>
        <v>137.33333333333331</v>
      </c>
      <c r="AU11" s="272">
        <f t="shared" si="9"/>
        <v>68.666666666666657</v>
      </c>
      <c r="AW11" s="273">
        <f t="shared" si="10"/>
        <v>511.34295129999998</v>
      </c>
      <c r="AX11" s="274">
        <f t="shared" si="11"/>
        <v>137.33333333333331</v>
      </c>
      <c r="AY11" s="275">
        <v>3</v>
      </c>
      <c r="AZ11" s="276">
        <f t="shared" si="12"/>
        <v>45.777777777777771</v>
      </c>
      <c r="BA11" s="293">
        <f t="shared" si="13"/>
        <v>557.1207290777777</v>
      </c>
      <c r="BB11" s="275">
        <v>3</v>
      </c>
      <c r="BW11" s="293">
        <v>80</v>
      </c>
      <c r="BX11" s="293">
        <f t="shared" si="14"/>
        <v>637.1207290777777</v>
      </c>
    </row>
    <row r="12" spans="1:76" ht="27" customHeight="1" x14ac:dyDescent="0.3">
      <c r="A12" s="224" t="s">
        <v>41</v>
      </c>
      <c r="B12" s="225" t="s">
        <v>1384</v>
      </c>
      <c r="C12" s="228">
        <v>1.3089999999999999</v>
      </c>
      <c r="D12" s="263">
        <f>C12*D5</f>
        <v>25.64331</v>
      </c>
      <c r="E12" s="228">
        <v>0.58899999999999997</v>
      </c>
      <c r="F12" s="263">
        <f>E12*F5</f>
        <v>11.538509999999999</v>
      </c>
      <c r="G12" s="227">
        <f t="shared" si="0"/>
        <v>37.181820000000002</v>
      </c>
      <c r="H12" s="228">
        <v>0.8</v>
      </c>
      <c r="I12" s="227">
        <f>H12*PARÂMETROS!$E$22</f>
        <v>33.896000000000001</v>
      </c>
      <c r="J12" s="228">
        <v>4.2000000000000003E-2</v>
      </c>
      <c r="K12" s="227">
        <f>J12*PARÂMETROS!$E$22</f>
        <v>1.7795399999999999</v>
      </c>
      <c r="L12" s="228">
        <v>2E-3</v>
      </c>
      <c r="M12" s="230">
        <f>L12*PARÂMETROS!$E$8</f>
        <v>6.1780000000000002E-2</v>
      </c>
      <c r="N12" s="228">
        <f t="shared" si="1"/>
        <v>8.0000000000000002E-3</v>
      </c>
      <c r="O12" s="230">
        <f>N12*PARÂMETROS!$E$8</f>
        <v>0.24712000000000001</v>
      </c>
      <c r="P12" s="228">
        <f t="shared" si="2"/>
        <v>4.2000000000000006E-3</v>
      </c>
      <c r="Q12" s="230">
        <f>P12*PARÂMETROS!$E$8</f>
        <v>0.12973800000000002</v>
      </c>
      <c r="R12" s="228">
        <f t="shared" si="3"/>
        <v>8.0000000000000004E-4</v>
      </c>
      <c r="S12" s="230">
        <f>R12*PARÂMETROS!$E$8</f>
        <v>2.4712000000000001E-2</v>
      </c>
      <c r="T12" s="231">
        <v>0.92</v>
      </c>
      <c r="U12" s="230">
        <f>T12*PARÂMETROS!$E$27</f>
        <v>2.7600000000000002</v>
      </c>
      <c r="V12" s="299">
        <v>2.7</v>
      </c>
      <c r="W12" s="230">
        <f>V12*PARÂMETROS!$E$29</f>
        <v>484.21800000000002</v>
      </c>
      <c r="X12" s="299">
        <v>0.54</v>
      </c>
      <c r="Y12" s="230">
        <f>X12*PARÂMETROS!$E$31</f>
        <v>8.1810000000000009</v>
      </c>
      <c r="Z12" s="228">
        <f t="shared" si="4"/>
        <v>8.0000000000000002E-3</v>
      </c>
      <c r="AA12" s="230">
        <f>Z12*PARÂMETROS!$E$8</f>
        <v>0.24712000000000001</v>
      </c>
      <c r="AB12" s="229">
        <f t="shared" si="5"/>
        <v>4.2000000000000002E-4</v>
      </c>
      <c r="AC12" s="230">
        <f>AB12*PARÂMETROS!$E$8</f>
        <v>1.2973800000000001E-2</v>
      </c>
      <c r="AF12" s="232" t="s">
        <v>1390</v>
      </c>
      <c r="AG12" s="264">
        <f t="shared" si="6"/>
        <v>568.73980380000012</v>
      </c>
      <c r="AH12" s="23"/>
      <c r="AI12" s="224" t="s">
        <v>41</v>
      </c>
      <c r="AJ12" s="291">
        <f>PARÂMETROS!$H$3</f>
        <v>40</v>
      </c>
      <c r="AK12" s="267">
        <v>2.1527777777777798E-2</v>
      </c>
      <c r="AL12" s="267">
        <v>3.4722222222222203E-2</v>
      </c>
      <c r="AM12" s="267">
        <v>2.7777777777777801E-2</v>
      </c>
      <c r="AN12" s="267"/>
      <c r="AO12" s="267">
        <v>2.0833333333333301E-2</v>
      </c>
      <c r="AP12" s="267">
        <v>6.9444444444444397E-3</v>
      </c>
      <c r="AQ12" s="267">
        <v>3.125E-2</v>
      </c>
      <c r="AR12" s="271">
        <v>2</v>
      </c>
      <c r="AS12" s="292">
        <f t="shared" si="7"/>
        <v>0.14305555555555555</v>
      </c>
      <c r="AT12" s="291">
        <f t="shared" si="8"/>
        <v>137.33333333333331</v>
      </c>
      <c r="AU12" s="272">
        <f t="shared" si="9"/>
        <v>68.666666666666657</v>
      </c>
      <c r="AW12" s="273">
        <f t="shared" si="10"/>
        <v>568.73980380000012</v>
      </c>
      <c r="AX12" s="274">
        <f t="shared" si="11"/>
        <v>137.33333333333331</v>
      </c>
      <c r="AY12" s="275">
        <v>2</v>
      </c>
      <c r="AZ12" s="276">
        <f t="shared" si="12"/>
        <v>68.666666666666657</v>
      </c>
      <c r="BA12" s="293">
        <f t="shared" si="13"/>
        <v>637.40647046666675</v>
      </c>
      <c r="BB12" s="275">
        <v>2</v>
      </c>
      <c r="BW12" s="293">
        <v>80</v>
      </c>
      <c r="BX12" s="293">
        <f t="shared" si="14"/>
        <v>717.40647046666675</v>
      </c>
    </row>
    <row r="13" spans="1:76" ht="27" customHeight="1" x14ac:dyDescent="0.3">
      <c r="A13" s="224" t="s">
        <v>43</v>
      </c>
      <c r="B13" s="225" t="s">
        <v>1384</v>
      </c>
      <c r="C13" s="228">
        <v>2.774</v>
      </c>
      <c r="D13" s="263">
        <f>C13*D5</f>
        <v>54.342660000000002</v>
      </c>
      <c r="E13" s="228">
        <v>1.248</v>
      </c>
      <c r="F13" s="263">
        <f>E13*F5</f>
        <v>24.448319999999999</v>
      </c>
      <c r="G13" s="227">
        <f t="shared" si="0"/>
        <v>78.790980000000005</v>
      </c>
      <c r="H13" s="228">
        <v>1</v>
      </c>
      <c r="I13" s="227">
        <f>H13*PARÂMETROS!$E$22</f>
        <v>42.37</v>
      </c>
      <c r="J13" s="228">
        <v>6.5000000000000002E-2</v>
      </c>
      <c r="K13" s="227">
        <f>J13*PARÂMETROS!$E$22</f>
        <v>2.7540499999999999</v>
      </c>
      <c r="L13" s="228">
        <v>2E-3</v>
      </c>
      <c r="M13" s="230">
        <f>L13*PARÂMETROS!$E$8</f>
        <v>6.1780000000000002E-2</v>
      </c>
      <c r="N13" s="228">
        <f t="shared" si="1"/>
        <v>0.01</v>
      </c>
      <c r="O13" s="230">
        <f>N13*PARÂMETROS!$E$8</f>
        <v>0.30890000000000001</v>
      </c>
      <c r="P13" s="228">
        <f t="shared" si="2"/>
        <v>6.5000000000000006E-3</v>
      </c>
      <c r="Q13" s="230">
        <f>P13*PARÂMETROS!$E$8</f>
        <v>0.20078500000000002</v>
      </c>
      <c r="R13" s="228">
        <f t="shared" si="3"/>
        <v>1E-3</v>
      </c>
      <c r="S13" s="230">
        <f>R13*PARÂMETROS!$E$8</f>
        <v>3.0890000000000001E-2</v>
      </c>
      <c r="T13" s="231">
        <v>1.02</v>
      </c>
      <c r="U13" s="230">
        <f>T13*PARÂMETROS!$E$27</f>
        <v>3.06</v>
      </c>
      <c r="V13" s="299">
        <v>3.45</v>
      </c>
      <c r="W13" s="230">
        <f>V13*PARÂMETROS!$E$29</f>
        <v>618.72300000000007</v>
      </c>
      <c r="X13" s="299">
        <v>0.71</v>
      </c>
      <c r="Y13" s="230">
        <f>X13*PARÂMETROS!$E$31</f>
        <v>10.756499999999999</v>
      </c>
      <c r="Z13" s="228">
        <f t="shared" si="4"/>
        <v>0.01</v>
      </c>
      <c r="AA13" s="230">
        <f>Z13*PARÂMETROS!$E$8</f>
        <v>0.30890000000000001</v>
      </c>
      <c r="AB13" s="228">
        <f t="shared" si="5"/>
        <v>6.5000000000000008E-4</v>
      </c>
      <c r="AC13" s="230">
        <f>AB13*PARÂMETROS!$E$8</f>
        <v>2.0078500000000003E-2</v>
      </c>
      <c r="AD13" s="23"/>
      <c r="AE13" s="23"/>
      <c r="AF13" s="232" t="s">
        <v>1391</v>
      </c>
      <c r="AG13" s="264">
        <f t="shared" si="6"/>
        <v>757.38586349999991</v>
      </c>
      <c r="AH13" s="23"/>
      <c r="AI13" s="224" t="s">
        <v>43</v>
      </c>
      <c r="AJ13" s="291">
        <f>PARÂMETROS!$H$3</f>
        <v>40</v>
      </c>
      <c r="AK13" s="267">
        <v>2.1527777777777798E-2</v>
      </c>
      <c r="AL13" s="267">
        <v>4.1666666666666699E-2</v>
      </c>
      <c r="AM13" s="267">
        <v>2.7777777777777801E-2</v>
      </c>
      <c r="AN13" s="267">
        <v>6.9444444444444397E-3</v>
      </c>
      <c r="AO13" s="267">
        <v>2.0833333333333301E-2</v>
      </c>
      <c r="AP13" s="267">
        <v>6.9444444444444397E-3</v>
      </c>
      <c r="AQ13" s="267">
        <v>3.125E-2</v>
      </c>
      <c r="AR13" s="271">
        <v>2</v>
      </c>
      <c r="AS13" s="292">
        <f t="shared" si="7"/>
        <v>0.1569444444444445</v>
      </c>
      <c r="AT13" s="291">
        <f t="shared" si="8"/>
        <v>150.66666666666674</v>
      </c>
      <c r="AU13" s="272">
        <f t="shared" si="9"/>
        <v>75.333333333333371</v>
      </c>
      <c r="AW13" s="273">
        <f t="shared" si="10"/>
        <v>757.38586349999991</v>
      </c>
      <c r="AX13" s="274">
        <f t="shared" si="11"/>
        <v>150.66666666666674</v>
      </c>
      <c r="AY13" s="275">
        <v>2</v>
      </c>
      <c r="AZ13" s="276">
        <f t="shared" si="12"/>
        <v>75.333333333333371</v>
      </c>
      <c r="BA13" s="293">
        <f t="shared" si="13"/>
        <v>832.71919683333329</v>
      </c>
      <c r="BB13" s="275">
        <v>2</v>
      </c>
      <c r="BW13" s="293">
        <v>80</v>
      </c>
      <c r="BX13" s="293">
        <f t="shared" si="14"/>
        <v>912.71919683333329</v>
      </c>
    </row>
    <row r="14" spans="1:76" ht="27" customHeight="1" x14ac:dyDescent="0.3">
      <c r="A14" s="224" t="s">
        <v>45</v>
      </c>
      <c r="B14" s="225" t="s">
        <v>1384</v>
      </c>
      <c r="C14" s="228">
        <v>4.58</v>
      </c>
      <c r="D14" s="263">
        <f>C14*D5</f>
        <v>89.722200000000001</v>
      </c>
      <c r="E14" s="228">
        <v>2.0609999999999999</v>
      </c>
      <c r="F14" s="263">
        <f>E14*F5</f>
        <v>40.374989999999997</v>
      </c>
      <c r="G14" s="227">
        <f t="shared" si="0"/>
        <v>130.09719000000001</v>
      </c>
      <c r="H14" s="228">
        <v>1.4</v>
      </c>
      <c r="I14" s="227">
        <f>H14*PARÂMETROS!$E$22</f>
        <v>59.317999999999991</v>
      </c>
      <c r="J14" s="228">
        <v>9.1999999999999998E-2</v>
      </c>
      <c r="K14" s="227">
        <f>J14*PARÂMETROS!$E$22</f>
        <v>3.8980399999999995</v>
      </c>
      <c r="L14" s="228">
        <v>2E-3</v>
      </c>
      <c r="M14" s="230">
        <f>L14*PARÂMETROS!$E$8</f>
        <v>6.1780000000000002E-2</v>
      </c>
      <c r="N14" s="228">
        <f t="shared" si="1"/>
        <v>1.3999999999999999E-2</v>
      </c>
      <c r="O14" s="230">
        <f>N14*PARÂMETROS!$E$8</f>
        <v>0.43245999999999996</v>
      </c>
      <c r="P14" s="228">
        <f t="shared" si="2"/>
        <v>9.1999999999999998E-3</v>
      </c>
      <c r="Q14" s="230">
        <f>P14*PARÂMETROS!$E$8</f>
        <v>0.284188</v>
      </c>
      <c r="R14" s="228">
        <f t="shared" si="3"/>
        <v>1.4E-3</v>
      </c>
      <c r="S14" s="230">
        <f>R14*PARÂMETROS!$E$8</f>
        <v>4.3246E-2</v>
      </c>
      <c r="T14" s="231">
        <v>1.1200000000000001</v>
      </c>
      <c r="U14" s="230">
        <f>T14*PARÂMETROS!$E$27</f>
        <v>3.3600000000000003</v>
      </c>
      <c r="V14" s="299">
        <v>4.6500000000000004</v>
      </c>
      <c r="W14" s="230">
        <f>V14*PARÂMETROS!$E$29</f>
        <v>833.93100000000004</v>
      </c>
      <c r="X14" s="299">
        <v>0.9</v>
      </c>
      <c r="Y14" s="230">
        <f>X14*PARÂMETROS!$E$31</f>
        <v>13.635</v>
      </c>
      <c r="Z14" s="228">
        <f t="shared" si="4"/>
        <v>1.3999999999999999E-2</v>
      </c>
      <c r="AA14" s="230">
        <f>Z14*PARÂMETROS!$E$8</f>
        <v>0.43245999999999996</v>
      </c>
      <c r="AB14" s="228">
        <f t="shared" si="5"/>
        <v>9.2000000000000003E-4</v>
      </c>
      <c r="AC14" s="230">
        <f>AB14*PARÂMETROS!$E$8</f>
        <v>2.8418800000000001E-2</v>
      </c>
      <c r="AF14" s="232" t="s">
        <v>1392</v>
      </c>
      <c r="AG14" s="264">
        <f t="shared" si="6"/>
        <v>1045.5217828000002</v>
      </c>
      <c r="AH14" s="23"/>
      <c r="AI14" s="224" t="s">
        <v>45</v>
      </c>
      <c r="AJ14" s="291">
        <f>PARÂMETROS!$H$3</f>
        <v>40</v>
      </c>
      <c r="AK14" s="267">
        <v>2.1527777777777798E-2</v>
      </c>
      <c r="AL14" s="267">
        <v>4.1666666666666699E-2</v>
      </c>
      <c r="AM14" s="267">
        <v>3.4722222222222203E-2</v>
      </c>
      <c r="AN14" s="267">
        <v>6.9444444444444397E-3</v>
      </c>
      <c r="AO14" s="267">
        <v>2.0833333333333301E-2</v>
      </c>
      <c r="AP14" s="267">
        <v>6.9444444444444397E-3</v>
      </c>
      <c r="AQ14" s="267">
        <v>3.125E-2</v>
      </c>
      <c r="AR14" s="271">
        <v>2</v>
      </c>
      <c r="AS14" s="292">
        <f t="shared" si="7"/>
        <v>0.16388888888888892</v>
      </c>
      <c r="AT14" s="291">
        <f t="shared" si="8"/>
        <v>157.33333333333337</v>
      </c>
      <c r="AU14" s="272">
        <f t="shared" si="9"/>
        <v>78.666666666666686</v>
      </c>
      <c r="AW14" s="273">
        <f t="shared" si="10"/>
        <v>1045.5217828000002</v>
      </c>
      <c r="AX14" s="274">
        <f t="shared" si="11"/>
        <v>157.33333333333337</v>
      </c>
      <c r="AY14" s="275">
        <v>2</v>
      </c>
      <c r="AZ14" s="276">
        <f t="shared" si="12"/>
        <v>78.666666666666686</v>
      </c>
      <c r="BA14" s="293">
        <f t="shared" si="13"/>
        <v>1124.188449466667</v>
      </c>
      <c r="BB14" s="275">
        <v>2</v>
      </c>
      <c r="BW14" s="293">
        <v>80</v>
      </c>
      <c r="BX14" s="293">
        <f t="shared" si="14"/>
        <v>1204.188449466667</v>
      </c>
    </row>
    <row r="15" spans="1:76" ht="27" customHeight="1" x14ac:dyDescent="0.3">
      <c r="A15" s="224" t="s">
        <v>47</v>
      </c>
      <c r="B15" s="225" t="s">
        <v>1384</v>
      </c>
      <c r="C15" s="228">
        <v>6.7759999999999998</v>
      </c>
      <c r="D15" s="263">
        <f>C15*D5</f>
        <v>132.74184</v>
      </c>
      <c r="E15" s="228">
        <v>3.0489999999999999</v>
      </c>
      <c r="F15" s="263">
        <f>E15*F5</f>
        <v>59.729909999999997</v>
      </c>
      <c r="G15" s="227">
        <f t="shared" si="0"/>
        <v>192.47174999999999</v>
      </c>
      <c r="H15" s="228">
        <v>1.8</v>
      </c>
      <c r="I15" s="227">
        <f>H15*PARÂMETROS!$E$22</f>
        <v>76.265999999999991</v>
      </c>
      <c r="J15" s="228">
        <v>0.124</v>
      </c>
      <c r="K15" s="227">
        <f>J15*PARÂMETROS!$E$22</f>
        <v>5.2538799999999997</v>
      </c>
      <c r="L15" s="228">
        <v>2E-3</v>
      </c>
      <c r="M15" s="230">
        <f>L15*PARÂMETROS!$E$8</f>
        <v>6.1780000000000002E-2</v>
      </c>
      <c r="N15" s="228">
        <f t="shared" si="1"/>
        <v>1.8000000000000002E-2</v>
      </c>
      <c r="O15" s="230">
        <f>N15*PARÂMETROS!$E$8</f>
        <v>0.55602000000000007</v>
      </c>
      <c r="P15" s="228">
        <f t="shared" si="2"/>
        <v>1.2400000000000001E-2</v>
      </c>
      <c r="Q15" s="230">
        <f>P15*PARÂMETROS!$E$8</f>
        <v>0.38303600000000004</v>
      </c>
      <c r="R15" s="228">
        <f t="shared" si="3"/>
        <v>1.8000000000000004E-3</v>
      </c>
      <c r="S15" s="230">
        <f>R15*PARÂMETROS!$E$8</f>
        <v>5.5602000000000013E-2</v>
      </c>
      <c r="T15" s="231">
        <v>1.22</v>
      </c>
      <c r="U15" s="230">
        <f>T15*PARÂMETROS!$E$27</f>
        <v>3.66</v>
      </c>
      <c r="V15" s="299">
        <v>6.06</v>
      </c>
      <c r="W15" s="230">
        <f>V15*PARÂMETROS!$E$29</f>
        <v>1086.8003999999999</v>
      </c>
      <c r="X15" s="299">
        <v>1.2</v>
      </c>
      <c r="Y15" s="230">
        <f>X15*PARÂMETROS!$E$31</f>
        <v>18.18</v>
      </c>
      <c r="Z15" s="228">
        <f t="shared" si="4"/>
        <v>1.8000000000000002E-2</v>
      </c>
      <c r="AA15" s="230">
        <f>Z15*PARÂMETROS!$E$8</f>
        <v>0.55602000000000007</v>
      </c>
      <c r="AB15" s="228">
        <f t="shared" si="5"/>
        <v>1.24E-3</v>
      </c>
      <c r="AC15" s="230">
        <f>AB15*PARÂMETROS!$E$8</f>
        <v>3.83036E-2</v>
      </c>
      <c r="AD15" s="23"/>
      <c r="AE15" s="23"/>
      <c r="AF15" s="232" t="s">
        <v>1393</v>
      </c>
      <c r="AG15" s="264">
        <f t="shared" si="6"/>
        <v>1384.2827915999999</v>
      </c>
      <c r="AH15" s="23"/>
      <c r="AI15" s="224" t="s">
        <v>47</v>
      </c>
      <c r="AJ15" s="291">
        <f>PARÂMETROS!$H$3</f>
        <v>40</v>
      </c>
      <c r="AK15" s="267">
        <v>2.1527777777777798E-2</v>
      </c>
      <c r="AL15" s="267">
        <v>4.1666666666666699E-2</v>
      </c>
      <c r="AM15" s="267">
        <v>3.4722222222222203E-2</v>
      </c>
      <c r="AN15" s="267">
        <v>6.9444444444444397E-3</v>
      </c>
      <c r="AO15" s="267">
        <v>2.0833333333333301E-2</v>
      </c>
      <c r="AP15" s="267">
        <v>6.9444444444444397E-3</v>
      </c>
      <c r="AQ15" s="267">
        <v>3.125E-2</v>
      </c>
      <c r="AR15" s="271">
        <v>1</v>
      </c>
      <c r="AS15" s="292">
        <f t="shared" si="7"/>
        <v>0.16388888888888892</v>
      </c>
      <c r="AT15" s="291">
        <f t="shared" si="8"/>
        <v>157.33333333333337</v>
      </c>
      <c r="AU15" s="272">
        <f t="shared" si="9"/>
        <v>157.33333333333337</v>
      </c>
      <c r="AW15" s="273">
        <f t="shared" si="10"/>
        <v>1384.2827915999999</v>
      </c>
      <c r="AX15" s="274">
        <f t="shared" si="11"/>
        <v>157.33333333333337</v>
      </c>
      <c r="AY15" s="275">
        <v>1</v>
      </c>
      <c r="AZ15" s="276">
        <f t="shared" si="12"/>
        <v>157.33333333333337</v>
      </c>
      <c r="BA15" s="293">
        <f t="shared" si="13"/>
        <v>1541.6161249333331</v>
      </c>
      <c r="BB15" s="275">
        <v>1</v>
      </c>
      <c r="BW15" s="293">
        <v>80</v>
      </c>
      <c r="BX15" s="293">
        <f t="shared" si="14"/>
        <v>1621.6161249333331</v>
      </c>
    </row>
    <row r="16" spans="1:76" ht="27" customHeight="1" x14ac:dyDescent="0.3">
      <c r="A16" s="224" t="s">
        <v>222</v>
      </c>
      <c r="B16" s="225" t="s">
        <v>1384</v>
      </c>
      <c r="C16" s="228">
        <v>9</v>
      </c>
      <c r="D16" s="263">
        <f>C16*D5</f>
        <v>176.31</v>
      </c>
      <c r="E16" s="228">
        <v>4.05</v>
      </c>
      <c r="F16" s="263">
        <f>E16*F5</f>
        <v>79.339500000000001</v>
      </c>
      <c r="G16" s="227">
        <f t="shared" si="0"/>
        <v>255.64949999999999</v>
      </c>
      <c r="H16" s="228">
        <v>2.5</v>
      </c>
      <c r="I16" s="227">
        <f>H16*PARÂMETROS!$E$22</f>
        <v>105.925</v>
      </c>
      <c r="J16" s="228">
        <v>0.161</v>
      </c>
      <c r="K16" s="227">
        <f>J16*PARÂMETROS!$E$22</f>
        <v>6.8215699999999995</v>
      </c>
      <c r="L16" s="228">
        <v>2E-3</v>
      </c>
      <c r="M16" s="230">
        <f>L16*PARÂMETROS!$E$8</f>
        <v>6.1780000000000002E-2</v>
      </c>
      <c r="N16" s="228">
        <f t="shared" si="1"/>
        <v>2.5000000000000001E-2</v>
      </c>
      <c r="O16" s="230">
        <f>N16*PARÂMETROS!$E$8</f>
        <v>0.7722500000000001</v>
      </c>
      <c r="P16" s="228">
        <f t="shared" si="2"/>
        <v>1.61E-2</v>
      </c>
      <c r="Q16" s="230">
        <f>P16*PARÂMETROS!$E$8</f>
        <v>0.49732900000000002</v>
      </c>
      <c r="R16" s="228">
        <f t="shared" si="3"/>
        <v>2.5000000000000005E-3</v>
      </c>
      <c r="S16" s="230">
        <f>R16*PARÂMETROS!$E$8</f>
        <v>7.7225000000000016E-2</v>
      </c>
      <c r="T16" s="231">
        <v>1.31</v>
      </c>
      <c r="U16" s="230">
        <f>T16*PARÂMETROS!$E$27</f>
        <v>3.93</v>
      </c>
      <c r="V16" s="299">
        <v>6.42</v>
      </c>
      <c r="W16" s="230">
        <f>V16*PARÂMETROS!$E$29</f>
        <v>1151.3628000000001</v>
      </c>
      <c r="X16" s="299">
        <v>1.3</v>
      </c>
      <c r="Y16" s="230">
        <f>X16*PARÂMETROS!$E$31</f>
        <v>19.695</v>
      </c>
      <c r="Z16" s="228">
        <f t="shared" si="4"/>
        <v>2.5000000000000001E-2</v>
      </c>
      <c r="AA16" s="230">
        <f>Z16*PARÂMETROS!$E$8</f>
        <v>0.7722500000000001</v>
      </c>
      <c r="AB16" s="228">
        <f t="shared" si="5"/>
        <v>1.6100000000000001E-3</v>
      </c>
      <c r="AC16" s="230">
        <f>AB16*PARÂMETROS!$E$8</f>
        <v>4.9732900000000003E-2</v>
      </c>
      <c r="AF16" s="232" t="s">
        <v>1394</v>
      </c>
      <c r="AG16" s="264">
        <f t="shared" si="6"/>
        <v>1545.6144369000001</v>
      </c>
      <c r="AH16" s="23"/>
      <c r="AI16" s="224" t="s">
        <v>222</v>
      </c>
      <c r="AJ16" s="291">
        <f>PARÂMETROS!$H$3</f>
        <v>40</v>
      </c>
      <c r="AK16" s="267">
        <v>2.1527777777777798E-2</v>
      </c>
      <c r="AL16" s="267">
        <v>4.1666666666666699E-2</v>
      </c>
      <c r="AM16" s="267">
        <v>3.4722222222222203E-2</v>
      </c>
      <c r="AN16" s="267">
        <v>6.9444444444444397E-3</v>
      </c>
      <c r="AO16" s="267">
        <v>2.0833333333333301E-2</v>
      </c>
      <c r="AP16" s="267">
        <v>6.9444444444444397E-3</v>
      </c>
      <c r="AQ16" s="267">
        <v>3.125E-2</v>
      </c>
      <c r="AR16" s="271">
        <v>1</v>
      </c>
      <c r="AS16" s="292">
        <f t="shared" si="7"/>
        <v>0.16388888888888892</v>
      </c>
      <c r="AT16" s="291">
        <f t="shared" si="8"/>
        <v>157.33333333333337</v>
      </c>
      <c r="AU16" s="272">
        <f t="shared" si="9"/>
        <v>157.33333333333337</v>
      </c>
      <c r="AW16" s="273">
        <f t="shared" si="10"/>
        <v>1545.6144369000001</v>
      </c>
      <c r="AX16" s="274">
        <f t="shared" si="11"/>
        <v>157.33333333333337</v>
      </c>
      <c r="AY16" s="275">
        <v>1</v>
      </c>
      <c r="AZ16" s="276">
        <f t="shared" si="12"/>
        <v>157.33333333333337</v>
      </c>
      <c r="BA16" s="293">
        <f t="shared" si="13"/>
        <v>1702.9477702333334</v>
      </c>
      <c r="BB16" s="275">
        <v>1</v>
      </c>
      <c r="BW16" s="293">
        <v>80</v>
      </c>
      <c r="BX16" s="293">
        <f t="shared" si="14"/>
        <v>1782.9477702333334</v>
      </c>
    </row>
    <row r="17" spans="1:76" ht="27" customHeight="1" x14ac:dyDescent="0.3">
      <c r="A17" s="224" t="s">
        <v>226</v>
      </c>
      <c r="B17" s="225" t="s">
        <v>1384</v>
      </c>
      <c r="C17" s="228">
        <v>15.164</v>
      </c>
      <c r="D17" s="263">
        <f>C17*D5</f>
        <v>297.06275999999997</v>
      </c>
      <c r="E17" s="228">
        <v>6.8239999999999998</v>
      </c>
      <c r="F17" s="263">
        <f>E17*F5</f>
        <v>133.68215999999998</v>
      </c>
      <c r="G17" s="227">
        <f t="shared" si="0"/>
        <v>430.74491999999998</v>
      </c>
      <c r="H17" s="228">
        <v>3</v>
      </c>
      <c r="I17" s="227">
        <f>H17*PARÂMETROS!$E$22</f>
        <v>127.10999999999999</v>
      </c>
      <c r="J17" s="228">
        <v>0.19400000000000001</v>
      </c>
      <c r="K17" s="227">
        <f>J17*PARÂMETROS!$E$22</f>
        <v>8.2197800000000001</v>
      </c>
      <c r="L17" s="228">
        <v>2E-3</v>
      </c>
      <c r="M17" s="230">
        <f>L17*PARÂMETROS!$E$8</f>
        <v>6.1780000000000002E-2</v>
      </c>
      <c r="N17" s="228">
        <f t="shared" si="1"/>
        <v>0.03</v>
      </c>
      <c r="O17" s="230">
        <f>N17*PARÂMETROS!$E$8</f>
        <v>0.92669999999999997</v>
      </c>
      <c r="P17" s="228">
        <f t="shared" si="2"/>
        <v>1.9400000000000001E-2</v>
      </c>
      <c r="Q17" s="230">
        <f>P17*PARÂMETROS!$E$8</f>
        <v>0.59926600000000008</v>
      </c>
      <c r="R17" s="228">
        <f t="shared" si="3"/>
        <v>3.0000000000000001E-3</v>
      </c>
      <c r="S17" s="230">
        <f>R17*PARÂMETROS!$E$8</f>
        <v>9.2670000000000002E-2</v>
      </c>
      <c r="T17" s="231">
        <v>1.4</v>
      </c>
      <c r="U17" s="230">
        <f>T17*PARÂMETROS!$E$27</f>
        <v>4.1999999999999993</v>
      </c>
      <c r="V17" s="299">
        <v>8.61</v>
      </c>
      <c r="W17" s="230">
        <f>V17*PARÂMETROS!$E$29</f>
        <v>1544.1173999999999</v>
      </c>
      <c r="X17" s="299">
        <v>1.7</v>
      </c>
      <c r="Y17" s="230">
        <f>X17*PARÂMETROS!$E$31</f>
        <v>25.754999999999999</v>
      </c>
      <c r="Z17" s="228">
        <f t="shared" si="4"/>
        <v>0.03</v>
      </c>
      <c r="AA17" s="230">
        <f>Z17*PARÂMETROS!$E$8</f>
        <v>0.92669999999999997</v>
      </c>
      <c r="AB17" s="228">
        <f t="shared" si="5"/>
        <v>1.9400000000000001E-3</v>
      </c>
      <c r="AC17" s="230">
        <f>AB17*PARÂMETROS!$E$8</f>
        <v>5.9926600000000003E-2</v>
      </c>
      <c r="AD17" s="23"/>
      <c r="AE17" s="23"/>
      <c r="AF17" s="232" t="s">
        <v>1395</v>
      </c>
      <c r="AG17" s="264">
        <f t="shared" si="6"/>
        <v>2142.8141425999997</v>
      </c>
      <c r="AH17" s="23"/>
      <c r="AI17" s="224" t="s">
        <v>226</v>
      </c>
      <c r="AJ17" s="291">
        <f>PARÂMETROS!$H$3</f>
        <v>40</v>
      </c>
      <c r="AK17" s="267">
        <v>2.1527777777777798E-2</v>
      </c>
      <c r="AL17" s="267">
        <v>4.1666666666666699E-2</v>
      </c>
      <c r="AM17" s="267">
        <v>3.4722222222222203E-2</v>
      </c>
      <c r="AN17" s="267">
        <v>6.9444444444444397E-3</v>
      </c>
      <c r="AO17" s="267">
        <v>2.0833333333333301E-2</v>
      </c>
      <c r="AP17" s="267">
        <v>6.9444444444444397E-3</v>
      </c>
      <c r="AQ17" s="267">
        <v>3.125E-2</v>
      </c>
      <c r="AR17" s="271">
        <v>1</v>
      </c>
      <c r="AS17" s="292">
        <f t="shared" si="7"/>
        <v>0.16388888888888892</v>
      </c>
      <c r="AT17" s="291">
        <f t="shared" si="8"/>
        <v>157.33333333333337</v>
      </c>
      <c r="AU17" s="272">
        <f t="shared" si="9"/>
        <v>157.33333333333337</v>
      </c>
      <c r="AW17" s="273">
        <f t="shared" si="10"/>
        <v>2142.8141425999997</v>
      </c>
      <c r="AX17" s="274">
        <f t="shared" si="11"/>
        <v>157.33333333333337</v>
      </c>
      <c r="AY17" s="275">
        <v>1</v>
      </c>
      <c r="AZ17" s="276">
        <f t="shared" si="12"/>
        <v>157.33333333333337</v>
      </c>
      <c r="BA17" s="293">
        <f t="shared" si="13"/>
        <v>2300.1474759333332</v>
      </c>
      <c r="BB17" s="275">
        <v>1</v>
      </c>
      <c r="BW17" s="293">
        <v>80</v>
      </c>
      <c r="BX17" s="293">
        <f t="shared" si="14"/>
        <v>2380.1474759333332</v>
      </c>
    </row>
    <row r="18" spans="1:76" ht="27" customHeight="1" x14ac:dyDescent="0.3">
      <c r="A18" s="224" t="s">
        <v>230</v>
      </c>
      <c r="B18" s="225" t="s">
        <v>1384</v>
      </c>
      <c r="C18" s="228">
        <v>21</v>
      </c>
      <c r="D18" s="263">
        <f>C18*D5</f>
        <v>411.39</v>
      </c>
      <c r="E18" s="228">
        <v>9.4</v>
      </c>
      <c r="F18" s="263">
        <f>E18*F5</f>
        <v>184.14600000000002</v>
      </c>
      <c r="G18" s="227">
        <f t="shared" si="0"/>
        <v>595.53600000000006</v>
      </c>
      <c r="H18" s="228">
        <v>3.4</v>
      </c>
      <c r="I18" s="227">
        <f>H18*PARÂMETROS!$E$22</f>
        <v>144.05799999999999</v>
      </c>
      <c r="J18" s="228">
        <v>0.25</v>
      </c>
      <c r="K18" s="227">
        <f>J18*PARÂMETROS!$E$22</f>
        <v>10.592499999999999</v>
      </c>
      <c r="L18" s="228">
        <v>2E-3</v>
      </c>
      <c r="M18" s="230">
        <f>L18*PARÂMETROS!$E$8</f>
        <v>6.1780000000000002E-2</v>
      </c>
      <c r="N18" s="228">
        <f t="shared" si="1"/>
        <v>3.4000000000000002E-2</v>
      </c>
      <c r="O18" s="230">
        <f>N18*PARÂMETROS!$E$8</f>
        <v>1.0502600000000002</v>
      </c>
      <c r="P18" s="228">
        <f t="shared" si="2"/>
        <v>2.5000000000000001E-2</v>
      </c>
      <c r="Q18" s="230">
        <f>P18*PARÂMETROS!$E$8</f>
        <v>0.7722500000000001</v>
      </c>
      <c r="R18" s="228">
        <f t="shared" si="3"/>
        <v>3.4000000000000002E-3</v>
      </c>
      <c r="S18" s="230">
        <f>R18*PARÂMETROS!$E$8</f>
        <v>0.10502600000000001</v>
      </c>
      <c r="T18" s="231">
        <v>1.52</v>
      </c>
      <c r="U18" s="230">
        <f>T18*PARÂMETROS!$E$27</f>
        <v>4.5600000000000005</v>
      </c>
      <c r="V18" s="299">
        <v>10.96</v>
      </c>
      <c r="W18" s="230">
        <f>V18*PARÂMETROS!$E$29</f>
        <v>1965.5664000000002</v>
      </c>
      <c r="X18" s="299">
        <v>1.2</v>
      </c>
      <c r="Y18" s="230">
        <f>X18*PARÂMETROS!$E$31</f>
        <v>18.18</v>
      </c>
      <c r="Z18" s="228">
        <f t="shared" si="4"/>
        <v>3.4000000000000002E-2</v>
      </c>
      <c r="AA18" s="230">
        <f>Z18*PARÂMETROS!$E$8</f>
        <v>1.0502600000000002</v>
      </c>
      <c r="AB18" s="228">
        <f t="shared" si="5"/>
        <v>2.5000000000000001E-3</v>
      </c>
      <c r="AC18" s="230">
        <f>AB18*PARÂMETROS!$E$8</f>
        <v>7.7225000000000002E-2</v>
      </c>
      <c r="AF18" s="232" t="s">
        <v>1396</v>
      </c>
      <c r="AG18" s="264">
        <f t="shared" si="6"/>
        <v>2741.6097009999999</v>
      </c>
      <c r="AH18" s="23"/>
      <c r="AI18" s="224" t="s">
        <v>230</v>
      </c>
      <c r="AJ18" s="291">
        <f>PARÂMETROS!$H$3</f>
        <v>40</v>
      </c>
      <c r="AK18" s="267">
        <v>2.1527777777777798E-2</v>
      </c>
      <c r="AL18" s="267">
        <v>4.1666666666666699E-2</v>
      </c>
      <c r="AM18" s="267">
        <v>3.4722222222222203E-2</v>
      </c>
      <c r="AN18" s="267">
        <v>6.9444444444444397E-3</v>
      </c>
      <c r="AO18" s="267">
        <v>2.0833333333333301E-2</v>
      </c>
      <c r="AP18" s="267">
        <v>6.9444444444444397E-3</v>
      </c>
      <c r="AQ18" s="267">
        <v>3.125E-2</v>
      </c>
      <c r="AR18" s="271">
        <v>1</v>
      </c>
      <c r="AS18" s="292">
        <f t="shared" si="7"/>
        <v>0.16388888888888892</v>
      </c>
      <c r="AT18" s="291">
        <f t="shared" si="8"/>
        <v>157.33333333333337</v>
      </c>
      <c r="AU18" s="272">
        <f t="shared" si="9"/>
        <v>157.33333333333337</v>
      </c>
      <c r="AW18" s="273">
        <f t="shared" si="10"/>
        <v>2741.6097009999999</v>
      </c>
      <c r="AX18" s="274">
        <f t="shared" si="11"/>
        <v>157.33333333333337</v>
      </c>
      <c r="AY18" s="275">
        <v>1</v>
      </c>
      <c r="AZ18" s="276">
        <f t="shared" si="12"/>
        <v>157.33333333333337</v>
      </c>
      <c r="BA18" s="293">
        <f t="shared" si="13"/>
        <v>2898.9430343333333</v>
      </c>
      <c r="BB18" s="275">
        <v>1</v>
      </c>
      <c r="BW18" s="293">
        <v>80</v>
      </c>
      <c r="BX18" s="293">
        <f t="shared" si="14"/>
        <v>2978.9430343333333</v>
      </c>
    </row>
    <row r="19" spans="1:76" ht="27" customHeight="1" x14ac:dyDescent="0.3">
      <c r="A19" s="224" t="s">
        <v>234</v>
      </c>
      <c r="B19" s="225" t="s">
        <v>1384</v>
      </c>
      <c r="C19" s="228">
        <v>30</v>
      </c>
      <c r="D19" s="263">
        <f>C19*D5</f>
        <v>587.70000000000005</v>
      </c>
      <c r="E19" s="228">
        <v>13.5</v>
      </c>
      <c r="F19" s="263">
        <f>E19*F5</f>
        <v>264.46499999999997</v>
      </c>
      <c r="G19" s="227">
        <f t="shared" si="0"/>
        <v>852.16499999999996</v>
      </c>
      <c r="H19" s="228">
        <v>3.9</v>
      </c>
      <c r="I19" s="227">
        <f>H19*PARÂMETROS!$E$22</f>
        <v>165.24299999999999</v>
      </c>
      <c r="J19" s="228">
        <v>0.30099999999999999</v>
      </c>
      <c r="K19" s="227">
        <f>J19*PARÂMETROS!$E$22</f>
        <v>12.753369999999999</v>
      </c>
      <c r="L19" s="228">
        <v>2E-3</v>
      </c>
      <c r="M19" s="230">
        <f>L19*PARÂMETROS!$E$8</f>
        <v>6.1780000000000002E-2</v>
      </c>
      <c r="N19" s="228">
        <f t="shared" si="1"/>
        <v>3.9E-2</v>
      </c>
      <c r="O19" s="230">
        <f>N19*PARÂMETROS!$E$8</f>
        <v>1.2047099999999999</v>
      </c>
      <c r="P19" s="228">
        <f t="shared" si="2"/>
        <v>3.0100000000000002E-2</v>
      </c>
      <c r="Q19" s="230">
        <f>P19*PARÂMETROS!$E$8</f>
        <v>0.92978900000000009</v>
      </c>
      <c r="R19" s="228">
        <f t="shared" si="3"/>
        <v>3.9000000000000003E-3</v>
      </c>
      <c r="S19" s="230">
        <f>R19*PARÂMETROS!$E$8</f>
        <v>0.12047100000000001</v>
      </c>
      <c r="T19" s="231">
        <v>1.62</v>
      </c>
      <c r="U19" s="230">
        <f>T19*PARÂMETROS!$E$27</f>
        <v>4.8600000000000003</v>
      </c>
      <c r="V19" s="299">
        <v>8.4</v>
      </c>
      <c r="W19" s="230">
        <f>V19*PARÂMETROS!$E$29</f>
        <v>1506.4560000000001</v>
      </c>
      <c r="X19" s="299">
        <v>2.4</v>
      </c>
      <c r="Y19" s="230">
        <f>X19*PARÂMETROS!$E$31</f>
        <v>36.36</v>
      </c>
      <c r="Z19" s="228">
        <f t="shared" si="4"/>
        <v>3.9E-2</v>
      </c>
      <c r="AA19" s="230">
        <f>Z19*PARÂMETROS!$E$8</f>
        <v>1.2047099999999999</v>
      </c>
      <c r="AB19" s="228">
        <f t="shared" si="5"/>
        <v>3.0100000000000001E-3</v>
      </c>
      <c r="AC19" s="230">
        <f>AB19*PARÂMETROS!$E$8</f>
        <v>9.2978900000000003E-2</v>
      </c>
      <c r="AD19" s="23"/>
      <c r="AE19" s="23"/>
      <c r="AF19" s="232" t="s">
        <v>1397</v>
      </c>
      <c r="AG19" s="264">
        <f t="shared" si="6"/>
        <v>2581.4518089000003</v>
      </c>
      <c r="AH19" s="23"/>
      <c r="AI19" s="224" t="s">
        <v>234</v>
      </c>
      <c r="AJ19" s="291">
        <f>PARÂMETROS!$H$3</f>
        <v>40</v>
      </c>
      <c r="AK19" s="267">
        <v>2.1527777777777798E-2</v>
      </c>
      <c r="AL19" s="267">
        <v>0.15277777777777801</v>
      </c>
      <c r="AM19" s="267">
        <v>6.25E-2</v>
      </c>
      <c r="AN19" s="267">
        <v>6.9444444444444397E-3</v>
      </c>
      <c r="AO19" s="267">
        <v>2.0833333333333301E-2</v>
      </c>
      <c r="AP19" s="267">
        <v>6.9444444444444397E-3</v>
      </c>
      <c r="AQ19" s="267">
        <v>3.125E-2</v>
      </c>
      <c r="AR19" s="271">
        <v>1</v>
      </c>
      <c r="AS19" s="292">
        <f t="shared" si="7"/>
        <v>0.30277777777777803</v>
      </c>
      <c r="AT19" s="291">
        <f t="shared" si="8"/>
        <v>290.66666666666691</v>
      </c>
      <c r="AU19" s="272">
        <f t="shared" si="9"/>
        <v>290.66666666666691</v>
      </c>
      <c r="AW19" s="273">
        <f t="shared" si="10"/>
        <v>2581.4518089000003</v>
      </c>
      <c r="AX19" s="274">
        <f t="shared" si="11"/>
        <v>290.66666666666691</v>
      </c>
      <c r="AY19" s="275">
        <v>1</v>
      </c>
      <c r="AZ19" s="276">
        <f t="shared" si="12"/>
        <v>290.66666666666691</v>
      </c>
      <c r="BA19" s="293">
        <f t="shared" si="13"/>
        <v>2872.1184755666673</v>
      </c>
      <c r="BB19" s="275">
        <v>1</v>
      </c>
      <c r="BW19" s="293">
        <v>80</v>
      </c>
      <c r="BX19" s="293">
        <f t="shared" si="14"/>
        <v>2952.1184755666673</v>
      </c>
    </row>
    <row r="20" spans="1:76" ht="27" customHeight="1" x14ac:dyDescent="0.3">
      <c r="A20" s="224" t="s">
        <v>238</v>
      </c>
      <c r="B20" s="225" t="s">
        <v>1384</v>
      </c>
      <c r="C20" s="228">
        <v>34</v>
      </c>
      <c r="D20" s="263">
        <f>C20*D5</f>
        <v>666.06</v>
      </c>
      <c r="E20" s="228">
        <v>15.3</v>
      </c>
      <c r="F20" s="263">
        <f>E20*F5</f>
        <v>299.72700000000003</v>
      </c>
      <c r="G20" s="227">
        <f t="shared" si="0"/>
        <v>965.78700000000003</v>
      </c>
      <c r="H20" s="228">
        <v>4.5</v>
      </c>
      <c r="I20" s="227">
        <f>H20*PARÂMETROS!$E$22</f>
        <v>190.66499999999999</v>
      </c>
      <c r="J20" s="228">
        <v>0.35699999999999998</v>
      </c>
      <c r="K20" s="227">
        <f>J20*PARÂMETROS!$E$22</f>
        <v>15.126089999999998</v>
      </c>
      <c r="L20" s="228">
        <v>2E-3</v>
      </c>
      <c r="M20" s="230">
        <f>L20*PARÂMETROS!$E$8</f>
        <v>6.1780000000000002E-2</v>
      </c>
      <c r="N20" s="228">
        <f t="shared" si="1"/>
        <v>4.4999999999999998E-2</v>
      </c>
      <c r="O20" s="230">
        <f>N20*PARÂMETROS!$E$8</f>
        <v>1.39005</v>
      </c>
      <c r="P20" s="228">
        <f t="shared" si="2"/>
        <v>3.5700000000000003E-2</v>
      </c>
      <c r="Q20" s="230">
        <f>P20*PARÂMETROS!$E$8</f>
        <v>1.102773</v>
      </c>
      <c r="R20" s="228">
        <f t="shared" si="3"/>
        <v>4.4999999999999997E-3</v>
      </c>
      <c r="S20" s="230">
        <f>R20*PARÂMETROS!$E$8</f>
        <v>0.13900499999999999</v>
      </c>
      <c r="T20" s="231">
        <v>1.72</v>
      </c>
      <c r="U20" s="230">
        <f>T20*PARÂMETROS!$E$27</f>
        <v>5.16</v>
      </c>
      <c r="V20" s="299">
        <v>13.68</v>
      </c>
      <c r="W20" s="230">
        <f>V20*PARÂMETROS!$E$29</f>
        <v>2453.3712</v>
      </c>
      <c r="X20" s="299">
        <v>2.7</v>
      </c>
      <c r="Y20" s="230">
        <f>X20*PARÂMETROS!$E$31</f>
        <v>40.905000000000001</v>
      </c>
      <c r="Z20" s="228">
        <f t="shared" si="4"/>
        <v>4.4999999999999998E-2</v>
      </c>
      <c r="AA20" s="230">
        <f>Z20*PARÂMETROS!$E$8</f>
        <v>1.39005</v>
      </c>
      <c r="AB20" s="228">
        <f t="shared" si="5"/>
        <v>3.5699999999999998E-3</v>
      </c>
      <c r="AC20" s="230">
        <f>AB20*PARÂMETROS!$E$8</f>
        <v>0.11027729999999999</v>
      </c>
      <c r="AF20" s="232" t="s">
        <v>1398</v>
      </c>
      <c r="AG20" s="264">
        <f t="shared" si="6"/>
        <v>3675.2082252999999</v>
      </c>
      <c r="AH20" s="23"/>
      <c r="AI20" s="224" t="s">
        <v>238</v>
      </c>
      <c r="AJ20" s="291">
        <f>PARÂMETROS!$H$3</f>
        <v>40</v>
      </c>
      <c r="AK20" s="267">
        <v>4.1666666666666699E-2</v>
      </c>
      <c r="AL20" s="267">
        <v>0.15277777777777801</v>
      </c>
      <c r="AM20" s="267">
        <v>6.25E-2</v>
      </c>
      <c r="AN20" s="267">
        <v>6.9444444444444397E-3</v>
      </c>
      <c r="AO20" s="267">
        <v>2.0833333333333301E-2</v>
      </c>
      <c r="AP20" s="267">
        <v>6.9444444444444397E-3</v>
      </c>
      <c r="AQ20" s="267">
        <v>3.125E-2</v>
      </c>
      <c r="AR20" s="271">
        <v>1</v>
      </c>
      <c r="AS20" s="292">
        <f t="shared" si="7"/>
        <v>0.32291666666666691</v>
      </c>
      <c r="AT20" s="291">
        <f t="shared" si="8"/>
        <v>310.00000000000023</v>
      </c>
      <c r="AU20" s="272">
        <f t="shared" si="9"/>
        <v>310.00000000000023</v>
      </c>
      <c r="AW20" s="273">
        <f t="shared" si="10"/>
        <v>3675.2082252999999</v>
      </c>
      <c r="AX20" s="274">
        <f t="shared" si="11"/>
        <v>310.00000000000023</v>
      </c>
      <c r="AY20" s="275">
        <v>1</v>
      </c>
      <c r="AZ20" s="276">
        <f t="shared" si="12"/>
        <v>310.00000000000023</v>
      </c>
      <c r="BA20" s="293">
        <f t="shared" si="13"/>
        <v>3985.2082252999999</v>
      </c>
      <c r="BB20" s="275">
        <v>1</v>
      </c>
      <c r="BW20" s="293">
        <v>80</v>
      </c>
      <c r="BX20" s="293">
        <f t="shared" si="14"/>
        <v>4065.2082252999999</v>
      </c>
    </row>
    <row r="21" spans="1:76" ht="27" customHeight="1" x14ac:dyDescent="0.3">
      <c r="A21" s="224" t="s">
        <v>242</v>
      </c>
      <c r="B21" s="225" t="s">
        <v>1384</v>
      </c>
      <c r="C21" s="228">
        <v>42</v>
      </c>
      <c r="D21" s="263">
        <f>C21*D5</f>
        <v>822.78</v>
      </c>
      <c r="E21" s="228">
        <v>18.899999999999999</v>
      </c>
      <c r="F21" s="263">
        <f>E21*F5</f>
        <v>370.25099999999998</v>
      </c>
      <c r="G21" s="227">
        <f t="shared" si="0"/>
        <v>1193.0309999999999</v>
      </c>
      <c r="H21" s="228">
        <v>5</v>
      </c>
      <c r="I21" s="227">
        <f>H21*PARÂMETROS!$E$22</f>
        <v>211.85</v>
      </c>
      <c r="J21" s="228">
        <v>0.41799999999999998</v>
      </c>
      <c r="K21" s="227">
        <f>J21*PARÂMETROS!$E$22</f>
        <v>17.710659999999997</v>
      </c>
      <c r="L21" s="228">
        <v>2E-3</v>
      </c>
      <c r="M21" s="230">
        <f>L21*PARÂMETROS!$E$8</f>
        <v>6.1780000000000002E-2</v>
      </c>
      <c r="N21" s="228">
        <f t="shared" si="1"/>
        <v>0.05</v>
      </c>
      <c r="O21" s="230">
        <f>N21*PARÂMETROS!$E$8</f>
        <v>1.5445000000000002</v>
      </c>
      <c r="P21" s="228">
        <f t="shared" si="2"/>
        <v>4.1800000000000004E-2</v>
      </c>
      <c r="Q21" s="230">
        <f>P21*PARÂMETROS!$E$8</f>
        <v>1.2912020000000002</v>
      </c>
      <c r="R21" s="228">
        <f t="shared" si="3"/>
        <v>5.000000000000001E-3</v>
      </c>
      <c r="S21" s="230">
        <f>R21*PARÂMETROS!$E$8</f>
        <v>0.15445000000000003</v>
      </c>
      <c r="T21" s="231">
        <v>1.82</v>
      </c>
      <c r="U21" s="230">
        <f>T21*PARÂMETROS!$E$27</f>
        <v>5.46</v>
      </c>
      <c r="V21" s="299">
        <v>13.76</v>
      </c>
      <c r="W21" s="230">
        <f>V21*PARÂMETROS!$E$29</f>
        <v>2467.7184000000002</v>
      </c>
      <c r="X21" s="299">
        <v>3.3</v>
      </c>
      <c r="Y21" s="230">
        <f>X21*PARÂMETROS!$E$31</f>
        <v>49.994999999999997</v>
      </c>
      <c r="Z21" s="228">
        <f t="shared" si="4"/>
        <v>0.05</v>
      </c>
      <c r="AA21" s="230">
        <f>Z21*PARÂMETROS!$E$8</f>
        <v>1.5445000000000002</v>
      </c>
      <c r="AB21" s="228">
        <f t="shared" si="5"/>
        <v>4.1799999999999997E-3</v>
      </c>
      <c r="AC21" s="230">
        <f>AB21*PARÂMETROS!$E$8</f>
        <v>0.12912019999999999</v>
      </c>
      <c r="AD21" s="23"/>
      <c r="AE21" s="23"/>
      <c r="AF21" s="232" t="s">
        <v>1399</v>
      </c>
      <c r="AG21" s="264">
        <f t="shared" si="6"/>
        <v>3950.4906122000002</v>
      </c>
      <c r="AH21" s="23"/>
      <c r="AI21" s="224" t="s">
        <v>242</v>
      </c>
      <c r="AJ21" s="291">
        <f>PARÂMETROS!$H$3</f>
        <v>40</v>
      </c>
      <c r="AK21" s="267">
        <v>4.1666666666666699E-2</v>
      </c>
      <c r="AL21" s="267">
        <v>0.15277777777777801</v>
      </c>
      <c r="AM21" s="267">
        <v>6.25E-2</v>
      </c>
      <c r="AN21" s="267">
        <v>6.9444444444444397E-3</v>
      </c>
      <c r="AO21" s="267">
        <v>2.0833333333333301E-2</v>
      </c>
      <c r="AP21" s="267">
        <v>6.9444444444444397E-3</v>
      </c>
      <c r="AQ21" s="267">
        <v>3.125E-2</v>
      </c>
      <c r="AR21" s="271">
        <v>1</v>
      </c>
      <c r="AS21" s="292">
        <f t="shared" si="7"/>
        <v>0.32291666666666691</v>
      </c>
      <c r="AT21" s="291">
        <f t="shared" si="8"/>
        <v>310.00000000000023</v>
      </c>
      <c r="AU21" s="272">
        <f t="shared" si="9"/>
        <v>310.00000000000023</v>
      </c>
      <c r="AW21" s="273">
        <f t="shared" si="10"/>
        <v>3950.4906122000002</v>
      </c>
      <c r="AX21" s="274">
        <f t="shared" si="11"/>
        <v>310.00000000000023</v>
      </c>
      <c r="AY21" s="275">
        <v>1</v>
      </c>
      <c r="AZ21" s="276">
        <f t="shared" si="12"/>
        <v>310.00000000000023</v>
      </c>
      <c r="BA21" s="293">
        <f t="shared" si="13"/>
        <v>4260.4906122000002</v>
      </c>
      <c r="BB21" s="275">
        <v>1</v>
      </c>
      <c r="BW21" s="293">
        <v>80</v>
      </c>
      <c r="BX21" s="293">
        <f t="shared" si="14"/>
        <v>4340.4906122000002</v>
      </c>
    </row>
    <row r="22" spans="1:76" ht="27" customHeight="1" x14ac:dyDescent="0.3">
      <c r="A22" s="224" t="s">
        <v>246</v>
      </c>
      <c r="B22" s="225" t="s">
        <v>1384</v>
      </c>
      <c r="C22" s="228">
        <v>49</v>
      </c>
      <c r="D22" s="263">
        <f>C22*D5</f>
        <v>959.91</v>
      </c>
      <c r="E22" s="228">
        <v>22.05</v>
      </c>
      <c r="F22" s="263">
        <f>E22*F5</f>
        <v>431.95949999999999</v>
      </c>
      <c r="G22" s="227">
        <f t="shared" si="0"/>
        <v>1391.8695</v>
      </c>
      <c r="H22" s="228">
        <v>5.4</v>
      </c>
      <c r="I22" s="227">
        <f>H22*PARÂMETROS!$E$22</f>
        <v>228.798</v>
      </c>
      <c r="J22" s="228">
        <v>0.498</v>
      </c>
      <c r="K22" s="227">
        <f>J22*PARÂMETROS!$E$22</f>
        <v>21.100259999999999</v>
      </c>
      <c r="L22" s="228">
        <v>2E-3</v>
      </c>
      <c r="M22" s="230">
        <f>L22*PARÂMETROS!$E$8</f>
        <v>6.1780000000000002E-2</v>
      </c>
      <c r="N22" s="228">
        <f t="shared" si="1"/>
        <v>5.4000000000000006E-2</v>
      </c>
      <c r="O22" s="230">
        <f>N22*PARÂMETROS!$E$8</f>
        <v>1.6680600000000003</v>
      </c>
      <c r="P22" s="228">
        <f t="shared" si="2"/>
        <v>4.9800000000000004E-2</v>
      </c>
      <c r="Q22" s="230">
        <f>P22*PARÂMETROS!$E$8</f>
        <v>1.5383220000000002</v>
      </c>
      <c r="R22" s="228">
        <f t="shared" si="3"/>
        <v>5.4000000000000012E-3</v>
      </c>
      <c r="S22" s="230">
        <f>R22*PARÂMETROS!$E$8</f>
        <v>0.16680600000000004</v>
      </c>
      <c r="T22" s="231">
        <v>1.92</v>
      </c>
      <c r="U22" s="230">
        <f>T22*PARÂMETROS!$E$27</f>
        <v>5.76</v>
      </c>
      <c r="V22" s="299">
        <v>13.52</v>
      </c>
      <c r="W22" s="230">
        <f>V22*PARÂMETROS!$E$29</f>
        <v>2424.6768000000002</v>
      </c>
      <c r="X22" s="299">
        <v>3.3</v>
      </c>
      <c r="Y22" s="230">
        <f>X22*PARÂMETROS!$E$31</f>
        <v>49.994999999999997</v>
      </c>
      <c r="Z22" s="228">
        <f t="shared" si="4"/>
        <v>5.4000000000000006E-2</v>
      </c>
      <c r="AA22" s="230">
        <f>Z22*PARÂMETROS!$E$8</f>
        <v>1.6680600000000003</v>
      </c>
      <c r="AB22" s="228">
        <f t="shared" si="5"/>
        <v>4.9800000000000001E-3</v>
      </c>
      <c r="AC22" s="230">
        <f>AB22*PARÂMETROS!$E$8</f>
        <v>0.1538322</v>
      </c>
      <c r="AF22" s="232" t="s">
        <v>1400</v>
      </c>
      <c r="AG22" s="264">
        <f t="shared" si="6"/>
        <v>4127.4564202000001</v>
      </c>
      <c r="AH22" s="23"/>
      <c r="AI22" s="224" t="s">
        <v>246</v>
      </c>
      <c r="AJ22" s="291">
        <f>PARÂMETROS!$H$3</f>
        <v>40</v>
      </c>
      <c r="AK22" s="267">
        <v>4.1666666666666699E-2</v>
      </c>
      <c r="AL22" s="267">
        <v>0.125</v>
      </c>
      <c r="AM22" s="267">
        <v>6.25E-2</v>
      </c>
      <c r="AN22" s="267">
        <v>6.9444444444444397E-3</v>
      </c>
      <c r="AO22" s="267">
        <v>2.0833333333333301E-2</v>
      </c>
      <c r="AP22" s="267">
        <v>6.9444444444444397E-3</v>
      </c>
      <c r="AQ22" s="267">
        <v>3.125E-2</v>
      </c>
      <c r="AR22" s="271">
        <v>1</v>
      </c>
      <c r="AS22" s="292">
        <f t="shared" si="7"/>
        <v>0.2951388888888889</v>
      </c>
      <c r="AT22" s="291">
        <f t="shared" si="8"/>
        <v>283.33333333333331</v>
      </c>
      <c r="AU22" s="272">
        <f t="shared" si="9"/>
        <v>283.33333333333331</v>
      </c>
      <c r="AW22" s="273">
        <f t="shared" si="10"/>
        <v>4127.4564202000001</v>
      </c>
      <c r="AX22" s="274">
        <f t="shared" si="11"/>
        <v>283.33333333333331</v>
      </c>
      <c r="AY22" s="275">
        <v>1</v>
      </c>
      <c r="AZ22" s="276">
        <f t="shared" si="12"/>
        <v>283.33333333333331</v>
      </c>
      <c r="BA22" s="293">
        <f t="shared" si="13"/>
        <v>4410.7897535333332</v>
      </c>
      <c r="BB22" s="275">
        <v>1</v>
      </c>
      <c r="BW22" s="293">
        <v>80</v>
      </c>
      <c r="BX22" s="293">
        <f t="shared" si="14"/>
        <v>4490.7897535333332</v>
      </c>
    </row>
    <row r="23" spans="1:76" ht="27" customHeight="1" x14ac:dyDescent="0.3">
      <c r="A23" s="224" t="s">
        <v>250</v>
      </c>
      <c r="B23" s="225" t="s">
        <v>1384</v>
      </c>
      <c r="C23" s="228">
        <v>74</v>
      </c>
      <c r="D23" s="263">
        <f>C23*D5</f>
        <v>1449.66</v>
      </c>
      <c r="E23" s="228">
        <v>33.299999999999997</v>
      </c>
      <c r="F23" s="263">
        <f>E23*F5</f>
        <v>652.34699999999998</v>
      </c>
      <c r="G23" s="227">
        <f t="shared" si="0"/>
        <v>2102.0070000000001</v>
      </c>
      <c r="H23" s="228">
        <v>6</v>
      </c>
      <c r="I23" s="227">
        <f>H23*PARÂMETROS!$E$22</f>
        <v>254.21999999999997</v>
      </c>
      <c r="J23" s="228">
        <v>0.54</v>
      </c>
      <c r="K23" s="227">
        <f>J23*PARÂMETROS!$E$22</f>
        <v>22.879799999999999</v>
      </c>
      <c r="L23" s="228">
        <v>2E-3</v>
      </c>
      <c r="M23" s="230">
        <f>L23*PARÂMETROS!$E$8</f>
        <v>6.1780000000000002E-2</v>
      </c>
      <c r="N23" s="228">
        <f t="shared" si="1"/>
        <v>0.06</v>
      </c>
      <c r="O23" s="230">
        <f>N23*PARÂMETROS!$E$8</f>
        <v>1.8533999999999999</v>
      </c>
      <c r="P23" s="228">
        <f t="shared" si="2"/>
        <v>5.4000000000000006E-2</v>
      </c>
      <c r="Q23" s="230">
        <f>P23*PARÂMETROS!$E$8</f>
        <v>1.6680600000000003</v>
      </c>
      <c r="R23" s="228">
        <f t="shared" si="3"/>
        <v>6.0000000000000001E-3</v>
      </c>
      <c r="S23" s="230">
        <f>R23*PARÂMETROS!$E$8</f>
        <v>0.18534</v>
      </c>
      <c r="T23" s="231">
        <v>2</v>
      </c>
      <c r="U23" s="230">
        <f>T23*PARÂMETROS!$E$27</f>
        <v>6</v>
      </c>
      <c r="V23" s="299">
        <v>15.68</v>
      </c>
      <c r="W23" s="230">
        <f>V23*PARÂMETROS!$E$29</f>
        <v>2812.0511999999999</v>
      </c>
      <c r="X23" s="299">
        <v>3.4</v>
      </c>
      <c r="Y23" s="230">
        <f>X23*PARÂMETROS!$E$31</f>
        <v>51.51</v>
      </c>
      <c r="Z23" s="228">
        <f t="shared" si="4"/>
        <v>0.06</v>
      </c>
      <c r="AA23" s="230">
        <f>Z23*PARÂMETROS!$E$8</f>
        <v>1.8533999999999999</v>
      </c>
      <c r="AB23" s="228">
        <f t="shared" si="5"/>
        <v>5.4000000000000003E-3</v>
      </c>
      <c r="AC23" s="230">
        <f>AB23*PARÂMETROS!$E$8</f>
        <v>0.16680600000000001</v>
      </c>
      <c r="AD23" s="23"/>
      <c r="AE23" s="23"/>
      <c r="AF23" s="232" t="s">
        <v>1401</v>
      </c>
      <c r="AG23" s="264">
        <f t="shared" si="6"/>
        <v>5254.4567859999997</v>
      </c>
      <c r="AH23" s="23"/>
      <c r="AI23" s="224" t="s">
        <v>250</v>
      </c>
      <c r="AJ23" s="291">
        <f>PARÂMETROS!$H$3</f>
        <v>40</v>
      </c>
      <c r="AK23" s="267">
        <v>4.1666666666666699E-2</v>
      </c>
      <c r="AL23" s="267">
        <v>0.125</v>
      </c>
      <c r="AM23" s="267">
        <v>6.25E-2</v>
      </c>
      <c r="AN23" s="267">
        <v>6.9444444444444397E-3</v>
      </c>
      <c r="AO23" s="267">
        <v>2.0833333333333301E-2</v>
      </c>
      <c r="AP23" s="267">
        <v>6.9444444444444397E-3</v>
      </c>
      <c r="AQ23" s="267">
        <v>3.125E-2</v>
      </c>
      <c r="AR23" s="271">
        <v>1</v>
      </c>
      <c r="AS23" s="292">
        <f t="shared" si="7"/>
        <v>0.2951388888888889</v>
      </c>
      <c r="AT23" s="291">
        <f t="shared" si="8"/>
        <v>283.33333333333331</v>
      </c>
      <c r="AU23" s="272">
        <f t="shared" si="9"/>
        <v>283.33333333333331</v>
      </c>
      <c r="AW23" s="273">
        <f t="shared" si="10"/>
        <v>5254.4567859999997</v>
      </c>
      <c r="AX23" s="274">
        <f t="shared" si="11"/>
        <v>283.33333333333331</v>
      </c>
      <c r="AY23" s="275">
        <v>1</v>
      </c>
      <c r="AZ23" s="276">
        <f t="shared" si="12"/>
        <v>283.33333333333331</v>
      </c>
      <c r="BA23" s="293">
        <f t="shared" si="13"/>
        <v>5537.7901193333328</v>
      </c>
      <c r="BB23" s="275">
        <v>1</v>
      </c>
      <c r="BW23" s="293">
        <v>80</v>
      </c>
      <c r="BX23" s="293">
        <f t="shared" si="14"/>
        <v>5617.7901193333328</v>
      </c>
    </row>
    <row r="24" spans="1:76" ht="27" customHeight="1" x14ac:dyDescent="0.3">
      <c r="A24" s="224" t="s">
        <v>254</v>
      </c>
      <c r="B24" s="225" t="s">
        <v>1384</v>
      </c>
      <c r="C24" s="228">
        <v>84</v>
      </c>
      <c r="D24" s="263">
        <f>C24*D5</f>
        <v>1645.56</v>
      </c>
      <c r="E24" s="228">
        <v>37.799999999999997</v>
      </c>
      <c r="F24" s="263">
        <f>E24*F5</f>
        <v>740.50199999999995</v>
      </c>
      <c r="G24" s="227">
        <f t="shared" si="0"/>
        <v>2386.0619999999999</v>
      </c>
      <c r="H24" s="228">
        <v>6.4</v>
      </c>
      <c r="I24" s="227">
        <f>H24*PARÂMETROS!$E$22</f>
        <v>271.16800000000001</v>
      </c>
      <c r="J24" s="228">
        <v>0.61499999999999999</v>
      </c>
      <c r="K24" s="227">
        <f>J24*PARÂMETROS!$E$22</f>
        <v>26.057549999999999</v>
      </c>
      <c r="L24" s="228">
        <v>2E-3</v>
      </c>
      <c r="M24" s="230">
        <f>L24*PARÂMETROS!$E$8</f>
        <v>6.1780000000000002E-2</v>
      </c>
      <c r="N24" s="228">
        <f t="shared" si="1"/>
        <v>6.4000000000000001E-2</v>
      </c>
      <c r="O24" s="230">
        <f>N24*PARÂMETROS!$E$8</f>
        <v>1.9769600000000001</v>
      </c>
      <c r="P24" s="228">
        <f t="shared" si="2"/>
        <v>6.1499999999999999E-2</v>
      </c>
      <c r="Q24" s="230">
        <f>P24*PARÂMETROS!$E$8</f>
        <v>1.899735</v>
      </c>
      <c r="R24" s="228">
        <f t="shared" si="3"/>
        <v>6.4000000000000003E-3</v>
      </c>
      <c r="S24" s="230">
        <f>R24*PARÂMETROS!$E$8</f>
        <v>0.19769600000000001</v>
      </c>
      <c r="T24" s="231">
        <v>2.1</v>
      </c>
      <c r="U24" s="230">
        <f>T24*PARÂMETROS!$E$27</f>
        <v>6.3000000000000007</v>
      </c>
      <c r="V24" s="299">
        <v>18.96</v>
      </c>
      <c r="W24" s="230">
        <f>V24*PARÂMETROS!$E$29</f>
        <v>3400.2864000000004</v>
      </c>
      <c r="X24" s="299">
        <v>3.8</v>
      </c>
      <c r="Y24" s="230">
        <f>X24*PARÂMETROS!$E$31</f>
        <v>57.57</v>
      </c>
      <c r="Z24" s="228">
        <f t="shared" si="4"/>
        <v>6.4000000000000001E-2</v>
      </c>
      <c r="AA24" s="230">
        <f>Z24*PARÂMETROS!$E$8</f>
        <v>1.9769600000000001</v>
      </c>
      <c r="AB24" s="228">
        <f t="shared" si="5"/>
        <v>6.1500000000000001E-3</v>
      </c>
      <c r="AC24" s="230">
        <f>AB24*PARÂMETROS!$E$8</f>
        <v>0.18997350000000002</v>
      </c>
      <c r="AF24" s="232" t="s">
        <v>1402</v>
      </c>
      <c r="AG24" s="264">
        <f t="shared" si="6"/>
        <v>6153.7470544999996</v>
      </c>
      <c r="AH24" s="23"/>
      <c r="AI24" s="224" t="s">
        <v>254</v>
      </c>
      <c r="AJ24" s="291">
        <f>PARÂMETROS!$H$3</f>
        <v>40</v>
      </c>
      <c r="AK24" s="267">
        <v>4.1666666666666699E-2</v>
      </c>
      <c r="AL24" s="267">
        <v>0.125</v>
      </c>
      <c r="AM24" s="267">
        <v>0.125</v>
      </c>
      <c r="AN24" s="267">
        <v>6.9444444444444397E-3</v>
      </c>
      <c r="AO24" s="267">
        <v>2.0833333333333301E-2</v>
      </c>
      <c r="AP24" s="267">
        <v>6.9444444444444397E-3</v>
      </c>
      <c r="AQ24" s="267">
        <v>3.125E-2</v>
      </c>
      <c r="AR24" s="271">
        <v>1</v>
      </c>
      <c r="AS24" s="292">
        <f t="shared" si="7"/>
        <v>0.3576388888888889</v>
      </c>
      <c r="AT24" s="291">
        <f t="shared" si="8"/>
        <v>343.33333333333331</v>
      </c>
      <c r="AU24" s="272">
        <f t="shared" si="9"/>
        <v>343.33333333333331</v>
      </c>
      <c r="AW24" s="273">
        <f t="shared" si="10"/>
        <v>6153.7470544999996</v>
      </c>
      <c r="AX24" s="274">
        <f t="shared" si="11"/>
        <v>343.33333333333331</v>
      </c>
      <c r="AY24" s="275">
        <v>1</v>
      </c>
      <c r="AZ24" s="276">
        <f t="shared" si="12"/>
        <v>343.33333333333331</v>
      </c>
      <c r="BA24" s="293">
        <f t="shared" si="13"/>
        <v>6497.0803878333327</v>
      </c>
      <c r="BB24" s="275">
        <v>1</v>
      </c>
      <c r="BW24" s="293">
        <v>80</v>
      </c>
      <c r="BX24" s="293">
        <f t="shared" si="14"/>
        <v>6577.0803878333327</v>
      </c>
    </row>
    <row r="25" spans="1:76" ht="27" customHeight="1" x14ac:dyDescent="0.3">
      <c r="A25" s="224" t="s">
        <v>258</v>
      </c>
      <c r="B25" s="225" t="s">
        <v>1384</v>
      </c>
      <c r="C25" s="228">
        <v>95</v>
      </c>
      <c r="D25" s="263">
        <f>C25*D5</f>
        <v>1861.05</v>
      </c>
      <c r="E25" s="228">
        <v>42.75</v>
      </c>
      <c r="F25" s="263">
        <f>E25*F5</f>
        <v>837.47249999999997</v>
      </c>
      <c r="G25" s="227">
        <f t="shared" si="0"/>
        <v>2698.5225</v>
      </c>
      <c r="H25" s="228">
        <v>7.7</v>
      </c>
      <c r="I25" s="227">
        <f>H25*PARÂMETROS!$E$22</f>
        <v>326.24899999999997</v>
      </c>
      <c r="J25" s="228">
        <v>0.71</v>
      </c>
      <c r="K25" s="227">
        <f>J25*PARÂMETROS!$E$22</f>
        <v>30.082699999999996</v>
      </c>
      <c r="L25" s="228">
        <v>2E-3</v>
      </c>
      <c r="M25" s="230">
        <f>L25*PARÂMETROS!$E$8</f>
        <v>6.1780000000000002E-2</v>
      </c>
      <c r="N25" s="228">
        <f t="shared" si="1"/>
        <v>7.6999999999999999E-2</v>
      </c>
      <c r="O25" s="230">
        <f>N25*PARÂMETROS!$E$8</f>
        <v>2.37853</v>
      </c>
      <c r="P25" s="228">
        <f t="shared" si="2"/>
        <v>7.0999999999999994E-2</v>
      </c>
      <c r="Q25" s="230">
        <f>P25*PARÂMETROS!$E$8</f>
        <v>2.19319</v>
      </c>
      <c r="R25" s="228">
        <f t="shared" si="3"/>
        <v>7.7000000000000002E-3</v>
      </c>
      <c r="S25" s="230">
        <f>R25*PARÂMETROS!$E$8</f>
        <v>0.23785300000000001</v>
      </c>
      <c r="T25" s="231">
        <v>2.2000000000000002</v>
      </c>
      <c r="U25" s="230">
        <f>T25*PARÂMETROS!$E$27</f>
        <v>6.6000000000000005</v>
      </c>
      <c r="V25" s="299">
        <v>19.28</v>
      </c>
      <c r="W25" s="230">
        <f>V25*PARÂMETROS!$E$29</f>
        <v>3457.6752000000001</v>
      </c>
      <c r="X25" s="299">
        <v>3.8</v>
      </c>
      <c r="Y25" s="230">
        <f>X25*PARÂMETROS!$E$31</f>
        <v>57.57</v>
      </c>
      <c r="Z25" s="228">
        <f t="shared" si="4"/>
        <v>7.6999999999999999E-2</v>
      </c>
      <c r="AA25" s="230">
        <f>Z25*PARÂMETROS!$E$8</f>
        <v>2.37853</v>
      </c>
      <c r="AB25" s="228">
        <f t="shared" si="5"/>
        <v>7.0999999999999995E-3</v>
      </c>
      <c r="AC25" s="230">
        <f>AB25*PARÂMETROS!$E$8</f>
        <v>0.21931899999999999</v>
      </c>
      <c r="AD25" s="23"/>
      <c r="AE25" s="23"/>
      <c r="AF25" s="232" t="s">
        <v>1403</v>
      </c>
      <c r="AG25" s="264">
        <f t="shared" si="6"/>
        <v>6584.1686019999997</v>
      </c>
      <c r="AH25" s="23"/>
      <c r="AI25" s="224" t="s">
        <v>258</v>
      </c>
      <c r="AJ25" s="291">
        <f>PARÂMETROS!$H$3</f>
        <v>40</v>
      </c>
      <c r="AK25" s="267">
        <v>4.1666666666666699E-2</v>
      </c>
      <c r="AL25" s="267">
        <v>0.125</v>
      </c>
      <c r="AM25" s="267">
        <v>0.125</v>
      </c>
      <c r="AN25" s="267">
        <v>6.9444444444444397E-3</v>
      </c>
      <c r="AO25" s="267">
        <v>2.0833333333333301E-2</v>
      </c>
      <c r="AP25" s="267">
        <v>6.9444444444444397E-3</v>
      </c>
      <c r="AQ25" s="267">
        <v>3.125E-2</v>
      </c>
      <c r="AR25" s="271">
        <v>1</v>
      </c>
      <c r="AS25" s="292">
        <f t="shared" si="7"/>
        <v>0.3576388888888889</v>
      </c>
      <c r="AT25" s="291">
        <f t="shared" si="8"/>
        <v>343.33333333333331</v>
      </c>
      <c r="AU25" s="272">
        <f t="shared" si="9"/>
        <v>343.33333333333331</v>
      </c>
      <c r="AW25" s="273">
        <f t="shared" si="10"/>
        <v>6584.1686019999997</v>
      </c>
      <c r="AX25" s="274">
        <f t="shared" si="11"/>
        <v>343.33333333333331</v>
      </c>
      <c r="AY25" s="275">
        <v>1</v>
      </c>
      <c r="AZ25" s="276">
        <f t="shared" si="12"/>
        <v>343.33333333333331</v>
      </c>
      <c r="BA25" s="293">
        <f t="shared" si="13"/>
        <v>6927.5019353333328</v>
      </c>
      <c r="BB25" s="275">
        <v>1</v>
      </c>
      <c r="BW25" s="293">
        <v>80</v>
      </c>
      <c r="BX25" s="293">
        <f t="shared" si="14"/>
        <v>7007.5019353333328</v>
      </c>
    </row>
    <row r="26" spans="1:76" ht="27" customHeight="1" x14ac:dyDescent="0.3">
      <c r="A26" s="224" t="s">
        <v>262</v>
      </c>
      <c r="B26" s="225" t="s">
        <v>1384</v>
      </c>
      <c r="C26" s="228">
        <v>120</v>
      </c>
      <c r="D26" s="263">
        <f>C26*D5</f>
        <v>2350.8000000000002</v>
      </c>
      <c r="E26" s="228">
        <v>45</v>
      </c>
      <c r="F26" s="263">
        <f>E26*F5</f>
        <v>881.55</v>
      </c>
      <c r="G26" s="227">
        <f t="shared" si="0"/>
        <v>3232.3500000000004</v>
      </c>
      <c r="H26" s="228">
        <v>8.4</v>
      </c>
      <c r="I26" s="227">
        <f>H26*PARÂMETROS!$E$22</f>
        <v>355.90800000000002</v>
      </c>
      <c r="J26" s="228">
        <v>0.79500000000000004</v>
      </c>
      <c r="K26" s="227">
        <f>J26*PARÂMETROS!$E$22</f>
        <v>33.684150000000002</v>
      </c>
      <c r="L26" s="228">
        <v>2E-3</v>
      </c>
      <c r="M26" s="230">
        <f>L26*PARÂMETROS!$E$8</f>
        <v>6.1780000000000002E-2</v>
      </c>
      <c r="N26" s="228">
        <f t="shared" si="1"/>
        <v>8.4000000000000005E-2</v>
      </c>
      <c r="O26" s="230">
        <f>N26*PARÂMETROS!$E$8</f>
        <v>2.5947600000000004</v>
      </c>
      <c r="P26" s="228">
        <f t="shared" si="2"/>
        <v>7.9500000000000015E-2</v>
      </c>
      <c r="Q26" s="230">
        <f>P26*PARÂMETROS!$E$8</f>
        <v>2.4557550000000004</v>
      </c>
      <c r="R26" s="228">
        <f t="shared" si="3"/>
        <v>8.4000000000000012E-3</v>
      </c>
      <c r="S26" s="230">
        <f>R26*PARÂMETROS!$E$8</f>
        <v>0.25947600000000004</v>
      </c>
      <c r="T26" s="231">
        <v>2.2999999999999998</v>
      </c>
      <c r="U26" s="230">
        <f>T26*PARÂMETROS!$E$27</f>
        <v>6.8999999999999995</v>
      </c>
      <c r="V26" s="299">
        <v>18.8</v>
      </c>
      <c r="W26" s="230">
        <f>V26*PARÂMETROS!$E$29</f>
        <v>3371.5920000000001</v>
      </c>
      <c r="X26" s="299">
        <v>3.9</v>
      </c>
      <c r="Y26" s="230">
        <f>X26*PARÂMETROS!$E$31</f>
        <v>59.085000000000001</v>
      </c>
      <c r="Z26" s="228">
        <f t="shared" si="4"/>
        <v>8.4000000000000005E-2</v>
      </c>
      <c r="AA26" s="230">
        <f>Z26*PARÂMETROS!$E$8</f>
        <v>2.5947600000000004</v>
      </c>
      <c r="AB26" s="228">
        <f t="shared" si="5"/>
        <v>7.9500000000000005E-3</v>
      </c>
      <c r="AC26" s="230">
        <f>AB26*PARÂMETROS!$E$8</f>
        <v>0.24557550000000003</v>
      </c>
      <c r="AF26" s="232" t="s">
        <v>1404</v>
      </c>
      <c r="AG26" s="264">
        <f t="shared" si="6"/>
        <v>7067.7312565000011</v>
      </c>
      <c r="AH26" s="23"/>
      <c r="AI26" s="224" t="s">
        <v>262</v>
      </c>
      <c r="AJ26" s="291">
        <f>PARÂMETROS!$H$3</f>
        <v>40</v>
      </c>
      <c r="AK26" s="267">
        <v>4.1666666666666699E-2</v>
      </c>
      <c r="AL26" s="267">
        <v>0.16666666666666699</v>
      </c>
      <c r="AM26" s="267">
        <v>0.125</v>
      </c>
      <c r="AN26" s="267">
        <v>6.9444444444444397E-3</v>
      </c>
      <c r="AO26" s="267">
        <v>2.0833333333333301E-2</v>
      </c>
      <c r="AP26" s="267">
        <v>6.9444444444444397E-3</v>
      </c>
      <c r="AQ26" s="267">
        <v>3.125E-2</v>
      </c>
      <c r="AR26" s="271">
        <v>1</v>
      </c>
      <c r="AS26" s="292">
        <f t="shared" si="7"/>
        <v>0.39930555555555586</v>
      </c>
      <c r="AT26" s="291">
        <f t="shared" si="8"/>
        <v>383.3333333333336</v>
      </c>
      <c r="AU26" s="272">
        <f t="shared" si="9"/>
        <v>383.3333333333336</v>
      </c>
      <c r="AW26" s="273">
        <f t="shared" si="10"/>
        <v>7067.7312565000011</v>
      </c>
      <c r="AX26" s="274">
        <f t="shared" si="11"/>
        <v>383.3333333333336</v>
      </c>
      <c r="AY26" s="275">
        <v>1</v>
      </c>
      <c r="AZ26" s="276">
        <f t="shared" si="12"/>
        <v>383.3333333333336</v>
      </c>
      <c r="BA26" s="293">
        <f t="shared" si="13"/>
        <v>7451.064589833335</v>
      </c>
      <c r="BB26" s="275">
        <v>1</v>
      </c>
      <c r="BW26" s="293">
        <v>80</v>
      </c>
      <c r="BX26" s="293">
        <f t="shared" si="14"/>
        <v>7531.064589833335</v>
      </c>
    </row>
    <row r="27" spans="1:76" ht="27" customHeight="1" x14ac:dyDescent="0.3">
      <c r="A27" s="224" t="s">
        <v>266</v>
      </c>
      <c r="B27" s="225" t="s">
        <v>1384</v>
      </c>
      <c r="C27" s="228">
        <v>140</v>
      </c>
      <c r="D27" s="263">
        <f>C27*D5</f>
        <v>2742.6</v>
      </c>
      <c r="E27" s="228">
        <v>63</v>
      </c>
      <c r="F27" s="263">
        <f>E27*F5</f>
        <v>1234.17</v>
      </c>
      <c r="G27" s="227">
        <f t="shared" si="0"/>
        <v>3976.77</v>
      </c>
      <c r="H27" s="228">
        <v>9</v>
      </c>
      <c r="I27" s="227">
        <f>H27*PARÂMETROS!$E$22</f>
        <v>381.33</v>
      </c>
      <c r="J27" s="228">
        <v>0.88500000000000001</v>
      </c>
      <c r="K27" s="227">
        <f>J27*PARÂMETROS!$E$22</f>
        <v>37.497450000000001</v>
      </c>
      <c r="L27" s="228">
        <v>2E-3</v>
      </c>
      <c r="M27" s="230">
        <f>L27*PARÂMETROS!$E$8</f>
        <v>6.1780000000000002E-2</v>
      </c>
      <c r="N27" s="228">
        <f t="shared" si="1"/>
        <v>0.09</v>
      </c>
      <c r="O27" s="230">
        <f>N27*PARÂMETROS!$E$8</f>
        <v>2.7801</v>
      </c>
      <c r="P27" s="228">
        <f t="shared" si="2"/>
        <v>8.8500000000000009E-2</v>
      </c>
      <c r="Q27" s="230">
        <f>P27*PARÂMETROS!$E$8</f>
        <v>2.7337650000000004</v>
      </c>
      <c r="R27" s="228">
        <f t="shared" si="3"/>
        <v>8.9999999999999993E-3</v>
      </c>
      <c r="S27" s="230">
        <f>R27*PARÂMETROS!$E$8</f>
        <v>0.27800999999999998</v>
      </c>
      <c r="T27" s="231">
        <v>2.4</v>
      </c>
      <c r="U27" s="230">
        <f>T27*PARÂMETROS!$E$27</f>
        <v>7.1999999999999993</v>
      </c>
      <c r="V27" s="299">
        <v>18.559999999999999</v>
      </c>
      <c r="W27" s="230">
        <f>V27*PARÂMETROS!$E$29</f>
        <v>3328.5503999999996</v>
      </c>
      <c r="X27" s="299">
        <v>4</v>
      </c>
      <c r="Y27" s="230">
        <f>X27*PARÂMETROS!$E$31</f>
        <v>60.6</v>
      </c>
      <c r="Z27" s="228">
        <f t="shared" si="4"/>
        <v>0.09</v>
      </c>
      <c r="AA27" s="230">
        <f>Z27*PARÂMETROS!$E$8</f>
        <v>2.7801</v>
      </c>
      <c r="AB27" s="228">
        <f t="shared" si="5"/>
        <v>8.8500000000000002E-3</v>
      </c>
      <c r="AC27" s="230">
        <f>AB27*PARÂMETROS!$E$8</f>
        <v>0.27337650000000002</v>
      </c>
      <c r="AD27" s="23"/>
      <c r="AE27" s="23"/>
      <c r="AF27" s="232" t="s">
        <v>1405</v>
      </c>
      <c r="AG27" s="264">
        <f t="shared" si="6"/>
        <v>7800.8549814999997</v>
      </c>
      <c r="AH27" s="23"/>
      <c r="AI27" s="224" t="s">
        <v>266</v>
      </c>
      <c r="AJ27" s="291">
        <f>PARÂMETROS!$H$3</f>
        <v>40</v>
      </c>
      <c r="AK27" s="267">
        <v>8.3333333333333301E-2</v>
      </c>
      <c r="AL27" s="267">
        <v>0.16666666666666699</v>
      </c>
      <c r="AM27" s="267">
        <v>0.125</v>
      </c>
      <c r="AN27" s="267">
        <v>6.9444444444444397E-3</v>
      </c>
      <c r="AO27" s="267">
        <v>2.0833333333333301E-2</v>
      </c>
      <c r="AP27" s="267">
        <v>6.9444444444444397E-3</v>
      </c>
      <c r="AQ27" s="267">
        <v>3.125E-2</v>
      </c>
      <c r="AR27" s="271">
        <v>1</v>
      </c>
      <c r="AS27" s="292">
        <f t="shared" si="7"/>
        <v>0.44097222222222249</v>
      </c>
      <c r="AT27" s="291">
        <f t="shared" si="8"/>
        <v>423.3333333333336</v>
      </c>
      <c r="AU27" s="272">
        <f t="shared" si="9"/>
        <v>423.3333333333336</v>
      </c>
      <c r="AW27" s="273">
        <f t="shared" si="10"/>
        <v>7800.8549814999997</v>
      </c>
      <c r="AX27" s="274">
        <f t="shared" si="11"/>
        <v>423.3333333333336</v>
      </c>
      <c r="AY27" s="275">
        <v>1</v>
      </c>
      <c r="AZ27" s="276">
        <f t="shared" si="12"/>
        <v>423.3333333333336</v>
      </c>
      <c r="BA27" s="293">
        <f t="shared" si="13"/>
        <v>8224.1883148333327</v>
      </c>
      <c r="BB27" s="275">
        <v>1</v>
      </c>
      <c r="BW27" s="293">
        <v>80</v>
      </c>
      <c r="BX27" s="293">
        <f t="shared" si="14"/>
        <v>8304.1883148333327</v>
      </c>
    </row>
    <row r="28" spans="1:76" ht="27" customHeight="1" x14ac:dyDescent="0.3">
      <c r="A28" s="224" t="s">
        <v>270</v>
      </c>
      <c r="B28" s="225" t="s">
        <v>1384</v>
      </c>
      <c r="C28" s="228">
        <v>150</v>
      </c>
      <c r="D28" s="263">
        <f>C28*D5</f>
        <v>2938.5</v>
      </c>
      <c r="E28" s="228">
        <v>68</v>
      </c>
      <c r="F28" s="263">
        <f>E28*F5</f>
        <v>1332.12</v>
      </c>
      <c r="G28" s="227">
        <f t="shared" si="0"/>
        <v>4270.62</v>
      </c>
      <c r="H28" s="228">
        <v>9.6999999999999993</v>
      </c>
      <c r="I28" s="227">
        <f>H28*PARÂMETROS!$E$22</f>
        <v>410.98899999999992</v>
      </c>
      <c r="J28" s="228">
        <v>0.96</v>
      </c>
      <c r="K28" s="227">
        <f>J28*PARÂMETROS!$E$22</f>
        <v>40.675199999999997</v>
      </c>
      <c r="L28" s="228">
        <v>2E-3</v>
      </c>
      <c r="M28" s="230">
        <f>L28*PARÂMETROS!$E$8</f>
        <v>6.1780000000000002E-2</v>
      </c>
      <c r="N28" s="228">
        <f t="shared" si="1"/>
        <v>9.6999999999999989E-2</v>
      </c>
      <c r="O28" s="230">
        <f>N28*PARÂMETROS!$E$8</f>
        <v>2.9963299999999995</v>
      </c>
      <c r="P28" s="228">
        <f t="shared" si="2"/>
        <v>9.6000000000000002E-2</v>
      </c>
      <c r="Q28" s="230">
        <f>P28*PARÂMETROS!$E$8</f>
        <v>2.9654400000000001</v>
      </c>
      <c r="R28" s="228">
        <f t="shared" si="3"/>
        <v>9.7000000000000003E-3</v>
      </c>
      <c r="S28" s="230">
        <f>R28*PARÂMETROS!$E$8</f>
        <v>0.29963300000000004</v>
      </c>
      <c r="T28" s="231">
        <v>2.5</v>
      </c>
      <c r="U28" s="230">
        <f>T28*PARÂMETROS!$E$27</f>
        <v>7.5</v>
      </c>
      <c r="V28" s="299">
        <v>20.079999999999998</v>
      </c>
      <c r="W28" s="230">
        <f>V28*PARÂMETROS!$E$29</f>
        <v>3601.1471999999999</v>
      </c>
      <c r="X28" s="299">
        <v>4.3</v>
      </c>
      <c r="Y28" s="230">
        <f>X28*PARÂMETROS!$E$31</f>
        <v>65.144999999999996</v>
      </c>
      <c r="Z28" s="228">
        <f t="shared" si="4"/>
        <v>9.6999999999999989E-2</v>
      </c>
      <c r="AA28" s="230">
        <f>Z28*PARÂMETROS!$E$8</f>
        <v>2.9963299999999995</v>
      </c>
      <c r="AB28" s="228">
        <f t="shared" si="5"/>
        <v>9.5999999999999992E-3</v>
      </c>
      <c r="AC28" s="230">
        <f>AB28*PARÂMETROS!$E$8</f>
        <v>0.29654399999999997</v>
      </c>
      <c r="AF28" s="232" t="s">
        <v>1406</v>
      </c>
      <c r="AG28" s="264">
        <f t="shared" si="6"/>
        <v>8405.692457000001</v>
      </c>
      <c r="AH28" s="23"/>
      <c r="AI28" s="224" t="s">
        <v>270</v>
      </c>
      <c r="AJ28" s="291">
        <f>PARÂMETROS!$H$3</f>
        <v>40</v>
      </c>
      <c r="AK28" s="267">
        <v>8.3333333333333301E-2</v>
      </c>
      <c r="AL28" s="267">
        <v>0.16666666666666699</v>
      </c>
      <c r="AM28" s="267">
        <v>0.125</v>
      </c>
      <c r="AN28" s="267">
        <v>6.9444444444444397E-3</v>
      </c>
      <c r="AO28" s="267">
        <v>2.0833333333333301E-2</v>
      </c>
      <c r="AP28" s="267">
        <v>6.9444444444444397E-3</v>
      </c>
      <c r="AQ28" s="267">
        <v>3.125E-2</v>
      </c>
      <c r="AR28" s="271">
        <v>1</v>
      </c>
      <c r="AS28" s="292">
        <f t="shared" si="7"/>
        <v>0.44097222222222249</v>
      </c>
      <c r="AT28" s="291">
        <f t="shared" si="8"/>
        <v>423.3333333333336</v>
      </c>
      <c r="AU28" s="272">
        <f t="shared" si="9"/>
        <v>423.3333333333336</v>
      </c>
      <c r="AW28" s="273">
        <f t="shared" si="10"/>
        <v>8405.692457000001</v>
      </c>
      <c r="AX28" s="274">
        <f t="shared" si="11"/>
        <v>423.3333333333336</v>
      </c>
      <c r="AY28" s="275">
        <v>1</v>
      </c>
      <c r="AZ28" s="276">
        <f t="shared" si="12"/>
        <v>423.3333333333336</v>
      </c>
      <c r="BA28" s="293">
        <f t="shared" si="13"/>
        <v>8829.025790333335</v>
      </c>
      <c r="BB28" s="275">
        <v>1</v>
      </c>
      <c r="BW28" s="293">
        <v>80</v>
      </c>
      <c r="BX28" s="293">
        <f t="shared" si="14"/>
        <v>8909.025790333335</v>
      </c>
    </row>
    <row r="29" spans="1:76" ht="27" customHeight="1" x14ac:dyDescent="0.3">
      <c r="A29" s="224" t="s">
        <v>274</v>
      </c>
      <c r="B29" s="225" t="s">
        <v>1384</v>
      </c>
      <c r="C29" s="228">
        <v>170</v>
      </c>
      <c r="D29" s="263">
        <f>C29*D5</f>
        <v>3330.3</v>
      </c>
      <c r="E29" s="228">
        <v>76.5</v>
      </c>
      <c r="F29" s="263">
        <f>E29*F5</f>
        <v>1498.635</v>
      </c>
      <c r="G29" s="227">
        <f t="shared" si="0"/>
        <v>4828.9350000000004</v>
      </c>
      <c r="H29" s="228">
        <v>10.4</v>
      </c>
      <c r="I29" s="227">
        <f>H29*PARÂMETROS!$E$22</f>
        <v>440.64799999999997</v>
      </c>
      <c r="J29" s="228">
        <v>1.079</v>
      </c>
      <c r="K29" s="227">
        <f>J29*PARÂMETROS!$E$22</f>
        <v>45.717229999999994</v>
      </c>
      <c r="L29" s="228">
        <v>2E-3</v>
      </c>
      <c r="M29" s="230">
        <f>L29*PARÂMETROS!$E$8</f>
        <v>6.1780000000000002E-2</v>
      </c>
      <c r="N29" s="228">
        <f t="shared" si="1"/>
        <v>0.10400000000000001</v>
      </c>
      <c r="O29" s="230">
        <f>N29*PARÂMETROS!$E$8</f>
        <v>3.2125600000000003</v>
      </c>
      <c r="P29" s="228">
        <f t="shared" si="2"/>
        <v>0.1079</v>
      </c>
      <c r="Q29" s="230">
        <f>P29*PARÂMETROS!$E$8</f>
        <v>3.3330310000000001</v>
      </c>
      <c r="R29" s="228">
        <f t="shared" si="3"/>
        <v>1.0400000000000001E-2</v>
      </c>
      <c r="S29" s="230">
        <f>R29*PARÂMETROS!$E$8</f>
        <v>0.32125600000000004</v>
      </c>
      <c r="T29" s="231">
        <v>2.6</v>
      </c>
      <c r="U29" s="230">
        <f>T29*PARÂMETROS!$E$27</f>
        <v>7.8000000000000007</v>
      </c>
      <c r="V29" s="299">
        <v>21.68</v>
      </c>
      <c r="W29" s="230">
        <f>V29*PARÂMETROS!$E$29</f>
        <v>3888.0911999999998</v>
      </c>
      <c r="X29" s="299">
        <v>5</v>
      </c>
      <c r="Y29" s="230">
        <f>X29*PARÂMETROS!$E$31</f>
        <v>75.75</v>
      </c>
      <c r="Z29" s="228">
        <f t="shared" si="4"/>
        <v>0.10400000000000001</v>
      </c>
      <c r="AA29" s="230">
        <f>Z29*PARÂMETROS!$E$8</f>
        <v>3.2125600000000003</v>
      </c>
      <c r="AB29" s="228">
        <f t="shared" si="5"/>
        <v>1.0789999999999999E-2</v>
      </c>
      <c r="AC29" s="230">
        <f>AB29*PARÂMETROS!$E$8</f>
        <v>0.33330309999999996</v>
      </c>
      <c r="AD29" s="23"/>
      <c r="AE29" s="23"/>
      <c r="AF29" s="232" t="s">
        <v>1407</v>
      </c>
      <c r="AG29" s="264">
        <f t="shared" si="6"/>
        <v>9297.4159201000002</v>
      </c>
      <c r="AH29" s="23"/>
      <c r="AI29" s="224" t="s">
        <v>274</v>
      </c>
      <c r="AJ29" s="291">
        <f>PARÂMETROS!$H$3</f>
        <v>40</v>
      </c>
      <c r="AK29" s="267">
        <v>8.3333333333333301E-2</v>
      </c>
      <c r="AL29" s="267">
        <v>0.16666666666666699</v>
      </c>
      <c r="AM29" s="267">
        <v>0.125</v>
      </c>
      <c r="AN29" s="267">
        <v>6.9444444444444397E-3</v>
      </c>
      <c r="AO29" s="267">
        <v>2.0833333333333301E-2</v>
      </c>
      <c r="AP29" s="267">
        <v>6.9444444444444397E-3</v>
      </c>
      <c r="AQ29" s="267">
        <v>3.125E-2</v>
      </c>
      <c r="AR29" s="271">
        <v>1</v>
      </c>
      <c r="AS29" s="292">
        <f t="shared" si="7"/>
        <v>0.44097222222222249</v>
      </c>
      <c r="AT29" s="291">
        <f t="shared" si="8"/>
        <v>423.3333333333336</v>
      </c>
      <c r="AU29" s="272">
        <f t="shared" si="9"/>
        <v>423.3333333333336</v>
      </c>
      <c r="AW29" s="273">
        <f t="shared" si="10"/>
        <v>9297.4159201000002</v>
      </c>
      <c r="AX29" s="274">
        <f t="shared" si="11"/>
        <v>423.3333333333336</v>
      </c>
      <c r="AY29" s="275">
        <v>1</v>
      </c>
      <c r="AZ29" s="276">
        <f t="shared" si="12"/>
        <v>423.3333333333336</v>
      </c>
      <c r="BA29" s="293">
        <f t="shared" si="13"/>
        <v>9720.7492534333342</v>
      </c>
      <c r="BB29" s="275">
        <v>1</v>
      </c>
      <c r="BW29" s="293">
        <v>80</v>
      </c>
      <c r="BX29" s="293">
        <f t="shared" si="14"/>
        <v>9800.7492534333342</v>
      </c>
    </row>
    <row r="30" spans="1:76" ht="25.5" customHeight="1" x14ac:dyDescent="0.3">
      <c r="A30" s="224" t="s">
        <v>278</v>
      </c>
      <c r="B30" s="225" t="s">
        <v>1384</v>
      </c>
      <c r="C30" s="228">
        <v>200</v>
      </c>
      <c r="D30" s="263">
        <f>C30*D5</f>
        <v>3918</v>
      </c>
      <c r="E30" s="228">
        <v>90</v>
      </c>
      <c r="F30" s="263">
        <f>E30*F5</f>
        <v>1763.1</v>
      </c>
      <c r="G30" s="227">
        <f t="shared" si="0"/>
        <v>5681.1</v>
      </c>
      <c r="H30" s="228">
        <v>11.7</v>
      </c>
      <c r="I30" s="227">
        <f>H30*PARÂMETROS!$E$22</f>
        <v>495.72899999999993</v>
      </c>
      <c r="J30" s="228">
        <v>1.1599999999999999</v>
      </c>
      <c r="K30" s="227">
        <f>J30*PARÂMETROS!$E$22</f>
        <v>49.149199999999993</v>
      </c>
      <c r="L30" s="228">
        <v>2E-3</v>
      </c>
      <c r="M30" s="230">
        <f>L30*PARÂMETROS!$E$8</f>
        <v>6.1780000000000002E-2</v>
      </c>
      <c r="N30" s="228">
        <f t="shared" si="1"/>
        <v>0.11699999999999999</v>
      </c>
      <c r="O30" s="230">
        <f>N30*PARÂMETROS!$E$8</f>
        <v>3.6141299999999998</v>
      </c>
      <c r="P30" s="228">
        <f t="shared" si="2"/>
        <v>0.11599999999999999</v>
      </c>
      <c r="Q30" s="230">
        <f>P30*PARÂMETROS!$E$8</f>
        <v>3.58324</v>
      </c>
      <c r="R30" s="228">
        <f t="shared" si="3"/>
        <v>1.17E-2</v>
      </c>
      <c r="S30" s="230">
        <f>R30*PARÂMETROS!$E$8</f>
        <v>0.36141300000000004</v>
      </c>
      <c r="T30" s="231">
        <v>2.7</v>
      </c>
      <c r="U30" s="230">
        <f>T30*PARÂMETROS!$E$27</f>
        <v>8.1000000000000014</v>
      </c>
      <c r="V30" s="299">
        <v>24.88</v>
      </c>
      <c r="W30" s="230">
        <f>V30*PARÂMETROS!$E$29</f>
        <v>4461.9791999999998</v>
      </c>
      <c r="X30" s="299">
        <v>5.4</v>
      </c>
      <c r="Y30" s="230">
        <f>X30*PARÂMETROS!$E$31</f>
        <v>81.81</v>
      </c>
      <c r="Z30" s="228">
        <f t="shared" si="4"/>
        <v>0.11699999999999999</v>
      </c>
      <c r="AA30" s="230">
        <f>Z30*PARÂMETROS!$E$8</f>
        <v>3.6141299999999998</v>
      </c>
      <c r="AB30" s="228">
        <f t="shared" si="5"/>
        <v>1.1599999999999999E-2</v>
      </c>
      <c r="AC30" s="230">
        <f>AB30*PARÂMETROS!$E$8</f>
        <v>0.35832399999999998</v>
      </c>
      <c r="AF30" s="232" t="s">
        <v>1408</v>
      </c>
      <c r="AG30" s="264">
        <f t="shared" si="6"/>
        <v>10789.460417</v>
      </c>
      <c r="AH30" s="23"/>
      <c r="AI30" s="224" t="s">
        <v>278</v>
      </c>
      <c r="AJ30" s="291">
        <f>PARÂMETROS!$H$3</f>
        <v>40</v>
      </c>
      <c r="AK30" s="267">
        <v>8.3333333333333301E-2</v>
      </c>
      <c r="AL30" s="267">
        <v>0.16666666666666699</v>
      </c>
      <c r="AM30" s="267">
        <v>0.125</v>
      </c>
      <c r="AN30" s="267">
        <v>6.9444444444444397E-3</v>
      </c>
      <c r="AO30" s="267">
        <v>2.0833333333333301E-2</v>
      </c>
      <c r="AP30" s="267">
        <v>6.9444444444444397E-3</v>
      </c>
      <c r="AQ30" s="267">
        <v>3.125E-2</v>
      </c>
      <c r="AR30" s="271">
        <v>1</v>
      </c>
      <c r="AS30" s="292">
        <f t="shared" si="7"/>
        <v>0.44097222222222249</v>
      </c>
      <c r="AT30" s="291">
        <f t="shared" si="8"/>
        <v>423.3333333333336</v>
      </c>
      <c r="AU30" s="272">
        <f t="shared" si="9"/>
        <v>423.3333333333336</v>
      </c>
      <c r="AW30" s="273">
        <f t="shared" si="10"/>
        <v>10789.460417</v>
      </c>
      <c r="AX30" s="274">
        <f t="shared" si="11"/>
        <v>423.3333333333336</v>
      </c>
      <c r="AY30" s="275">
        <v>1</v>
      </c>
      <c r="AZ30" s="276">
        <f t="shared" si="12"/>
        <v>423.3333333333336</v>
      </c>
      <c r="BA30" s="293">
        <f t="shared" si="13"/>
        <v>11212.793750333334</v>
      </c>
      <c r="BB30" s="275">
        <v>1</v>
      </c>
      <c r="BW30" s="293">
        <v>80</v>
      </c>
      <c r="BX30" s="293">
        <f t="shared" si="14"/>
        <v>11292.793750333334</v>
      </c>
    </row>
    <row r="31" spans="1:76" ht="25.5" customHeight="1" x14ac:dyDescent="0.3">
      <c r="A31" s="224" t="s">
        <v>196</v>
      </c>
      <c r="B31" s="225" t="s">
        <v>1409</v>
      </c>
      <c r="C31" s="228">
        <v>0.06</v>
      </c>
      <c r="D31" s="263">
        <f>C31*C5</f>
        <v>1.1754</v>
      </c>
      <c r="E31" s="228">
        <v>0.03</v>
      </c>
      <c r="F31" s="263">
        <f>E31*F5</f>
        <v>0.5877</v>
      </c>
      <c r="G31" s="227">
        <f t="shared" si="0"/>
        <v>1.7631000000000001</v>
      </c>
      <c r="H31" s="228">
        <v>0.1</v>
      </c>
      <c r="I31" s="227">
        <f>H31*PARÂMETROS!$E$22</f>
        <v>4.2370000000000001</v>
      </c>
      <c r="J31" s="228">
        <v>3.0000000000000001E-3</v>
      </c>
      <c r="K31" s="227">
        <f>J31*PARÂMETROS!$E$22</f>
        <v>0.12711</v>
      </c>
      <c r="L31" s="228">
        <v>2E-3</v>
      </c>
      <c r="M31" s="230">
        <f>L31*PARÂMETROS!$E$8</f>
        <v>6.1780000000000002E-2</v>
      </c>
      <c r="N31" s="228">
        <f t="shared" si="1"/>
        <v>1E-3</v>
      </c>
      <c r="O31" s="230">
        <f>N31*PARÂMETROS!$E$8</f>
        <v>3.0890000000000001E-2</v>
      </c>
      <c r="P31" s="228">
        <f t="shared" si="2"/>
        <v>3.0000000000000003E-4</v>
      </c>
      <c r="Q31" s="230">
        <f>P31*PARÂMETROS!$E$8</f>
        <v>9.2670000000000009E-3</v>
      </c>
      <c r="R31" s="228">
        <f t="shared" si="3"/>
        <v>1E-4</v>
      </c>
      <c r="S31" s="230">
        <f>R31*PARÂMETROS!$E$8</f>
        <v>3.0890000000000002E-3</v>
      </c>
      <c r="T31" s="231">
        <v>0.3</v>
      </c>
      <c r="U31" s="230">
        <f>T31*PARÂMETROS!$E$27</f>
        <v>0.89999999999999991</v>
      </c>
      <c r="V31" s="299">
        <v>0.25800000000000001</v>
      </c>
      <c r="W31" s="230">
        <f>V31*PARÂMETROS!$E$28</f>
        <v>36.863039999999998</v>
      </c>
      <c r="X31" s="299">
        <v>5.1999999999999998E-2</v>
      </c>
      <c r="Y31" s="230">
        <f>X31*PARÂMETROS!$E$31</f>
        <v>0.78779999999999994</v>
      </c>
      <c r="Z31" s="228">
        <f t="shared" si="4"/>
        <v>1E-3</v>
      </c>
      <c r="AA31" s="230">
        <f>Z31*PARÂMETROS!$E$8</f>
        <v>3.0890000000000001E-2</v>
      </c>
      <c r="AB31" s="229">
        <f t="shared" si="5"/>
        <v>3.0000000000000001E-5</v>
      </c>
      <c r="AC31" s="230">
        <f>AB31*PARÂMETROS!$E$8</f>
        <v>9.2670000000000003E-4</v>
      </c>
      <c r="AD31" s="23"/>
      <c r="AE31" s="23"/>
      <c r="AF31" s="232" t="s">
        <v>1410</v>
      </c>
      <c r="AG31" s="264">
        <f t="shared" si="6"/>
        <v>44.814892699999994</v>
      </c>
      <c r="AH31" s="23"/>
      <c r="AI31" s="224" t="s">
        <v>196</v>
      </c>
      <c r="AJ31" s="291">
        <f>PARÂMETROS!$H$3</f>
        <v>40</v>
      </c>
      <c r="AK31" s="267">
        <v>2.1527777777777798E-2</v>
      </c>
      <c r="AL31" s="267">
        <v>5.5555555555555601E-2</v>
      </c>
      <c r="AM31" s="267">
        <v>1.7361111111111101E-2</v>
      </c>
      <c r="AN31" s="267"/>
      <c r="AO31" s="267">
        <v>2.0833333333333301E-2</v>
      </c>
      <c r="AP31" s="267">
        <v>6.9444444444444397E-3</v>
      </c>
      <c r="AQ31" s="267">
        <v>3.125E-2</v>
      </c>
      <c r="AR31" s="271">
        <v>4</v>
      </c>
      <c r="AS31" s="292">
        <f t="shared" si="7"/>
        <v>0.15347222222222223</v>
      </c>
      <c r="AT31" s="291">
        <f t="shared" si="8"/>
        <v>147.33333333333334</v>
      </c>
      <c r="AU31" s="272">
        <f t="shared" si="9"/>
        <v>36.833333333333336</v>
      </c>
      <c r="AW31" s="273">
        <f t="shared" si="10"/>
        <v>44.814892699999994</v>
      </c>
      <c r="AX31" s="274">
        <f t="shared" si="11"/>
        <v>147.33333333333334</v>
      </c>
      <c r="AY31" s="275">
        <v>4</v>
      </c>
      <c r="AZ31" s="276">
        <f t="shared" si="12"/>
        <v>36.833333333333336</v>
      </c>
      <c r="BA31" s="293">
        <f t="shared" si="13"/>
        <v>81.64822603333333</v>
      </c>
      <c r="BB31" s="275">
        <v>4</v>
      </c>
      <c r="BW31" s="293">
        <v>80</v>
      </c>
      <c r="BX31" s="293">
        <f t="shared" si="14"/>
        <v>161.64822603333334</v>
      </c>
    </row>
    <row r="32" spans="1:76" ht="25.5" customHeight="1" x14ac:dyDescent="0.3">
      <c r="A32" s="224" t="s">
        <v>200</v>
      </c>
      <c r="B32" s="225" t="s">
        <v>1409</v>
      </c>
      <c r="C32" s="228">
        <v>0.11</v>
      </c>
      <c r="D32" s="263">
        <f>C32*C5</f>
        <v>2.1549</v>
      </c>
      <c r="E32" s="228">
        <v>5.5E-2</v>
      </c>
      <c r="F32" s="263">
        <f>E32*F5</f>
        <v>1.07745</v>
      </c>
      <c r="G32" s="227">
        <f t="shared" si="0"/>
        <v>3.2323500000000003</v>
      </c>
      <c r="H32" s="228">
        <v>0.14000000000000001</v>
      </c>
      <c r="I32" s="227">
        <f>H32*PARÂMETROS!$E$22</f>
        <v>5.9318</v>
      </c>
      <c r="J32" s="228">
        <v>6.0000000000000001E-3</v>
      </c>
      <c r="K32" s="227">
        <f>J32*PARÂMETROS!$E$22</f>
        <v>0.25422</v>
      </c>
      <c r="L32" s="228">
        <v>2E-3</v>
      </c>
      <c r="M32" s="230">
        <f>L32*PARÂMETROS!$E$8</f>
        <v>6.1780000000000002E-2</v>
      </c>
      <c r="N32" s="228">
        <f t="shared" si="1"/>
        <v>1.4000000000000002E-3</v>
      </c>
      <c r="O32" s="230">
        <f>N32*PARÂMETROS!$E$8</f>
        <v>4.3246000000000007E-2</v>
      </c>
      <c r="P32" s="228">
        <f t="shared" si="2"/>
        <v>6.0000000000000006E-4</v>
      </c>
      <c r="Q32" s="230">
        <f>P32*PARÂMETROS!$E$8</f>
        <v>1.8534000000000002E-2</v>
      </c>
      <c r="R32" s="228">
        <f t="shared" si="3"/>
        <v>1.4000000000000001E-4</v>
      </c>
      <c r="S32" s="230">
        <f>R32*PARÂMETROS!$E$8</f>
        <v>4.3246000000000005E-3</v>
      </c>
      <c r="T32" s="231">
        <v>0.36</v>
      </c>
      <c r="U32" s="230">
        <f>T32*PARÂMETROS!$E$27</f>
        <v>1.08</v>
      </c>
      <c r="V32" s="299">
        <v>0.51</v>
      </c>
      <c r="W32" s="230">
        <f>V32*PARÂMETROS!$E$28</f>
        <v>72.868799999999993</v>
      </c>
      <c r="X32" s="299">
        <v>0.11</v>
      </c>
      <c r="Y32" s="230">
        <f>X32*PARÂMETROS!$E$31</f>
        <v>1.6665000000000001</v>
      </c>
      <c r="Z32" s="228">
        <f t="shared" si="4"/>
        <v>1.4000000000000002E-3</v>
      </c>
      <c r="AA32" s="230">
        <f>Z32*PARÂMETROS!$E$8</f>
        <v>4.3246000000000007E-2</v>
      </c>
      <c r="AB32" s="229">
        <f t="shared" si="5"/>
        <v>6.0000000000000002E-5</v>
      </c>
      <c r="AC32" s="230">
        <f>AB32*PARÂMETROS!$E$8</f>
        <v>1.8534000000000001E-3</v>
      </c>
      <c r="AF32" s="232" t="s">
        <v>1411</v>
      </c>
      <c r="AG32" s="264">
        <f t="shared" si="6"/>
        <v>85.206653999999986</v>
      </c>
      <c r="AH32" s="23"/>
      <c r="AI32" s="224" t="s">
        <v>200</v>
      </c>
      <c r="AJ32" s="291">
        <f>PARÂMETROS!$H$3</f>
        <v>40</v>
      </c>
      <c r="AK32" s="267">
        <v>2.1527777777777798E-2</v>
      </c>
      <c r="AL32" s="267">
        <v>5.5555555555555601E-2</v>
      </c>
      <c r="AM32" s="267">
        <v>1.7361111111111101E-2</v>
      </c>
      <c r="AN32" s="267"/>
      <c r="AO32" s="267">
        <v>2.0833333333333301E-2</v>
      </c>
      <c r="AP32" s="267">
        <v>6.9444444444444397E-3</v>
      </c>
      <c r="AQ32" s="267">
        <v>3.125E-2</v>
      </c>
      <c r="AR32" s="271">
        <v>4</v>
      </c>
      <c r="AS32" s="292">
        <f t="shared" si="7"/>
        <v>0.15347222222222223</v>
      </c>
      <c r="AT32" s="291">
        <f t="shared" si="8"/>
        <v>147.33333333333334</v>
      </c>
      <c r="AU32" s="272">
        <f t="shared" si="9"/>
        <v>36.833333333333336</v>
      </c>
      <c r="AW32" s="273">
        <f t="shared" si="10"/>
        <v>85.206653999999986</v>
      </c>
      <c r="AX32" s="274">
        <f t="shared" si="11"/>
        <v>147.33333333333334</v>
      </c>
      <c r="AY32" s="275">
        <v>4</v>
      </c>
      <c r="AZ32" s="276">
        <f t="shared" si="12"/>
        <v>36.833333333333336</v>
      </c>
      <c r="BA32" s="293">
        <f t="shared" si="13"/>
        <v>122.03998733333333</v>
      </c>
      <c r="BB32" s="275">
        <v>4</v>
      </c>
      <c r="BW32" s="293">
        <v>80</v>
      </c>
      <c r="BX32" s="293">
        <f t="shared" si="14"/>
        <v>202.03998733333333</v>
      </c>
    </row>
    <row r="33" spans="1:76" ht="25.5" customHeight="1" x14ac:dyDescent="0.3">
      <c r="A33" s="224" t="s">
        <v>185</v>
      </c>
      <c r="B33" s="225" t="s">
        <v>1409</v>
      </c>
      <c r="C33" s="228">
        <v>0.2</v>
      </c>
      <c r="D33" s="263">
        <f>C33*C5</f>
        <v>3.9180000000000001</v>
      </c>
      <c r="E33" s="228">
        <v>0.1</v>
      </c>
      <c r="F33" s="263">
        <f>E33*F5</f>
        <v>1.9590000000000001</v>
      </c>
      <c r="G33" s="227">
        <f t="shared" si="0"/>
        <v>5.8770000000000007</v>
      </c>
      <c r="H33" s="228">
        <v>0.26</v>
      </c>
      <c r="I33" s="227">
        <f>H33*PARÂMETROS!$E$22</f>
        <v>11.0162</v>
      </c>
      <c r="J33" s="228">
        <v>1.0999999999999999E-2</v>
      </c>
      <c r="K33" s="227">
        <f>J33*PARÂMETROS!$E$22</f>
        <v>0.46606999999999993</v>
      </c>
      <c r="L33" s="228">
        <v>2E-3</v>
      </c>
      <c r="M33" s="230">
        <f>L33*PARÂMETROS!$E$8</f>
        <v>6.1780000000000002E-2</v>
      </c>
      <c r="N33" s="228">
        <f t="shared" si="1"/>
        <v>2.6000000000000003E-3</v>
      </c>
      <c r="O33" s="230">
        <f>N33*PARÂMETROS!$E$8</f>
        <v>8.031400000000001E-2</v>
      </c>
      <c r="P33" s="228">
        <f t="shared" si="2"/>
        <v>1.1000000000000001E-3</v>
      </c>
      <c r="Q33" s="230">
        <f>P33*PARÂMETROS!$E$8</f>
        <v>3.3979000000000002E-2</v>
      </c>
      <c r="R33" s="228">
        <f t="shared" si="3"/>
        <v>2.6000000000000003E-4</v>
      </c>
      <c r="S33" s="230">
        <f>R33*PARÂMETROS!$E$8</f>
        <v>8.031400000000001E-3</v>
      </c>
      <c r="T33" s="231">
        <v>0.41</v>
      </c>
      <c r="U33" s="230">
        <f>T33*PARÂMETROS!$E$27</f>
        <v>1.23</v>
      </c>
      <c r="V33" s="299">
        <v>0.95199999999999996</v>
      </c>
      <c r="W33" s="230">
        <f>V33*PARÂMETROS!$E$28</f>
        <v>136.02176</v>
      </c>
      <c r="X33" s="299">
        <v>0.2</v>
      </c>
      <c r="Y33" s="230">
        <f>X33*PARÂMETROS!$E$31</f>
        <v>3.0300000000000002</v>
      </c>
      <c r="Z33" s="228">
        <f t="shared" si="4"/>
        <v>2.6000000000000003E-3</v>
      </c>
      <c r="AA33" s="230">
        <f>Z33*PARÂMETROS!$E$8</f>
        <v>8.031400000000001E-2</v>
      </c>
      <c r="AB33" s="229">
        <f t="shared" si="5"/>
        <v>1.0999999999999999E-4</v>
      </c>
      <c r="AC33" s="230">
        <f>AB33*PARÂMETROS!$E$8</f>
        <v>3.3978999999999997E-3</v>
      </c>
      <c r="AD33" s="23"/>
      <c r="AE33" s="23"/>
      <c r="AF33" s="232" t="s">
        <v>1412</v>
      </c>
      <c r="AG33" s="264">
        <f t="shared" si="6"/>
        <v>157.90884629999999</v>
      </c>
      <c r="AH33" s="23"/>
      <c r="AI33" s="224" t="s">
        <v>185</v>
      </c>
      <c r="AJ33" s="291">
        <f>PARÂMETROS!$H$3</f>
        <v>40</v>
      </c>
      <c r="AK33" s="267">
        <v>2.1527777777777798E-2</v>
      </c>
      <c r="AL33" s="267">
        <v>5.5555555555555601E-2</v>
      </c>
      <c r="AM33" s="267">
        <v>2.0833333333333301E-2</v>
      </c>
      <c r="AN33" s="267"/>
      <c r="AO33" s="267">
        <v>2.0833333333333301E-2</v>
      </c>
      <c r="AP33" s="267">
        <v>6.9444444444444397E-3</v>
      </c>
      <c r="AQ33" s="267">
        <v>3.125E-2</v>
      </c>
      <c r="AR33" s="271">
        <v>4</v>
      </c>
      <c r="AS33" s="292">
        <f t="shared" si="7"/>
        <v>0.15694444444444444</v>
      </c>
      <c r="AT33" s="291">
        <f t="shared" si="8"/>
        <v>150.66666666666666</v>
      </c>
      <c r="AU33" s="272">
        <f t="shared" si="9"/>
        <v>37.666666666666664</v>
      </c>
      <c r="AW33" s="273">
        <f t="shared" si="10"/>
        <v>157.90884629999999</v>
      </c>
      <c r="AX33" s="274">
        <f t="shared" si="11"/>
        <v>150.66666666666666</v>
      </c>
      <c r="AY33" s="275">
        <v>3</v>
      </c>
      <c r="AZ33" s="276">
        <f t="shared" si="12"/>
        <v>50.222222222222221</v>
      </c>
      <c r="BA33" s="293">
        <f t="shared" si="13"/>
        <v>208.13106852222222</v>
      </c>
      <c r="BB33" s="275">
        <v>3</v>
      </c>
      <c r="BW33" s="293">
        <v>80</v>
      </c>
      <c r="BX33" s="293">
        <f t="shared" si="14"/>
        <v>288.13106852222222</v>
      </c>
    </row>
    <row r="34" spans="1:76" ht="25.5" customHeight="1" x14ac:dyDescent="0.3">
      <c r="A34" s="224" t="s">
        <v>39</v>
      </c>
      <c r="B34" s="225" t="s">
        <v>1409</v>
      </c>
      <c r="C34" s="228">
        <v>0.75</v>
      </c>
      <c r="D34" s="263">
        <f>C34*C5</f>
        <v>14.692499999999999</v>
      </c>
      <c r="E34" s="228">
        <v>0.375</v>
      </c>
      <c r="F34" s="263">
        <f>E34*F5</f>
        <v>7.3462499999999995</v>
      </c>
      <c r="G34" s="227">
        <f t="shared" si="0"/>
        <v>22.03875</v>
      </c>
      <c r="H34" s="228">
        <v>0.5</v>
      </c>
      <c r="I34" s="227">
        <f>H34*PARÂMETROS!$E$22</f>
        <v>21.184999999999999</v>
      </c>
      <c r="J34" s="228">
        <v>2.5000000000000001E-2</v>
      </c>
      <c r="K34" s="227">
        <f>J34*PARÂMETROS!$E$22</f>
        <v>1.05925</v>
      </c>
      <c r="L34" s="228">
        <v>2E-3</v>
      </c>
      <c r="M34" s="230">
        <f>L34*PARÂMETROS!$E$8</f>
        <v>6.1780000000000002E-2</v>
      </c>
      <c r="N34" s="228">
        <f t="shared" si="1"/>
        <v>5.0000000000000001E-3</v>
      </c>
      <c r="O34" s="230">
        <f>N34*PARÂMETROS!$E$8</f>
        <v>0.15445</v>
      </c>
      <c r="P34" s="228">
        <f t="shared" si="2"/>
        <v>2.5000000000000005E-3</v>
      </c>
      <c r="Q34" s="230">
        <f>P34*PARÂMETROS!$E$8</f>
        <v>7.7225000000000016E-2</v>
      </c>
      <c r="R34" s="228">
        <f t="shared" si="3"/>
        <v>5.0000000000000001E-4</v>
      </c>
      <c r="S34" s="230">
        <f>R34*PARÂMETROS!$E$8</f>
        <v>1.5445E-2</v>
      </c>
      <c r="T34" s="231">
        <v>0.82</v>
      </c>
      <c r="U34" s="230">
        <f>T34*PARÂMETROS!$E$27</f>
        <v>2.46</v>
      </c>
      <c r="V34" s="299">
        <v>1.56</v>
      </c>
      <c r="W34" s="230">
        <f>V34*PARÂMETROS!$E$29</f>
        <v>279.7704</v>
      </c>
      <c r="X34" s="299">
        <v>0.3</v>
      </c>
      <c r="Y34" s="230">
        <f>X34*PARÂMETROS!$E$31</f>
        <v>4.5449999999999999</v>
      </c>
      <c r="Z34" s="228">
        <f t="shared" si="4"/>
        <v>5.0000000000000001E-3</v>
      </c>
      <c r="AA34" s="230">
        <f>Z34*PARÂMETROS!$E$8</f>
        <v>0.15445</v>
      </c>
      <c r="AB34" s="229">
        <f t="shared" si="5"/>
        <v>2.5000000000000001E-4</v>
      </c>
      <c r="AC34" s="230">
        <f>AB34*PARÂMETROS!$E$8</f>
        <v>7.7225000000000002E-3</v>
      </c>
      <c r="AF34" s="232" t="s">
        <v>1413</v>
      </c>
      <c r="AG34" s="264">
        <f t="shared" si="6"/>
        <v>331.5294725</v>
      </c>
      <c r="AH34" s="23"/>
      <c r="AI34" s="224" t="s">
        <v>39</v>
      </c>
      <c r="AJ34" s="291">
        <f>PARÂMETROS!$H$3</f>
        <v>40</v>
      </c>
      <c r="AK34" s="267">
        <v>2.1527777777777798E-2</v>
      </c>
      <c r="AL34" s="267">
        <v>5.5555555555555601E-2</v>
      </c>
      <c r="AM34" s="267">
        <v>2.7777777777777801E-2</v>
      </c>
      <c r="AN34" s="267"/>
      <c r="AO34" s="267">
        <v>2.0833333333333301E-2</v>
      </c>
      <c r="AP34" s="267">
        <v>6.9444444444444397E-3</v>
      </c>
      <c r="AQ34" s="267">
        <v>3.125E-2</v>
      </c>
      <c r="AR34" s="271">
        <v>4</v>
      </c>
      <c r="AS34" s="292">
        <f t="shared" si="7"/>
        <v>0.16388888888888892</v>
      </c>
      <c r="AT34" s="291">
        <f t="shared" si="8"/>
        <v>157.33333333333337</v>
      </c>
      <c r="AU34" s="272">
        <f t="shared" si="9"/>
        <v>39.333333333333343</v>
      </c>
      <c r="AW34" s="273">
        <f t="shared" si="10"/>
        <v>331.5294725</v>
      </c>
      <c r="AX34" s="274">
        <f t="shared" si="11"/>
        <v>157.33333333333337</v>
      </c>
      <c r="AY34" s="275">
        <v>3</v>
      </c>
      <c r="AZ34" s="276">
        <f t="shared" si="12"/>
        <v>52.444444444444457</v>
      </c>
      <c r="BA34" s="293">
        <f t="shared" si="13"/>
        <v>383.97391694444445</v>
      </c>
      <c r="BB34" s="275">
        <v>3</v>
      </c>
      <c r="BW34" s="293">
        <v>80</v>
      </c>
      <c r="BX34" s="293">
        <f t="shared" si="14"/>
        <v>463.97391694444445</v>
      </c>
    </row>
    <row r="35" spans="1:76" ht="25.5" customHeight="1" x14ac:dyDescent="0.3">
      <c r="A35" s="224" t="s">
        <v>300</v>
      </c>
      <c r="B35" s="225" t="s">
        <v>1409</v>
      </c>
      <c r="C35" s="228">
        <v>1.1100000000000001</v>
      </c>
      <c r="D35" s="263">
        <f>C35*C5</f>
        <v>21.744900000000001</v>
      </c>
      <c r="E35" s="228">
        <v>0.55000000000000004</v>
      </c>
      <c r="F35" s="263">
        <f>E35*F5</f>
        <v>10.774500000000002</v>
      </c>
      <c r="G35" s="227">
        <f t="shared" si="0"/>
        <v>32.519400000000005</v>
      </c>
      <c r="H35" s="228">
        <v>0.65</v>
      </c>
      <c r="I35" s="227">
        <f>H35*PARÂMETROS!$E$22</f>
        <v>27.540499999999998</v>
      </c>
      <c r="J35" s="228">
        <v>3.2000000000000001E-2</v>
      </c>
      <c r="K35" s="227">
        <f>J35*PARÂMETROS!$E$22</f>
        <v>1.3558399999999999</v>
      </c>
      <c r="L35" s="228">
        <v>2E-3</v>
      </c>
      <c r="M35" s="230">
        <f>L35*PARÂMETROS!$E$8</f>
        <v>6.1780000000000002E-2</v>
      </c>
      <c r="N35" s="228">
        <f t="shared" si="1"/>
        <v>6.5000000000000006E-3</v>
      </c>
      <c r="O35" s="230">
        <f>N35*PARÂMETROS!$E$8</f>
        <v>0.20078500000000002</v>
      </c>
      <c r="P35" s="228">
        <f t="shared" si="2"/>
        <v>3.2000000000000002E-3</v>
      </c>
      <c r="Q35" s="230">
        <f>P35*PARÂMETROS!$E$8</f>
        <v>9.8848000000000005E-2</v>
      </c>
      <c r="R35" s="228">
        <f t="shared" si="3"/>
        <v>6.5000000000000008E-4</v>
      </c>
      <c r="S35" s="230">
        <f>R35*PARÂMETROS!$E$8</f>
        <v>2.0078500000000003E-2</v>
      </c>
      <c r="T35" s="231">
        <v>0.86</v>
      </c>
      <c r="U35" s="230">
        <f>T35*PARÂMETROS!$E$27</f>
        <v>2.58</v>
      </c>
      <c r="V35" s="299">
        <v>2.48</v>
      </c>
      <c r="W35" s="230">
        <f>V35*PARÂMETROS!$E$29</f>
        <v>444.76319999999998</v>
      </c>
      <c r="X35" s="299">
        <v>0.5</v>
      </c>
      <c r="Y35" s="230">
        <f>X35*PARÂMETROS!$E$31</f>
        <v>7.5750000000000002</v>
      </c>
      <c r="Z35" s="228">
        <f t="shared" si="4"/>
        <v>6.5000000000000006E-3</v>
      </c>
      <c r="AA35" s="230">
        <f>Z35*PARÂMETROS!$E$8</f>
        <v>0.20078500000000002</v>
      </c>
      <c r="AB35" s="229">
        <f t="shared" si="5"/>
        <v>3.2000000000000003E-4</v>
      </c>
      <c r="AC35" s="230">
        <f>AB35*PARÂMETROS!$E$8</f>
        <v>9.8848000000000009E-3</v>
      </c>
      <c r="AD35" s="23"/>
      <c r="AE35" s="23"/>
      <c r="AF35" s="232" t="s">
        <v>1414</v>
      </c>
      <c r="AG35" s="264">
        <f t="shared" si="6"/>
        <v>516.92610130000003</v>
      </c>
      <c r="AH35" s="23"/>
      <c r="AI35" s="224" t="s">
        <v>300</v>
      </c>
      <c r="AJ35" s="291">
        <f>PARÂMETROS!$H$3</f>
        <v>40</v>
      </c>
      <c r="AK35" s="267">
        <v>2.1527777777777798E-2</v>
      </c>
      <c r="AL35" s="267">
        <v>3.4722222222222203E-2</v>
      </c>
      <c r="AM35" s="267">
        <v>2.7777777777777801E-2</v>
      </c>
      <c r="AN35" s="267"/>
      <c r="AO35" s="267">
        <v>2.0833333333333301E-2</v>
      </c>
      <c r="AP35" s="267">
        <v>6.9444444444444397E-3</v>
      </c>
      <c r="AQ35" s="267">
        <v>3.125E-2</v>
      </c>
      <c r="AR35" s="271">
        <v>2</v>
      </c>
      <c r="AS35" s="292">
        <f t="shared" si="7"/>
        <v>0.14305555555555555</v>
      </c>
      <c r="AT35" s="291">
        <f t="shared" si="8"/>
        <v>137.33333333333331</v>
      </c>
      <c r="AU35" s="272">
        <f t="shared" si="9"/>
        <v>68.666666666666657</v>
      </c>
      <c r="AW35" s="273">
        <f t="shared" si="10"/>
        <v>516.92610130000003</v>
      </c>
      <c r="AX35" s="274">
        <f t="shared" si="11"/>
        <v>137.33333333333331</v>
      </c>
      <c r="AY35" s="275">
        <v>3</v>
      </c>
      <c r="AZ35" s="276">
        <f t="shared" si="12"/>
        <v>45.777777777777771</v>
      </c>
      <c r="BA35" s="293">
        <f t="shared" si="13"/>
        <v>562.70387907777786</v>
      </c>
      <c r="BB35" s="275">
        <v>3</v>
      </c>
      <c r="BW35" s="293">
        <v>80</v>
      </c>
      <c r="BX35" s="293">
        <f t="shared" si="14"/>
        <v>642.70387907777786</v>
      </c>
    </row>
    <row r="36" spans="1:76" ht="25.5" customHeight="1" x14ac:dyDescent="0.3">
      <c r="A36" s="224" t="s">
        <v>41</v>
      </c>
      <c r="B36" s="225" t="s">
        <v>1409</v>
      </c>
      <c r="C36" s="228">
        <v>1.55</v>
      </c>
      <c r="D36" s="263">
        <f>C36*C5</f>
        <v>30.3645</v>
      </c>
      <c r="E36" s="228">
        <v>0.77500000000000002</v>
      </c>
      <c r="F36" s="263">
        <f>E36*F5</f>
        <v>15.18225</v>
      </c>
      <c r="G36" s="227">
        <f t="shared" si="0"/>
        <v>45.546750000000003</v>
      </c>
      <c r="H36" s="228">
        <v>0.8</v>
      </c>
      <c r="I36" s="227">
        <f>H36*PARÂMETROS!$E$22</f>
        <v>33.896000000000001</v>
      </c>
      <c r="J36" s="228">
        <v>4.2000000000000003E-2</v>
      </c>
      <c r="K36" s="227">
        <f>J36*PARÂMETROS!$E$22</f>
        <v>1.7795399999999999</v>
      </c>
      <c r="L36" s="228">
        <v>2E-3</v>
      </c>
      <c r="M36" s="230">
        <f>L36*PARÂMETROS!$E$8</f>
        <v>6.1780000000000002E-2</v>
      </c>
      <c r="N36" s="228">
        <f t="shared" si="1"/>
        <v>8.0000000000000002E-3</v>
      </c>
      <c r="O36" s="230">
        <f>N36*PARÂMETROS!$E$8</f>
        <v>0.24712000000000001</v>
      </c>
      <c r="P36" s="228">
        <f t="shared" si="2"/>
        <v>4.2000000000000006E-3</v>
      </c>
      <c r="Q36" s="230">
        <f>P36*PARÂMETROS!$E$8</f>
        <v>0.12973800000000002</v>
      </c>
      <c r="R36" s="228">
        <f t="shared" si="3"/>
        <v>8.0000000000000004E-4</v>
      </c>
      <c r="S36" s="230">
        <f>R36*PARÂMETROS!$E$8</f>
        <v>2.4712000000000001E-2</v>
      </c>
      <c r="T36" s="231">
        <v>0.92</v>
      </c>
      <c r="U36" s="230">
        <f>T36*PARÂMETROS!$E$27</f>
        <v>2.7600000000000002</v>
      </c>
      <c r="V36" s="299">
        <v>2.7</v>
      </c>
      <c r="W36" s="230">
        <f>V36*PARÂMETROS!$E$29</f>
        <v>484.21800000000002</v>
      </c>
      <c r="X36" s="299">
        <v>0.54</v>
      </c>
      <c r="Y36" s="230">
        <f>X36*PARÂMETROS!$E$31</f>
        <v>8.1810000000000009</v>
      </c>
      <c r="Z36" s="228">
        <f t="shared" si="4"/>
        <v>8.0000000000000002E-3</v>
      </c>
      <c r="AA36" s="230">
        <f>Z36*PARÂMETROS!$E$8</f>
        <v>0.24712000000000001</v>
      </c>
      <c r="AB36" s="229">
        <f t="shared" si="5"/>
        <v>4.2000000000000002E-4</v>
      </c>
      <c r="AC36" s="230">
        <f>AB36*PARÂMETROS!$E$8</f>
        <v>1.2973800000000001E-2</v>
      </c>
      <c r="AF36" s="232" t="s">
        <v>1415</v>
      </c>
      <c r="AG36" s="264">
        <f t="shared" si="6"/>
        <v>577.10473380000008</v>
      </c>
      <c r="AH36" s="23"/>
      <c r="AI36" s="224" t="s">
        <v>41</v>
      </c>
      <c r="AJ36" s="291">
        <f>PARÂMETROS!$H$3</f>
        <v>40</v>
      </c>
      <c r="AK36" s="267">
        <v>2.1527777777777798E-2</v>
      </c>
      <c r="AL36" s="267">
        <v>3.4722222222222203E-2</v>
      </c>
      <c r="AM36" s="267">
        <v>2.7777777777777801E-2</v>
      </c>
      <c r="AN36" s="267"/>
      <c r="AO36" s="267">
        <v>2.0833333333333301E-2</v>
      </c>
      <c r="AP36" s="267">
        <v>6.9444444444444397E-3</v>
      </c>
      <c r="AQ36" s="267">
        <v>3.125E-2</v>
      </c>
      <c r="AR36" s="271">
        <v>2</v>
      </c>
      <c r="AS36" s="292">
        <f t="shared" si="7"/>
        <v>0.14305555555555555</v>
      </c>
      <c r="AT36" s="291">
        <f t="shared" si="8"/>
        <v>137.33333333333331</v>
      </c>
      <c r="AU36" s="272">
        <f t="shared" si="9"/>
        <v>68.666666666666657</v>
      </c>
      <c r="AW36" s="273">
        <f t="shared" si="10"/>
        <v>577.10473380000008</v>
      </c>
      <c r="AX36" s="274">
        <f t="shared" si="11"/>
        <v>137.33333333333331</v>
      </c>
      <c r="AY36" s="275">
        <v>2</v>
      </c>
      <c r="AZ36" s="276">
        <f t="shared" si="12"/>
        <v>68.666666666666657</v>
      </c>
      <c r="BA36" s="293">
        <f t="shared" si="13"/>
        <v>645.77140046666671</v>
      </c>
      <c r="BB36" s="275">
        <v>2</v>
      </c>
      <c r="BW36" s="293">
        <v>80</v>
      </c>
      <c r="BX36" s="293">
        <f t="shared" si="14"/>
        <v>725.77140046666671</v>
      </c>
    </row>
    <row r="37" spans="1:76" ht="25.5" customHeight="1" x14ac:dyDescent="0.3">
      <c r="A37" s="224" t="s">
        <v>43</v>
      </c>
      <c r="B37" s="225" t="s">
        <v>1409</v>
      </c>
      <c r="C37" s="228">
        <v>3.22</v>
      </c>
      <c r="D37" s="263">
        <f>C37*C5</f>
        <v>63.079800000000006</v>
      </c>
      <c r="E37" s="228">
        <v>1.61</v>
      </c>
      <c r="F37" s="263">
        <f>E37*F5</f>
        <v>31.539900000000003</v>
      </c>
      <c r="G37" s="227">
        <f t="shared" si="0"/>
        <v>94.619700000000009</v>
      </c>
      <c r="H37" s="228">
        <v>1</v>
      </c>
      <c r="I37" s="227">
        <f>H37*PARÂMETROS!$E$22</f>
        <v>42.37</v>
      </c>
      <c r="J37" s="228">
        <v>6.5000000000000002E-2</v>
      </c>
      <c r="K37" s="227">
        <f>J37*PARÂMETROS!$E$22</f>
        <v>2.7540499999999999</v>
      </c>
      <c r="L37" s="228">
        <v>2E-3</v>
      </c>
      <c r="M37" s="230">
        <f>L37*PARÂMETROS!$E$8</f>
        <v>6.1780000000000002E-2</v>
      </c>
      <c r="N37" s="228">
        <f t="shared" si="1"/>
        <v>0.01</v>
      </c>
      <c r="O37" s="230">
        <f>N37*PARÂMETROS!$E$8</f>
        <v>0.30890000000000001</v>
      </c>
      <c r="P37" s="228">
        <f t="shared" si="2"/>
        <v>6.5000000000000006E-3</v>
      </c>
      <c r="Q37" s="230">
        <f>P37*PARÂMETROS!$E$8</f>
        <v>0.20078500000000002</v>
      </c>
      <c r="R37" s="228">
        <f t="shared" si="3"/>
        <v>1E-3</v>
      </c>
      <c r="S37" s="230">
        <f>R37*PARÂMETROS!$E$8</f>
        <v>3.0890000000000001E-2</v>
      </c>
      <c r="T37" s="231">
        <v>1.02</v>
      </c>
      <c r="U37" s="230">
        <f>T37*PARÂMETROS!$E$27</f>
        <v>3.06</v>
      </c>
      <c r="V37" s="299">
        <v>3.45</v>
      </c>
      <c r="W37" s="230">
        <f>V37*PARÂMETROS!$E$29</f>
        <v>618.72300000000007</v>
      </c>
      <c r="X37" s="299">
        <v>0.71</v>
      </c>
      <c r="Y37" s="230">
        <f>X37*PARÂMETROS!$E$31</f>
        <v>10.756499999999999</v>
      </c>
      <c r="Z37" s="228">
        <f t="shared" si="4"/>
        <v>0.01</v>
      </c>
      <c r="AA37" s="230">
        <f>Z37*PARÂMETROS!$E$8</f>
        <v>0.30890000000000001</v>
      </c>
      <c r="AB37" s="228">
        <f t="shared" si="5"/>
        <v>6.5000000000000008E-4</v>
      </c>
      <c r="AC37" s="230">
        <f>AB37*PARÂMETROS!$E$8</f>
        <v>2.0078500000000003E-2</v>
      </c>
      <c r="AD37" s="23"/>
      <c r="AE37" s="23"/>
      <c r="AF37" s="232" t="s">
        <v>1416</v>
      </c>
      <c r="AG37" s="264">
        <f t="shared" si="6"/>
        <v>773.2145835</v>
      </c>
      <c r="AH37" s="23"/>
      <c r="AI37" s="224" t="s">
        <v>43</v>
      </c>
      <c r="AJ37" s="291">
        <f>PARÂMETROS!$H$3</f>
        <v>40</v>
      </c>
      <c r="AK37" s="267">
        <v>2.1527777777777798E-2</v>
      </c>
      <c r="AL37" s="267">
        <v>4.1666666666666699E-2</v>
      </c>
      <c r="AM37" s="267">
        <v>2.7777777777777801E-2</v>
      </c>
      <c r="AN37" s="267">
        <v>6.9444444444444397E-3</v>
      </c>
      <c r="AO37" s="267">
        <v>2.0833333333333301E-2</v>
      </c>
      <c r="AP37" s="267">
        <v>6.9444444444444397E-3</v>
      </c>
      <c r="AQ37" s="267">
        <v>3.125E-2</v>
      </c>
      <c r="AR37" s="271">
        <v>2</v>
      </c>
      <c r="AS37" s="292">
        <f t="shared" si="7"/>
        <v>0.1569444444444445</v>
      </c>
      <c r="AT37" s="291">
        <f t="shared" si="8"/>
        <v>150.66666666666674</v>
      </c>
      <c r="AU37" s="272">
        <f t="shared" si="9"/>
        <v>75.333333333333371</v>
      </c>
      <c r="AW37" s="273">
        <f t="shared" si="10"/>
        <v>773.2145835</v>
      </c>
      <c r="AX37" s="274">
        <f t="shared" si="11"/>
        <v>150.66666666666674</v>
      </c>
      <c r="AY37" s="275">
        <v>2</v>
      </c>
      <c r="AZ37" s="276">
        <f t="shared" si="12"/>
        <v>75.333333333333371</v>
      </c>
      <c r="BA37" s="293">
        <f t="shared" si="13"/>
        <v>848.54791683333337</v>
      </c>
      <c r="BB37" s="275">
        <v>2</v>
      </c>
      <c r="BW37" s="293">
        <v>80</v>
      </c>
      <c r="BX37" s="293">
        <f t="shared" si="14"/>
        <v>928.54791683333337</v>
      </c>
    </row>
    <row r="38" spans="1:76" ht="25.5" customHeight="1" x14ac:dyDescent="0.3">
      <c r="A38" s="224" t="s">
        <v>45</v>
      </c>
      <c r="B38" s="225" t="s">
        <v>1409</v>
      </c>
      <c r="C38" s="228">
        <v>5.3140000000000001</v>
      </c>
      <c r="D38" s="263">
        <f>C38*C5</f>
        <v>104.10126</v>
      </c>
      <c r="E38" s="228">
        <v>2.657</v>
      </c>
      <c r="F38" s="263">
        <f>E38*F5</f>
        <v>52.050629999999998</v>
      </c>
      <c r="G38" s="227">
        <f t="shared" si="0"/>
        <v>156.15188999999998</v>
      </c>
      <c r="H38" s="228">
        <v>1.4</v>
      </c>
      <c r="I38" s="227">
        <f>H38*PARÂMETROS!$E$22</f>
        <v>59.317999999999991</v>
      </c>
      <c r="J38" s="228">
        <v>9.1999999999999998E-2</v>
      </c>
      <c r="K38" s="227">
        <f>J38*PARÂMETROS!$E$22</f>
        <v>3.8980399999999995</v>
      </c>
      <c r="L38" s="228">
        <v>2E-3</v>
      </c>
      <c r="M38" s="230">
        <f>L38*PARÂMETROS!$E$8</f>
        <v>6.1780000000000002E-2</v>
      </c>
      <c r="N38" s="228">
        <f t="shared" si="1"/>
        <v>1.3999999999999999E-2</v>
      </c>
      <c r="O38" s="230">
        <f>N38*PARÂMETROS!$E$8</f>
        <v>0.43245999999999996</v>
      </c>
      <c r="P38" s="228">
        <f t="shared" si="2"/>
        <v>9.1999999999999998E-3</v>
      </c>
      <c r="Q38" s="230">
        <f>P38*PARÂMETROS!$E$8</f>
        <v>0.284188</v>
      </c>
      <c r="R38" s="228">
        <f t="shared" si="3"/>
        <v>1.4E-3</v>
      </c>
      <c r="S38" s="230">
        <f>R38*PARÂMETROS!$E$8</f>
        <v>4.3246E-2</v>
      </c>
      <c r="T38" s="231">
        <v>1.1200000000000001</v>
      </c>
      <c r="U38" s="230">
        <f>T38*PARÂMETROS!$E$27</f>
        <v>3.3600000000000003</v>
      </c>
      <c r="V38" s="299">
        <v>4.6500000000000004</v>
      </c>
      <c r="W38" s="230">
        <f>V38*PARÂMETROS!$E$29</f>
        <v>833.93100000000004</v>
      </c>
      <c r="X38" s="299">
        <v>0.9</v>
      </c>
      <c r="Y38" s="230">
        <f>X38*PARÂMETROS!$E$31</f>
        <v>13.635</v>
      </c>
      <c r="Z38" s="228">
        <f t="shared" si="4"/>
        <v>1.3999999999999999E-2</v>
      </c>
      <c r="AA38" s="230">
        <f>Z38*PARÂMETROS!$E$8</f>
        <v>0.43245999999999996</v>
      </c>
      <c r="AB38" s="228">
        <f t="shared" si="5"/>
        <v>9.2000000000000003E-4</v>
      </c>
      <c r="AC38" s="230">
        <f>AB38*PARÂMETROS!$E$8</f>
        <v>2.8418800000000001E-2</v>
      </c>
      <c r="AF38" s="232" t="s">
        <v>1417</v>
      </c>
      <c r="AG38" s="264">
        <f t="shared" si="6"/>
        <v>1071.5764828000001</v>
      </c>
      <c r="AH38" s="23"/>
      <c r="AI38" s="224" t="s">
        <v>45</v>
      </c>
      <c r="AJ38" s="291">
        <f>PARÂMETROS!$H$3</f>
        <v>40</v>
      </c>
      <c r="AK38" s="267">
        <v>2.1527777777777798E-2</v>
      </c>
      <c r="AL38" s="267">
        <v>4.1666666666666699E-2</v>
      </c>
      <c r="AM38" s="267">
        <v>3.4722222222222203E-2</v>
      </c>
      <c r="AN38" s="267">
        <v>6.9444444444444397E-3</v>
      </c>
      <c r="AO38" s="267">
        <v>2.0833333333333301E-2</v>
      </c>
      <c r="AP38" s="267">
        <v>6.9444444444444397E-3</v>
      </c>
      <c r="AQ38" s="267">
        <v>3.125E-2</v>
      </c>
      <c r="AR38" s="271">
        <v>2</v>
      </c>
      <c r="AS38" s="292">
        <f t="shared" si="7"/>
        <v>0.16388888888888892</v>
      </c>
      <c r="AT38" s="291">
        <f t="shared" si="8"/>
        <v>157.33333333333337</v>
      </c>
      <c r="AU38" s="272">
        <f t="shared" si="9"/>
        <v>78.666666666666686</v>
      </c>
      <c r="AW38" s="273">
        <f t="shared" si="10"/>
        <v>1071.5764828000001</v>
      </c>
      <c r="AX38" s="274">
        <f t="shared" si="11"/>
        <v>157.33333333333337</v>
      </c>
      <c r="AY38" s="275">
        <v>2</v>
      </c>
      <c r="AZ38" s="276">
        <f t="shared" si="12"/>
        <v>78.666666666666686</v>
      </c>
      <c r="BA38" s="293">
        <f t="shared" si="13"/>
        <v>1150.2431494666669</v>
      </c>
      <c r="BB38" s="275">
        <v>2</v>
      </c>
      <c r="BW38" s="293">
        <v>80</v>
      </c>
      <c r="BX38" s="293">
        <f t="shared" si="14"/>
        <v>1230.2431494666669</v>
      </c>
    </row>
    <row r="39" spans="1:76" ht="25.5" customHeight="1" x14ac:dyDescent="0.3">
      <c r="A39" s="224" t="s">
        <v>47</v>
      </c>
      <c r="B39" s="225" t="s">
        <v>1409</v>
      </c>
      <c r="C39" s="228">
        <v>7.8</v>
      </c>
      <c r="D39" s="263">
        <f>C39*C5</f>
        <v>152.80199999999999</v>
      </c>
      <c r="E39" s="228">
        <v>3.9</v>
      </c>
      <c r="F39" s="263">
        <f>E39*F5</f>
        <v>76.400999999999996</v>
      </c>
      <c r="G39" s="227">
        <f t="shared" si="0"/>
        <v>229.20299999999997</v>
      </c>
      <c r="H39" s="228">
        <v>1.8</v>
      </c>
      <c r="I39" s="227">
        <f>H39*PARÂMETROS!$E$22</f>
        <v>76.265999999999991</v>
      </c>
      <c r="J39" s="228">
        <v>0.124</v>
      </c>
      <c r="K39" s="227">
        <f>J39*PARÂMETROS!$E$22</f>
        <v>5.2538799999999997</v>
      </c>
      <c r="L39" s="228">
        <v>2E-3</v>
      </c>
      <c r="M39" s="230">
        <f>L39*PARÂMETROS!$E$8</f>
        <v>6.1780000000000002E-2</v>
      </c>
      <c r="N39" s="228">
        <f t="shared" si="1"/>
        <v>1.8000000000000002E-2</v>
      </c>
      <c r="O39" s="230">
        <f>N39*PARÂMETROS!$E$8</f>
        <v>0.55602000000000007</v>
      </c>
      <c r="P39" s="228">
        <f t="shared" si="2"/>
        <v>1.2400000000000001E-2</v>
      </c>
      <c r="Q39" s="230">
        <f>P39*PARÂMETROS!$E$8</f>
        <v>0.38303600000000004</v>
      </c>
      <c r="R39" s="228">
        <f t="shared" si="3"/>
        <v>1.8000000000000004E-3</v>
      </c>
      <c r="S39" s="230">
        <f>R39*PARÂMETROS!$E$8</f>
        <v>5.5602000000000013E-2</v>
      </c>
      <c r="T39" s="231">
        <v>1.22</v>
      </c>
      <c r="U39" s="230">
        <f>T39*PARÂMETROS!$E$27</f>
        <v>3.66</v>
      </c>
      <c r="V39" s="299">
        <v>6.06</v>
      </c>
      <c r="W39" s="230">
        <f>V39*PARÂMETROS!$E$29</f>
        <v>1086.8003999999999</v>
      </c>
      <c r="X39" s="299">
        <v>1.2</v>
      </c>
      <c r="Y39" s="230">
        <f>X39*PARÂMETROS!$E$31</f>
        <v>18.18</v>
      </c>
      <c r="Z39" s="228">
        <f t="shared" si="4"/>
        <v>1.8000000000000002E-2</v>
      </c>
      <c r="AA39" s="230">
        <f>Z39*PARÂMETROS!$E$8</f>
        <v>0.55602000000000007</v>
      </c>
      <c r="AB39" s="228">
        <f t="shared" si="5"/>
        <v>1.24E-3</v>
      </c>
      <c r="AC39" s="230">
        <f>AB39*PARÂMETROS!$E$8</f>
        <v>3.83036E-2</v>
      </c>
      <c r="AD39" s="23"/>
      <c r="AE39" s="23"/>
      <c r="AF39" s="232" t="s">
        <v>1418</v>
      </c>
      <c r="AG39" s="264">
        <f t="shared" si="6"/>
        <v>1421.0140415999999</v>
      </c>
      <c r="AH39" s="23"/>
      <c r="AI39" s="224" t="s">
        <v>47</v>
      </c>
      <c r="AJ39" s="291">
        <f>PARÂMETROS!$H$3</f>
        <v>40</v>
      </c>
      <c r="AK39" s="267">
        <v>2.1527777777777798E-2</v>
      </c>
      <c r="AL39" s="267">
        <v>4.1666666666666699E-2</v>
      </c>
      <c r="AM39" s="267">
        <v>3.4722222222222203E-2</v>
      </c>
      <c r="AN39" s="267">
        <v>6.9444444444444397E-3</v>
      </c>
      <c r="AO39" s="267">
        <v>2.0833333333333301E-2</v>
      </c>
      <c r="AP39" s="267">
        <v>6.9444444444444397E-3</v>
      </c>
      <c r="AQ39" s="267">
        <v>3.125E-2</v>
      </c>
      <c r="AR39" s="271">
        <v>1</v>
      </c>
      <c r="AS39" s="292">
        <f t="shared" si="7"/>
        <v>0.16388888888888892</v>
      </c>
      <c r="AT39" s="291">
        <f t="shared" si="8"/>
        <v>157.33333333333337</v>
      </c>
      <c r="AU39" s="272">
        <f t="shared" si="9"/>
        <v>157.33333333333337</v>
      </c>
      <c r="AW39" s="273">
        <f t="shared" si="10"/>
        <v>1421.0140415999999</v>
      </c>
      <c r="AX39" s="274">
        <f t="shared" si="11"/>
        <v>157.33333333333337</v>
      </c>
      <c r="AY39" s="275">
        <v>1</v>
      </c>
      <c r="AZ39" s="276">
        <f t="shared" si="12"/>
        <v>157.33333333333337</v>
      </c>
      <c r="BA39" s="293">
        <f t="shared" si="13"/>
        <v>1578.3473749333334</v>
      </c>
      <c r="BB39" s="275">
        <v>1</v>
      </c>
      <c r="BW39" s="293">
        <v>80</v>
      </c>
      <c r="BX39" s="293">
        <f t="shared" si="14"/>
        <v>1658.3473749333334</v>
      </c>
    </row>
    <row r="40" spans="1:76" ht="25.5" customHeight="1" x14ac:dyDescent="0.3">
      <c r="A40" s="224" t="s">
        <v>222</v>
      </c>
      <c r="B40" s="225" t="s">
        <v>1409</v>
      </c>
      <c r="C40" s="228">
        <v>10.4</v>
      </c>
      <c r="D40" s="263">
        <f>C40*C5</f>
        <v>203.73600000000002</v>
      </c>
      <c r="E40" s="228">
        <v>5.2</v>
      </c>
      <c r="F40" s="263">
        <f>E40*F5</f>
        <v>101.86800000000001</v>
      </c>
      <c r="G40" s="227">
        <f t="shared" si="0"/>
        <v>305.60400000000004</v>
      </c>
      <c r="H40" s="228">
        <v>2.5</v>
      </c>
      <c r="I40" s="227">
        <f>H40*PARÂMETROS!$E$22</f>
        <v>105.925</v>
      </c>
      <c r="J40" s="228">
        <v>0.161</v>
      </c>
      <c r="K40" s="227">
        <f>J40*PARÂMETROS!$E$22</f>
        <v>6.8215699999999995</v>
      </c>
      <c r="L40" s="228">
        <v>2E-3</v>
      </c>
      <c r="M40" s="230">
        <f>L40*PARÂMETROS!$E$8</f>
        <v>6.1780000000000002E-2</v>
      </c>
      <c r="N40" s="228">
        <f t="shared" si="1"/>
        <v>2.5000000000000001E-2</v>
      </c>
      <c r="O40" s="230">
        <f>N40*PARÂMETROS!$E$8</f>
        <v>0.7722500000000001</v>
      </c>
      <c r="P40" s="228">
        <f t="shared" si="2"/>
        <v>1.61E-2</v>
      </c>
      <c r="Q40" s="230">
        <f>P40*PARÂMETROS!$E$8</f>
        <v>0.49732900000000002</v>
      </c>
      <c r="R40" s="228">
        <f t="shared" si="3"/>
        <v>2.5000000000000005E-3</v>
      </c>
      <c r="S40" s="230">
        <f>R40*PARÂMETROS!$E$8</f>
        <v>7.7225000000000016E-2</v>
      </c>
      <c r="T40" s="231">
        <v>1.31</v>
      </c>
      <c r="U40" s="230">
        <f>T40*PARÂMETROS!$E$27</f>
        <v>3.93</v>
      </c>
      <c r="V40" s="299">
        <v>6.42</v>
      </c>
      <c r="W40" s="230">
        <f>V40*PARÂMETROS!$E$29</f>
        <v>1151.3628000000001</v>
      </c>
      <c r="X40" s="299">
        <v>1.3</v>
      </c>
      <c r="Y40" s="230">
        <f>X40*PARÂMETROS!$E$31</f>
        <v>19.695</v>
      </c>
      <c r="Z40" s="228">
        <f t="shared" si="4"/>
        <v>2.5000000000000001E-2</v>
      </c>
      <c r="AA40" s="230">
        <f>Z40*PARÂMETROS!$E$8</f>
        <v>0.7722500000000001</v>
      </c>
      <c r="AB40" s="228">
        <f t="shared" si="5"/>
        <v>1.6100000000000001E-3</v>
      </c>
      <c r="AC40" s="230">
        <f>AB40*PARÂMETROS!$E$8</f>
        <v>4.9732900000000003E-2</v>
      </c>
      <c r="AF40" s="232" t="s">
        <v>1419</v>
      </c>
      <c r="AG40" s="264">
        <f t="shared" si="6"/>
        <v>1595.5689368999999</v>
      </c>
      <c r="AH40" s="23"/>
      <c r="AI40" s="224" t="s">
        <v>222</v>
      </c>
      <c r="AJ40" s="291">
        <f>PARÂMETROS!$H$3</f>
        <v>40</v>
      </c>
      <c r="AK40" s="267">
        <v>2.1527777777777798E-2</v>
      </c>
      <c r="AL40" s="267">
        <v>4.1666666666666699E-2</v>
      </c>
      <c r="AM40" s="267">
        <v>3.4722222222222203E-2</v>
      </c>
      <c r="AN40" s="267">
        <v>6.9444444444444397E-3</v>
      </c>
      <c r="AO40" s="267">
        <v>2.0833333333333301E-2</v>
      </c>
      <c r="AP40" s="267">
        <v>6.9444444444444397E-3</v>
      </c>
      <c r="AQ40" s="267">
        <v>3.125E-2</v>
      </c>
      <c r="AR40" s="271">
        <v>1</v>
      </c>
      <c r="AS40" s="292">
        <f t="shared" si="7"/>
        <v>0.16388888888888892</v>
      </c>
      <c r="AT40" s="291">
        <f t="shared" si="8"/>
        <v>157.33333333333337</v>
      </c>
      <c r="AU40" s="272">
        <f t="shared" si="9"/>
        <v>157.33333333333337</v>
      </c>
      <c r="AW40" s="273">
        <f t="shared" si="10"/>
        <v>1595.5689368999999</v>
      </c>
      <c r="AX40" s="274">
        <f t="shared" si="11"/>
        <v>157.33333333333337</v>
      </c>
      <c r="AY40" s="275">
        <v>1</v>
      </c>
      <c r="AZ40" s="276">
        <f t="shared" si="12"/>
        <v>157.33333333333337</v>
      </c>
      <c r="BA40" s="293">
        <f t="shared" si="13"/>
        <v>1752.9022702333332</v>
      </c>
      <c r="BB40" s="275">
        <v>1</v>
      </c>
      <c r="BW40" s="293">
        <v>80</v>
      </c>
      <c r="BX40" s="293">
        <f t="shared" si="14"/>
        <v>1832.9022702333332</v>
      </c>
    </row>
    <row r="41" spans="1:76" ht="25.5" customHeight="1" x14ac:dyDescent="0.3">
      <c r="A41" s="224" t="s">
        <v>226</v>
      </c>
      <c r="B41" s="225" t="s">
        <v>1409</v>
      </c>
      <c r="C41" s="228">
        <v>18</v>
      </c>
      <c r="D41" s="263">
        <f>C41*C5</f>
        <v>352.62</v>
      </c>
      <c r="E41" s="228">
        <v>9</v>
      </c>
      <c r="F41" s="263">
        <f>E41*F5</f>
        <v>176.31</v>
      </c>
      <c r="G41" s="227">
        <f t="shared" si="0"/>
        <v>528.93000000000006</v>
      </c>
      <c r="H41" s="228">
        <v>3</v>
      </c>
      <c r="I41" s="227">
        <f>H41*PARÂMETROS!$E$22</f>
        <v>127.10999999999999</v>
      </c>
      <c r="J41" s="228">
        <v>0.19400000000000001</v>
      </c>
      <c r="K41" s="227">
        <f>J41*PARÂMETROS!$E$22</f>
        <v>8.2197800000000001</v>
      </c>
      <c r="L41" s="228">
        <v>2E-3</v>
      </c>
      <c r="M41" s="230">
        <f>L41*PARÂMETROS!$E$8</f>
        <v>6.1780000000000002E-2</v>
      </c>
      <c r="N41" s="228">
        <f t="shared" si="1"/>
        <v>0.03</v>
      </c>
      <c r="O41" s="230">
        <f>N41*PARÂMETROS!$E$8</f>
        <v>0.92669999999999997</v>
      </c>
      <c r="P41" s="228">
        <f t="shared" si="2"/>
        <v>1.9400000000000001E-2</v>
      </c>
      <c r="Q41" s="230">
        <f>P41*PARÂMETROS!$E$8</f>
        <v>0.59926600000000008</v>
      </c>
      <c r="R41" s="228">
        <f t="shared" si="3"/>
        <v>3.0000000000000001E-3</v>
      </c>
      <c r="S41" s="230">
        <f>R41*PARÂMETROS!$E$8</f>
        <v>9.2670000000000002E-2</v>
      </c>
      <c r="T41" s="231">
        <v>1.4</v>
      </c>
      <c r="U41" s="230">
        <f>T41*PARÂMETROS!$E$27</f>
        <v>4.1999999999999993</v>
      </c>
      <c r="V41" s="299">
        <v>8.61</v>
      </c>
      <c r="W41" s="230">
        <f>V41*PARÂMETROS!$E$29</f>
        <v>1544.1173999999999</v>
      </c>
      <c r="X41" s="299">
        <v>1.7</v>
      </c>
      <c r="Y41" s="230">
        <f>X41*PARÂMETROS!$E$31</f>
        <v>25.754999999999999</v>
      </c>
      <c r="Z41" s="228">
        <f t="shared" si="4"/>
        <v>0.03</v>
      </c>
      <c r="AA41" s="230">
        <f>Z41*PARÂMETROS!$E$8</f>
        <v>0.92669999999999997</v>
      </c>
      <c r="AB41" s="228">
        <f t="shared" si="5"/>
        <v>1.9400000000000001E-3</v>
      </c>
      <c r="AC41" s="230">
        <f>AB41*PARÂMETROS!$E$8</f>
        <v>5.9926600000000003E-2</v>
      </c>
      <c r="AD41" s="23"/>
      <c r="AE41" s="23"/>
      <c r="AF41" s="232" t="s">
        <v>1420</v>
      </c>
      <c r="AG41" s="264">
        <f t="shared" si="6"/>
        <v>2240.9992225999999</v>
      </c>
      <c r="AH41" s="23"/>
      <c r="AI41" s="224" t="s">
        <v>226</v>
      </c>
      <c r="AJ41" s="291">
        <f>PARÂMETROS!$H$3</f>
        <v>40</v>
      </c>
      <c r="AK41" s="267">
        <v>2.1527777777777798E-2</v>
      </c>
      <c r="AL41" s="267">
        <v>4.1666666666666699E-2</v>
      </c>
      <c r="AM41" s="267">
        <v>3.4722222222222203E-2</v>
      </c>
      <c r="AN41" s="267">
        <v>6.9444444444444397E-3</v>
      </c>
      <c r="AO41" s="267">
        <v>2.0833333333333301E-2</v>
      </c>
      <c r="AP41" s="267">
        <v>6.9444444444444397E-3</v>
      </c>
      <c r="AQ41" s="267">
        <v>3.125E-2</v>
      </c>
      <c r="AR41" s="271">
        <v>1</v>
      </c>
      <c r="AS41" s="292">
        <f t="shared" si="7"/>
        <v>0.16388888888888892</v>
      </c>
      <c r="AT41" s="291">
        <f t="shared" si="8"/>
        <v>157.33333333333337</v>
      </c>
      <c r="AU41" s="272">
        <f t="shared" si="9"/>
        <v>157.33333333333337</v>
      </c>
      <c r="AW41" s="273">
        <f t="shared" si="10"/>
        <v>2240.9992225999999</v>
      </c>
      <c r="AX41" s="274">
        <f t="shared" si="11"/>
        <v>157.33333333333337</v>
      </c>
      <c r="AY41" s="275">
        <v>1</v>
      </c>
      <c r="AZ41" s="276">
        <f t="shared" si="12"/>
        <v>157.33333333333337</v>
      </c>
      <c r="BA41" s="293">
        <f t="shared" si="13"/>
        <v>2398.3325559333334</v>
      </c>
      <c r="BB41" s="275">
        <v>1</v>
      </c>
      <c r="BW41" s="293">
        <v>80</v>
      </c>
      <c r="BX41" s="293">
        <f t="shared" si="14"/>
        <v>2478.3325559333334</v>
      </c>
    </row>
    <row r="42" spans="1:76" ht="25.5" customHeight="1" x14ac:dyDescent="0.3">
      <c r="A42" s="224" t="s">
        <v>230</v>
      </c>
      <c r="B42" s="225" t="s">
        <v>1409</v>
      </c>
      <c r="C42" s="228">
        <v>24</v>
      </c>
      <c r="D42" s="263">
        <f>C42*C5</f>
        <v>470.15999999999997</v>
      </c>
      <c r="E42" s="228">
        <v>12</v>
      </c>
      <c r="F42" s="263">
        <f>E42*F5</f>
        <v>235.07999999999998</v>
      </c>
      <c r="G42" s="227">
        <f t="shared" si="0"/>
        <v>705.24</v>
      </c>
      <c r="H42" s="228">
        <v>3.4</v>
      </c>
      <c r="I42" s="227">
        <f>H42*PARÂMETROS!$E$22</f>
        <v>144.05799999999999</v>
      </c>
      <c r="J42" s="228">
        <v>0.25</v>
      </c>
      <c r="K42" s="227">
        <f>J42*PARÂMETROS!$E$22</f>
        <v>10.592499999999999</v>
      </c>
      <c r="L42" s="228">
        <v>2E-3</v>
      </c>
      <c r="M42" s="230">
        <f>L42*PARÂMETROS!$E$8</f>
        <v>6.1780000000000002E-2</v>
      </c>
      <c r="N42" s="228">
        <f t="shared" si="1"/>
        <v>3.4000000000000002E-2</v>
      </c>
      <c r="O42" s="230">
        <f>N42*PARÂMETROS!$E$8</f>
        <v>1.0502600000000002</v>
      </c>
      <c r="P42" s="228">
        <f t="shared" si="2"/>
        <v>2.5000000000000001E-2</v>
      </c>
      <c r="Q42" s="230">
        <f>P42*PARÂMETROS!$E$8</f>
        <v>0.7722500000000001</v>
      </c>
      <c r="R42" s="228">
        <f t="shared" si="3"/>
        <v>3.4000000000000002E-3</v>
      </c>
      <c r="S42" s="230">
        <f>R42*PARÂMETROS!$E$8</f>
        <v>0.10502600000000001</v>
      </c>
      <c r="T42" s="231">
        <v>1.52</v>
      </c>
      <c r="U42" s="230">
        <f>T42*PARÂMETROS!$E$27</f>
        <v>4.5600000000000005</v>
      </c>
      <c r="V42" s="299">
        <v>10.96</v>
      </c>
      <c r="W42" s="230">
        <f>V42*PARÂMETROS!$E$29</f>
        <v>1965.5664000000002</v>
      </c>
      <c r="X42" s="299">
        <v>1.2</v>
      </c>
      <c r="Y42" s="230">
        <f>X42*PARÂMETROS!$E$31</f>
        <v>18.18</v>
      </c>
      <c r="Z42" s="228">
        <f t="shared" si="4"/>
        <v>3.4000000000000002E-2</v>
      </c>
      <c r="AA42" s="230">
        <f>Z42*PARÂMETROS!$E$8</f>
        <v>1.0502600000000002</v>
      </c>
      <c r="AB42" s="228">
        <f t="shared" si="5"/>
        <v>2.5000000000000001E-3</v>
      </c>
      <c r="AC42" s="230">
        <f>AB42*PARÂMETROS!$E$8</f>
        <v>7.7225000000000002E-2</v>
      </c>
      <c r="AF42" s="232" t="s">
        <v>1421</v>
      </c>
      <c r="AG42" s="264">
        <f t="shared" si="6"/>
        <v>2851.313701</v>
      </c>
      <c r="AH42" s="23"/>
      <c r="AI42" s="224" t="s">
        <v>230</v>
      </c>
      <c r="AJ42" s="291">
        <f>PARÂMETROS!$H$3</f>
        <v>40</v>
      </c>
      <c r="AK42" s="267">
        <v>2.1527777777777798E-2</v>
      </c>
      <c r="AL42" s="267">
        <v>4.1666666666666699E-2</v>
      </c>
      <c r="AM42" s="267">
        <v>3.4722222222222203E-2</v>
      </c>
      <c r="AN42" s="267">
        <v>6.9444444444444397E-3</v>
      </c>
      <c r="AO42" s="267">
        <v>2.0833333333333301E-2</v>
      </c>
      <c r="AP42" s="267">
        <v>6.9444444444444397E-3</v>
      </c>
      <c r="AQ42" s="267">
        <v>3.125E-2</v>
      </c>
      <c r="AR42" s="271">
        <v>1</v>
      </c>
      <c r="AS42" s="292">
        <f t="shared" si="7"/>
        <v>0.16388888888888892</v>
      </c>
      <c r="AT42" s="291">
        <f t="shared" si="8"/>
        <v>157.33333333333337</v>
      </c>
      <c r="AU42" s="272">
        <f t="shared" si="9"/>
        <v>157.33333333333337</v>
      </c>
      <c r="AW42" s="273">
        <f t="shared" si="10"/>
        <v>2851.313701</v>
      </c>
      <c r="AX42" s="274">
        <f t="shared" si="11"/>
        <v>157.33333333333337</v>
      </c>
      <c r="AY42" s="275">
        <v>1</v>
      </c>
      <c r="AZ42" s="276">
        <f t="shared" si="12"/>
        <v>157.33333333333337</v>
      </c>
      <c r="BA42" s="293">
        <f t="shared" si="13"/>
        <v>3008.6470343333335</v>
      </c>
      <c r="BB42" s="275">
        <v>1</v>
      </c>
      <c r="BW42" s="293">
        <v>80</v>
      </c>
      <c r="BX42" s="293">
        <f t="shared" si="14"/>
        <v>3088.6470343333335</v>
      </c>
    </row>
    <row r="43" spans="1:76" ht="25.5" customHeight="1" x14ac:dyDescent="0.3">
      <c r="A43" s="224" t="s">
        <v>234</v>
      </c>
      <c r="B43" s="225" t="s">
        <v>1409</v>
      </c>
      <c r="C43" s="228">
        <v>34</v>
      </c>
      <c r="D43" s="263">
        <f>C43*C5</f>
        <v>666.06</v>
      </c>
      <c r="E43" s="228">
        <v>17</v>
      </c>
      <c r="F43" s="263">
        <f>E43*F5</f>
        <v>333.03</v>
      </c>
      <c r="G43" s="227">
        <f t="shared" si="0"/>
        <v>999.08999999999992</v>
      </c>
      <c r="H43" s="228">
        <v>3.9</v>
      </c>
      <c r="I43" s="227">
        <f>H43*PARÂMETROS!$E$22</f>
        <v>165.24299999999999</v>
      </c>
      <c r="J43" s="228">
        <v>0.30099999999999999</v>
      </c>
      <c r="K43" s="227">
        <f>J43*PARÂMETROS!$E$22</f>
        <v>12.753369999999999</v>
      </c>
      <c r="L43" s="228">
        <v>2E-3</v>
      </c>
      <c r="M43" s="230">
        <f>L43*PARÂMETROS!$E$8</f>
        <v>6.1780000000000002E-2</v>
      </c>
      <c r="N43" s="228">
        <f t="shared" si="1"/>
        <v>3.9E-2</v>
      </c>
      <c r="O43" s="230">
        <f>N43*PARÂMETROS!$E$8</f>
        <v>1.2047099999999999</v>
      </c>
      <c r="P43" s="228">
        <f t="shared" si="2"/>
        <v>3.0100000000000002E-2</v>
      </c>
      <c r="Q43" s="230">
        <f>P43*PARÂMETROS!$E$8</f>
        <v>0.92978900000000009</v>
      </c>
      <c r="R43" s="228">
        <f t="shared" si="3"/>
        <v>3.9000000000000003E-3</v>
      </c>
      <c r="S43" s="230">
        <f>R43*PARÂMETROS!$E$8</f>
        <v>0.12047100000000001</v>
      </c>
      <c r="T43" s="231">
        <v>1.62</v>
      </c>
      <c r="U43" s="230">
        <f>T43*PARÂMETROS!$E$27</f>
        <v>4.8600000000000003</v>
      </c>
      <c r="V43" s="299">
        <v>8.4</v>
      </c>
      <c r="W43" s="230">
        <f>V43*PARÂMETROS!$E$29</f>
        <v>1506.4560000000001</v>
      </c>
      <c r="X43" s="299">
        <v>2.4</v>
      </c>
      <c r="Y43" s="230">
        <f>X43*PARÂMETROS!$E$31</f>
        <v>36.36</v>
      </c>
      <c r="Z43" s="228">
        <f t="shared" si="4"/>
        <v>3.9E-2</v>
      </c>
      <c r="AA43" s="230">
        <f>Z43*PARÂMETROS!$E$8</f>
        <v>1.2047099999999999</v>
      </c>
      <c r="AB43" s="228">
        <f t="shared" si="5"/>
        <v>3.0100000000000001E-3</v>
      </c>
      <c r="AC43" s="230">
        <f>AB43*PARÂMETROS!$E$8</f>
        <v>9.2978900000000003E-2</v>
      </c>
      <c r="AD43" s="23"/>
      <c r="AE43" s="23"/>
      <c r="AF43" s="232" t="s">
        <v>1422</v>
      </c>
      <c r="AG43" s="264">
        <f t="shared" si="6"/>
        <v>2728.3768089</v>
      </c>
      <c r="AH43" s="23"/>
      <c r="AI43" s="224" t="s">
        <v>234</v>
      </c>
      <c r="AJ43" s="291">
        <f>PARÂMETROS!$H$3</f>
        <v>40</v>
      </c>
      <c r="AK43" s="267">
        <v>2.1527777777777798E-2</v>
      </c>
      <c r="AL43" s="267">
        <v>0.15277777777777801</v>
      </c>
      <c r="AM43" s="267">
        <v>6.25E-2</v>
      </c>
      <c r="AN43" s="267">
        <v>6.9444444444444397E-3</v>
      </c>
      <c r="AO43" s="267">
        <v>2.0833333333333301E-2</v>
      </c>
      <c r="AP43" s="267">
        <v>6.9444444444444397E-3</v>
      </c>
      <c r="AQ43" s="267">
        <v>3.125E-2</v>
      </c>
      <c r="AR43" s="271">
        <v>1</v>
      </c>
      <c r="AS43" s="292">
        <f t="shared" si="7"/>
        <v>0.30277777777777803</v>
      </c>
      <c r="AT43" s="291">
        <f t="shared" si="8"/>
        <v>290.66666666666691</v>
      </c>
      <c r="AU43" s="272">
        <f t="shared" si="9"/>
        <v>290.66666666666691</v>
      </c>
      <c r="AW43" s="273">
        <f t="shared" si="10"/>
        <v>2728.3768089</v>
      </c>
      <c r="AX43" s="274">
        <f t="shared" si="11"/>
        <v>290.66666666666691</v>
      </c>
      <c r="AY43" s="275">
        <v>1</v>
      </c>
      <c r="AZ43" s="276">
        <f t="shared" si="12"/>
        <v>290.66666666666691</v>
      </c>
      <c r="BA43" s="293">
        <f t="shared" si="13"/>
        <v>3019.043475566667</v>
      </c>
      <c r="BB43" s="275">
        <v>1</v>
      </c>
      <c r="BW43" s="293">
        <v>80</v>
      </c>
      <c r="BX43" s="293">
        <f t="shared" si="14"/>
        <v>3099.043475566667</v>
      </c>
    </row>
    <row r="44" spans="1:76" ht="25.5" customHeight="1" x14ac:dyDescent="0.3">
      <c r="A44" s="224" t="s">
        <v>238</v>
      </c>
      <c r="B44" s="225" t="s">
        <v>1409</v>
      </c>
      <c r="C44" s="228">
        <v>40</v>
      </c>
      <c r="D44" s="263">
        <f>C44*C5</f>
        <v>783.6</v>
      </c>
      <c r="E44" s="228">
        <v>20</v>
      </c>
      <c r="F44" s="263">
        <f>E44*F5</f>
        <v>391.8</v>
      </c>
      <c r="G44" s="227">
        <f t="shared" si="0"/>
        <v>1175.4000000000001</v>
      </c>
      <c r="H44" s="228">
        <v>4.5</v>
      </c>
      <c r="I44" s="227">
        <f>H44*PARÂMETROS!$E$22</f>
        <v>190.66499999999999</v>
      </c>
      <c r="J44" s="228">
        <v>0.35699999999999998</v>
      </c>
      <c r="K44" s="227">
        <f>J44*PARÂMETROS!$E$22</f>
        <v>15.126089999999998</v>
      </c>
      <c r="L44" s="228">
        <v>2E-3</v>
      </c>
      <c r="M44" s="230">
        <f>L44*PARÂMETROS!$E$8</f>
        <v>6.1780000000000002E-2</v>
      </c>
      <c r="N44" s="228">
        <f t="shared" si="1"/>
        <v>4.4999999999999998E-2</v>
      </c>
      <c r="O44" s="230">
        <f>N44*PARÂMETROS!$E$8</f>
        <v>1.39005</v>
      </c>
      <c r="P44" s="228">
        <f t="shared" si="2"/>
        <v>3.5700000000000003E-2</v>
      </c>
      <c r="Q44" s="230">
        <f>P44*PARÂMETROS!$E$8</f>
        <v>1.102773</v>
      </c>
      <c r="R44" s="228">
        <f t="shared" si="3"/>
        <v>4.4999999999999997E-3</v>
      </c>
      <c r="S44" s="230">
        <f>R44*PARÂMETROS!$E$8</f>
        <v>0.13900499999999999</v>
      </c>
      <c r="T44" s="231">
        <v>1.72</v>
      </c>
      <c r="U44" s="230">
        <f>T44*PARÂMETROS!$E$27</f>
        <v>5.16</v>
      </c>
      <c r="V44" s="299">
        <v>13.68</v>
      </c>
      <c r="W44" s="230">
        <f>V44*PARÂMETROS!$E$29</f>
        <v>2453.3712</v>
      </c>
      <c r="X44" s="299">
        <v>2.7</v>
      </c>
      <c r="Y44" s="230">
        <f>X44*PARÂMETROS!$E$31</f>
        <v>40.905000000000001</v>
      </c>
      <c r="Z44" s="228">
        <f t="shared" si="4"/>
        <v>4.4999999999999998E-2</v>
      </c>
      <c r="AA44" s="230">
        <f>Z44*PARÂMETROS!$E$8</f>
        <v>1.39005</v>
      </c>
      <c r="AB44" s="228">
        <f t="shared" si="5"/>
        <v>3.5699999999999998E-3</v>
      </c>
      <c r="AC44" s="230">
        <f>AB44*PARÂMETROS!$E$8</f>
        <v>0.11027729999999999</v>
      </c>
      <c r="AF44" s="232" t="s">
        <v>1423</v>
      </c>
      <c r="AG44" s="264">
        <f t="shared" si="6"/>
        <v>3884.8212253000002</v>
      </c>
      <c r="AH44" s="23"/>
      <c r="AI44" s="224" t="s">
        <v>238</v>
      </c>
      <c r="AJ44" s="291">
        <f>PARÂMETROS!$H$3</f>
        <v>40</v>
      </c>
      <c r="AK44" s="267">
        <v>4.1666666666666699E-2</v>
      </c>
      <c r="AL44" s="267">
        <v>0.15277777777777801</v>
      </c>
      <c r="AM44" s="267">
        <v>6.25E-2</v>
      </c>
      <c r="AN44" s="267">
        <v>6.9444444444444397E-3</v>
      </c>
      <c r="AO44" s="267">
        <v>2.0833333333333301E-2</v>
      </c>
      <c r="AP44" s="267">
        <v>6.9444444444444397E-3</v>
      </c>
      <c r="AQ44" s="267">
        <v>3.125E-2</v>
      </c>
      <c r="AR44" s="271">
        <v>1</v>
      </c>
      <c r="AS44" s="292">
        <f t="shared" si="7"/>
        <v>0.32291666666666691</v>
      </c>
      <c r="AT44" s="291">
        <f t="shared" si="8"/>
        <v>310.00000000000023</v>
      </c>
      <c r="AU44" s="272">
        <f t="shared" si="9"/>
        <v>310.00000000000023</v>
      </c>
      <c r="AW44" s="273">
        <f t="shared" si="10"/>
        <v>3884.8212253000002</v>
      </c>
      <c r="AX44" s="274">
        <f t="shared" si="11"/>
        <v>310.00000000000023</v>
      </c>
      <c r="AY44" s="275">
        <v>1</v>
      </c>
      <c r="AZ44" s="276">
        <f t="shared" si="12"/>
        <v>310.00000000000023</v>
      </c>
      <c r="BA44" s="293">
        <f t="shared" si="13"/>
        <v>4194.8212253000002</v>
      </c>
      <c r="BB44" s="275">
        <v>1</v>
      </c>
      <c r="BW44" s="293">
        <v>80</v>
      </c>
      <c r="BX44" s="293">
        <f t="shared" si="14"/>
        <v>4274.8212253000002</v>
      </c>
    </row>
    <row r="45" spans="1:76" ht="25.5" customHeight="1" x14ac:dyDescent="0.3">
      <c r="A45" s="224" t="s">
        <v>242</v>
      </c>
      <c r="B45" s="225" t="s">
        <v>1409</v>
      </c>
      <c r="C45" s="228">
        <v>52</v>
      </c>
      <c r="D45" s="263">
        <f>C45*C5</f>
        <v>1018.68</v>
      </c>
      <c r="E45" s="228">
        <v>26</v>
      </c>
      <c r="F45" s="263">
        <f>E45*F5</f>
        <v>509.34</v>
      </c>
      <c r="G45" s="227">
        <f t="shared" si="0"/>
        <v>1528.02</v>
      </c>
      <c r="H45" s="228">
        <v>5</v>
      </c>
      <c r="I45" s="227">
        <f>H45*PARÂMETROS!$E$22</f>
        <v>211.85</v>
      </c>
      <c r="J45" s="228">
        <v>0.41799999999999998</v>
      </c>
      <c r="K45" s="227">
        <f>J45*PARÂMETROS!$E$22</f>
        <v>17.710659999999997</v>
      </c>
      <c r="L45" s="228">
        <v>2E-3</v>
      </c>
      <c r="M45" s="230">
        <f>L45*PARÂMETROS!$E$8</f>
        <v>6.1780000000000002E-2</v>
      </c>
      <c r="N45" s="228">
        <f t="shared" si="1"/>
        <v>0.05</v>
      </c>
      <c r="O45" s="230">
        <f>N45*PARÂMETROS!$E$8</f>
        <v>1.5445000000000002</v>
      </c>
      <c r="P45" s="228">
        <f t="shared" si="2"/>
        <v>4.1800000000000004E-2</v>
      </c>
      <c r="Q45" s="230">
        <f>P45*PARÂMETROS!$E$8</f>
        <v>1.2912020000000002</v>
      </c>
      <c r="R45" s="228">
        <f t="shared" si="3"/>
        <v>5.000000000000001E-3</v>
      </c>
      <c r="S45" s="230">
        <f>R45*PARÂMETROS!$E$8</f>
        <v>0.15445000000000003</v>
      </c>
      <c r="T45" s="231">
        <v>1.82</v>
      </c>
      <c r="U45" s="230">
        <f>T45*PARÂMETROS!$E$27</f>
        <v>5.46</v>
      </c>
      <c r="V45" s="299">
        <v>13.76</v>
      </c>
      <c r="W45" s="230">
        <f>V45*PARÂMETROS!$E$29</f>
        <v>2467.7184000000002</v>
      </c>
      <c r="X45" s="299">
        <v>3.3</v>
      </c>
      <c r="Y45" s="230">
        <f>X45*PARÂMETROS!$E$31</f>
        <v>49.994999999999997</v>
      </c>
      <c r="Z45" s="228">
        <f t="shared" si="4"/>
        <v>0.05</v>
      </c>
      <c r="AA45" s="230">
        <f>Z45*PARÂMETROS!$E$8</f>
        <v>1.5445000000000002</v>
      </c>
      <c r="AB45" s="228">
        <f t="shared" si="5"/>
        <v>4.1799999999999997E-3</v>
      </c>
      <c r="AC45" s="230">
        <f>AB45*PARÂMETROS!$E$8</f>
        <v>0.12912019999999999</v>
      </c>
      <c r="AD45" s="23"/>
      <c r="AE45" s="23"/>
      <c r="AF45" s="232" t="s">
        <v>1424</v>
      </c>
      <c r="AG45" s="264">
        <f t="shared" si="6"/>
        <v>4285.4796122000007</v>
      </c>
      <c r="AH45" s="23"/>
      <c r="AI45" s="224" t="s">
        <v>242</v>
      </c>
      <c r="AJ45" s="291">
        <f>PARÂMETROS!$H$3</f>
        <v>40</v>
      </c>
      <c r="AK45" s="267">
        <v>4.1666666666666699E-2</v>
      </c>
      <c r="AL45" s="267">
        <v>0.15277777777777801</v>
      </c>
      <c r="AM45" s="267">
        <v>6.25E-2</v>
      </c>
      <c r="AN45" s="267">
        <v>6.9444444444444397E-3</v>
      </c>
      <c r="AO45" s="267">
        <v>2.0833333333333301E-2</v>
      </c>
      <c r="AP45" s="267">
        <v>6.9444444444444397E-3</v>
      </c>
      <c r="AQ45" s="267">
        <v>3.125E-2</v>
      </c>
      <c r="AR45" s="271">
        <v>1</v>
      </c>
      <c r="AS45" s="292">
        <f t="shared" si="7"/>
        <v>0.32291666666666691</v>
      </c>
      <c r="AT45" s="291">
        <f t="shared" si="8"/>
        <v>310.00000000000023</v>
      </c>
      <c r="AU45" s="272">
        <f t="shared" si="9"/>
        <v>310.00000000000023</v>
      </c>
      <c r="AW45" s="273">
        <f t="shared" si="10"/>
        <v>4285.4796122000007</v>
      </c>
      <c r="AX45" s="274">
        <f t="shared" si="11"/>
        <v>310.00000000000023</v>
      </c>
      <c r="AY45" s="275">
        <v>1</v>
      </c>
      <c r="AZ45" s="276">
        <f t="shared" si="12"/>
        <v>310.00000000000023</v>
      </c>
      <c r="BA45" s="293">
        <f t="shared" si="13"/>
        <v>4595.4796122000007</v>
      </c>
      <c r="BB45" s="275">
        <v>1</v>
      </c>
      <c r="BW45" s="293">
        <v>80</v>
      </c>
      <c r="BX45" s="293">
        <f t="shared" si="14"/>
        <v>4675.4796122000007</v>
      </c>
    </row>
    <row r="46" spans="1:76" ht="25.5" customHeight="1" x14ac:dyDescent="0.3">
      <c r="A46" s="224" t="s">
        <v>246</v>
      </c>
      <c r="B46" s="225" t="s">
        <v>1409</v>
      </c>
      <c r="C46" s="228">
        <v>66</v>
      </c>
      <c r="D46" s="263">
        <f>C46*C5</f>
        <v>1292.94</v>
      </c>
      <c r="E46" s="228">
        <v>33</v>
      </c>
      <c r="F46" s="263">
        <f>E46*F5</f>
        <v>646.47</v>
      </c>
      <c r="G46" s="227">
        <f t="shared" si="0"/>
        <v>1939.41</v>
      </c>
      <c r="H46" s="228">
        <v>5.4</v>
      </c>
      <c r="I46" s="227">
        <f>H46*PARÂMETROS!$E$22</f>
        <v>228.798</v>
      </c>
      <c r="J46" s="228">
        <v>0.498</v>
      </c>
      <c r="K46" s="227">
        <f>J46*PARÂMETROS!$E$22</f>
        <v>21.100259999999999</v>
      </c>
      <c r="L46" s="228">
        <v>2E-3</v>
      </c>
      <c r="M46" s="230">
        <f>L46*PARÂMETROS!$E$8</f>
        <v>6.1780000000000002E-2</v>
      </c>
      <c r="N46" s="228">
        <f t="shared" si="1"/>
        <v>5.4000000000000006E-2</v>
      </c>
      <c r="O46" s="230">
        <f>N46*PARÂMETROS!$E$8</f>
        <v>1.6680600000000003</v>
      </c>
      <c r="P46" s="228">
        <f t="shared" si="2"/>
        <v>4.9800000000000004E-2</v>
      </c>
      <c r="Q46" s="230">
        <f>P46*PARÂMETROS!$E$8</f>
        <v>1.5383220000000002</v>
      </c>
      <c r="R46" s="228">
        <f t="shared" si="3"/>
        <v>5.4000000000000012E-3</v>
      </c>
      <c r="S46" s="230">
        <f>R46*PARÂMETROS!$E$8</f>
        <v>0.16680600000000004</v>
      </c>
      <c r="T46" s="231">
        <v>1.92</v>
      </c>
      <c r="U46" s="230">
        <f>T46*PARÂMETROS!$E$27</f>
        <v>5.76</v>
      </c>
      <c r="V46" s="299">
        <v>13.52</v>
      </c>
      <c r="W46" s="230">
        <f>V46*PARÂMETROS!$E$29</f>
        <v>2424.6768000000002</v>
      </c>
      <c r="X46" s="299">
        <v>3.3</v>
      </c>
      <c r="Y46" s="230">
        <f>X46*PARÂMETROS!$E$31</f>
        <v>49.994999999999997</v>
      </c>
      <c r="Z46" s="228">
        <f t="shared" si="4"/>
        <v>5.4000000000000006E-2</v>
      </c>
      <c r="AA46" s="230">
        <f>Z46*PARÂMETROS!$E$8</f>
        <v>1.6680600000000003</v>
      </c>
      <c r="AB46" s="228">
        <f t="shared" si="5"/>
        <v>4.9800000000000001E-3</v>
      </c>
      <c r="AC46" s="230">
        <f>AB46*PARÂMETROS!$E$8</f>
        <v>0.1538322</v>
      </c>
      <c r="AF46" s="232" t="s">
        <v>1425</v>
      </c>
      <c r="AG46" s="264">
        <f t="shared" si="6"/>
        <v>4674.9969202000002</v>
      </c>
      <c r="AH46" s="23"/>
      <c r="AI46" s="224" t="s">
        <v>246</v>
      </c>
      <c r="AJ46" s="291">
        <f>PARÂMETROS!$H$3</f>
        <v>40</v>
      </c>
      <c r="AK46" s="267">
        <v>4.1666666666666699E-2</v>
      </c>
      <c r="AL46" s="267">
        <v>0.125</v>
      </c>
      <c r="AM46" s="267">
        <v>6.25E-2</v>
      </c>
      <c r="AN46" s="267">
        <v>6.9444444444444397E-3</v>
      </c>
      <c r="AO46" s="267">
        <v>2.0833333333333301E-2</v>
      </c>
      <c r="AP46" s="267">
        <v>6.9444444444444397E-3</v>
      </c>
      <c r="AQ46" s="267">
        <v>3.125E-2</v>
      </c>
      <c r="AR46" s="271">
        <v>1</v>
      </c>
      <c r="AS46" s="292">
        <f t="shared" si="7"/>
        <v>0.2951388888888889</v>
      </c>
      <c r="AT46" s="291">
        <f t="shared" si="8"/>
        <v>283.33333333333331</v>
      </c>
      <c r="AU46" s="272">
        <f t="shared" si="9"/>
        <v>283.33333333333331</v>
      </c>
      <c r="AW46" s="273">
        <f t="shared" si="10"/>
        <v>4674.9969202000002</v>
      </c>
      <c r="AX46" s="274">
        <f t="shared" si="11"/>
        <v>283.33333333333331</v>
      </c>
      <c r="AY46" s="275">
        <v>1</v>
      </c>
      <c r="AZ46" s="276">
        <f t="shared" si="12"/>
        <v>283.33333333333331</v>
      </c>
      <c r="BA46" s="293">
        <f t="shared" si="13"/>
        <v>4958.3302535333332</v>
      </c>
      <c r="BB46" s="275">
        <v>1</v>
      </c>
      <c r="BW46" s="293">
        <v>80</v>
      </c>
      <c r="BX46" s="293">
        <f t="shared" si="14"/>
        <v>5038.3302535333332</v>
      </c>
    </row>
    <row r="47" spans="1:76" ht="25.5" customHeight="1" x14ac:dyDescent="0.3">
      <c r="A47" s="224" t="s">
        <v>250</v>
      </c>
      <c r="B47" s="225" t="s">
        <v>1409</v>
      </c>
      <c r="C47" s="228">
        <v>86</v>
      </c>
      <c r="D47" s="263">
        <f>C47*C5</f>
        <v>1684.74</v>
      </c>
      <c r="E47" s="228">
        <v>43</v>
      </c>
      <c r="F47" s="263">
        <f>E47*F5</f>
        <v>842.37</v>
      </c>
      <c r="G47" s="227">
        <f t="shared" si="0"/>
        <v>2527.11</v>
      </c>
      <c r="H47" s="228">
        <v>6</v>
      </c>
      <c r="I47" s="227">
        <f>H47*PARÂMETROS!$E$22</f>
        <v>254.21999999999997</v>
      </c>
      <c r="J47" s="228">
        <v>0.54</v>
      </c>
      <c r="K47" s="227">
        <f>J47*PARÂMETROS!$E$22</f>
        <v>22.879799999999999</v>
      </c>
      <c r="L47" s="228">
        <v>2E-3</v>
      </c>
      <c r="M47" s="230">
        <f>L47*PARÂMETROS!$E$8</f>
        <v>6.1780000000000002E-2</v>
      </c>
      <c r="N47" s="228">
        <f t="shared" si="1"/>
        <v>0.06</v>
      </c>
      <c r="O47" s="230">
        <f>N47*PARÂMETROS!$E$8</f>
        <v>1.8533999999999999</v>
      </c>
      <c r="P47" s="228">
        <f t="shared" si="2"/>
        <v>5.4000000000000006E-2</v>
      </c>
      <c r="Q47" s="230">
        <f>P47*PARÂMETROS!$E$8</f>
        <v>1.6680600000000003</v>
      </c>
      <c r="R47" s="228">
        <f t="shared" si="3"/>
        <v>6.0000000000000001E-3</v>
      </c>
      <c r="S47" s="230">
        <f>R47*PARÂMETROS!$E$8</f>
        <v>0.18534</v>
      </c>
      <c r="T47" s="231">
        <v>2</v>
      </c>
      <c r="U47" s="230">
        <f>T47*PARÂMETROS!$E$27</f>
        <v>6</v>
      </c>
      <c r="V47" s="299">
        <v>15.68</v>
      </c>
      <c r="W47" s="230">
        <f>V47*PARÂMETROS!$E$29</f>
        <v>2812.0511999999999</v>
      </c>
      <c r="X47" s="299">
        <v>3.4</v>
      </c>
      <c r="Y47" s="230">
        <f>X47*PARÂMETROS!$E$31</f>
        <v>51.51</v>
      </c>
      <c r="Z47" s="228">
        <f t="shared" si="4"/>
        <v>0.06</v>
      </c>
      <c r="AA47" s="230">
        <f>Z47*PARÂMETROS!$E$8</f>
        <v>1.8533999999999999</v>
      </c>
      <c r="AB47" s="228">
        <f t="shared" si="5"/>
        <v>5.4000000000000003E-3</v>
      </c>
      <c r="AC47" s="230">
        <f>AB47*PARÂMETROS!$E$8</f>
        <v>0.16680600000000001</v>
      </c>
      <c r="AD47" s="23"/>
      <c r="AE47" s="23"/>
      <c r="AF47" s="232" t="s">
        <v>1426</v>
      </c>
      <c r="AG47" s="264">
        <f t="shared" si="6"/>
        <v>5679.5597860000007</v>
      </c>
      <c r="AH47" s="23"/>
      <c r="AI47" s="224" t="s">
        <v>250</v>
      </c>
      <c r="AJ47" s="291">
        <f>PARÂMETROS!$H$3</f>
        <v>40</v>
      </c>
      <c r="AK47" s="267">
        <v>4.1666666666666699E-2</v>
      </c>
      <c r="AL47" s="267">
        <v>0.125</v>
      </c>
      <c r="AM47" s="267">
        <v>6.25E-2</v>
      </c>
      <c r="AN47" s="267">
        <v>6.9444444444444397E-3</v>
      </c>
      <c r="AO47" s="267">
        <v>2.0833333333333301E-2</v>
      </c>
      <c r="AP47" s="267">
        <v>6.9444444444444397E-3</v>
      </c>
      <c r="AQ47" s="267">
        <v>3.125E-2</v>
      </c>
      <c r="AR47" s="271">
        <v>1</v>
      </c>
      <c r="AS47" s="292">
        <f t="shared" si="7"/>
        <v>0.2951388888888889</v>
      </c>
      <c r="AT47" s="291">
        <f t="shared" si="8"/>
        <v>283.33333333333331</v>
      </c>
      <c r="AU47" s="272">
        <f t="shared" si="9"/>
        <v>283.33333333333331</v>
      </c>
      <c r="AW47" s="273">
        <f t="shared" si="10"/>
        <v>5679.5597860000007</v>
      </c>
      <c r="AX47" s="274">
        <f t="shared" si="11"/>
        <v>283.33333333333331</v>
      </c>
      <c r="AY47" s="275">
        <v>1</v>
      </c>
      <c r="AZ47" s="276">
        <f t="shared" si="12"/>
        <v>283.33333333333331</v>
      </c>
      <c r="BA47" s="293">
        <f t="shared" si="13"/>
        <v>5962.8931193333337</v>
      </c>
      <c r="BB47" s="275">
        <v>1</v>
      </c>
      <c r="BW47" s="293">
        <v>80</v>
      </c>
      <c r="BX47" s="293">
        <f t="shared" si="14"/>
        <v>6042.8931193333337</v>
      </c>
    </row>
    <row r="48" spans="1:76" ht="25.5" customHeight="1" x14ac:dyDescent="0.3">
      <c r="A48" s="224" t="s">
        <v>254</v>
      </c>
      <c r="B48" s="225" t="s">
        <v>1409</v>
      </c>
      <c r="C48" s="228">
        <v>90</v>
      </c>
      <c r="D48" s="263">
        <f>C48*C5</f>
        <v>1763.1</v>
      </c>
      <c r="E48" s="228">
        <v>45</v>
      </c>
      <c r="F48" s="263">
        <f>E48*F5</f>
        <v>881.55</v>
      </c>
      <c r="G48" s="227">
        <f t="shared" si="0"/>
        <v>2644.6499999999996</v>
      </c>
      <c r="H48" s="228">
        <v>6.4</v>
      </c>
      <c r="I48" s="227">
        <f>H48*PARÂMETROS!$E$22</f>
        <v>271.16800000000001</v>
      </c>
      <c r="J48" s="228">
        <v>0.61499999999999999</v>
      </c>
      <c r="K48" s="227">
        <f>J48*PARÂMETROS!$E$22</f>
        <v>26.057549999999999</v>
      </c>
      <c r="L48" s="228">
        <v>2E-3</v>
      </c>
      <c r="M48" s="230">
        <f>L48*PARÂMETROS!$E$8</f>
        <v>6.1780000000000002E-2</v>
      </c>
      <c r="N48" s="228">
        <f t="shared" si="1"/>
        <v>6.4000000000000001E-2</v>
      </c>
      <c r="O48" s="230">
        <f>N48*PARÂMETROS!$E$8</f>
        <v>1.9769600000000001</v>
      </c>
      <c r="P48" s="228">
        <f t="shared" si="2"/>
        <v>6.1499999999999999E-2</v>
      </c>
      <c r="Q48" s="230">
        <f>P48*PARÂMETROS!$E$8</f>
        <v>1.899735</v>
      </c>
      <c r="R48" s="228">
        <f t="shared" si="3"/>
        <v>6.4000000000000003E-3</v>
      </c>
      <c r="S48" s="230">
        <f>R48*PARÂMETROS!$E$8</f>
        <v>0.19769600000000001</v>
      </c>
      <c r="T48" s="231">
        <v>2.1</v>
      </c>
      <c r="U48" s="230">
        <f>T48*PARÂMETROS!$E$27</f>
        <v>6.3000000000000007</v>
      </c>
      <c r="V48" s="299">
        <v>18.96</v>
      </c>
      <c r="W48" s="230">
        <f>V48*PARÂMETROS!$E$29</f>
        <v>3400.2864000000004</v>
      </c>
      <c r="X48" s="299">
        <v>3.8</v>
      </c>
      <c r="Y48" s="230">
        <f>X48*PARÂMETROS!$E$31</f>
        <v>57.57</v>
      </c>
      <c r="Z48" s="228">
        <f t="shared" si="4"/>
        <v>6.4000000000000001E-2</v>
      </c>
      <c r="AA48" s="230">
        <f>Z48*PARÂMETROS!$E$8</f>
        <v>1.9769600000000001</v>
      </c>
      <c r="AB48" s="228">
        <f t="shared" si="5"/>
        <v>6.1500000000000001E-3</v>
      </c>
      <c r="AC48" s="230">
        <f>AB48*PARÂMETROS!$E$8</f>
        <v>0.18997350000000002</v>
      </c>
      <c r="AF48" s="232" t="s">
        <v>1427</v>
      </c>
      <c r="AG48" s="264">
        <f t="shared" si="6"/>
        <v>6412.3350544999994</v>
      </c>
      <c r="AH48" s="23"/>
      <c r="AI48" s="224" t="s">
        <v>254</v>
      </c>
      <c r="AJ48" s="291">
        <f>PARÂMETROS!$H$3</f>
        <v>40</v>
      </c>
      <c r="AK48" s="267">
        <v>4.1666666666666699E-2</v>
      </c>
      <c r="AL48" s="267">
        <v>0.125</v>
      </c>
      <c r="AM48" s="267">
        <v>0.125</v>
      </c>
      <c r="AN48" s="267">
        <v>6.9444444444444397E-3</v>
      </c>
      <c r="AO48" s="267">
        <v>2.0833333333333301E-2</v>
      </c>
      <c r="AP48" s="267">
        <v>6.9444444444444397E-3</v>
      </c>
      <c r="AQ48" s="267">
        <v>3.125E-2</v>
      </c>
      <c r="AR48" s="271">
        <v>1</v>
      </c>
      <c r="AS48" s="292">
        <f t="shared" si="7"/>
        <v>0.3576388888888889</v>
      </c>
      <c r="AT48" s="291">
        <f t="shared" si="8"/>
        <v>343.33333333333331</v>
      </c>
      <c r="AU48" s="272">
        <f t="shared" si="9"/>
        <v>343.33333333333331</v>
      </c>
      <c r="AW48" s="273">
        <f t="shared" si="10"/>
        <v>6412.3350544999994</v>
      </c>
      <c r="AX48" s="274">
        <f t="shared" si="11"/>
        <v>343.33333333333331</v>
      </c>
      <c r="AY48" s="275">
        <v>1</v>
      </c>
      <c r="AZ48" s="276">
        <f t="shared" si="12"/>
        <v>343.33333333333331</v>
      </c>
      <c r="BA48" s="293">
        <f t="shared" si="13"/>
        <v>6755.6683878333324</v>
      </c>
      <c r="BB48" s="275">
        <v>1</v>
      </c>
      <c r="BW48" s="293">
        <v>80</v>
      </c>
      <c r="BX48" s="293">
        <f t="shared" si="14"/>
        <v>6835.6683878333324</v>
      </c>
    </row>
    <row r="49" spans="1:76" ht="25.5" customHeight="1" x14ac:dyDescent="0.3">
      <c r="A49" s="224" t="s">
        <v>258</v>
      </c>
      <c r="B49" s="225" t="s">
        <v>1409</v>
      </c>
      <c r="C49" s="228">
        <v>115</v>
      </c>
      <c r="D49" s="263">
        <f>C49*C5</f>
        <v>2252.85</v>
      </c>
      <c r="E49" s="228">
        <v>57</v>
      </c>
      <c r="F49" s="263">
        <f>E49*F5</f>
        <v>1116.6299999999999</v>
      </c>
      <c r="G49" s="227">
        <f t="shared" si="0"/>
        <v>3369.4799999999996</v>
      </c>
      <c r="H49" s="228">
        <v>7.7</v>
      </c>
      <c r="I49" s="227">
        <f>H49*PARÂMETROS!$E$22</f>
        <v>326.24899999999997</v>
      </c>
      <c r="J49" s="228">
        <v>0.71</v>
      </c>
      <c r="K49" s="227">
        <f>J49*PARÂMETROS!$E$22</f>
        <v>30.082699999999996</v>
      </c>
      <c r="L49" s="228">
        <v>2E-3</v>
      </c>
      <c r="M49" s="230">
        <f>L49*PARÂMETROS!$E$8</f>
        <v>6.1780000000000002E-2</v>
      </c>
      <c r="N49" s="228">
        <f t="shared" si="1"/>
        <v>7.6999999999999999E-2</v>
      </c>
      <c r="O49" s="230">
        <f>N49*PARÂMETROS!$E$8</f>
        <v>2.37853</v>
      </c>
      <c r="P49" s="228">
        <f t="shared" si="2"/>
        <v>7.0999999999999994E-2</v>
      </c>
      <c r="Q49" s="230">
        <f>P49*PARÂMETROS!$E$8</f>
        <v>2.19319</v>
      </c>
      <c r="R49" s="228">
        <f t="shared" si="3"/>
        <v>7.7000000000000002E-3</v>
      </c>
      <c r="S49" s="230">
        <f>R49*PARÂMETROS!$E$8</f>
        <v>0.23785300000000001</v>
      </c>
      <c r="T49" s="231">
        <v>2.2000000000000002</v>
      </c>
      <c r="U49" s="230">
        <f>T49*PARÂMETROS!$E$27</f>
        <v>6.6000000000000005</v>
      </c>
      <c r="V49" s="299">
        <v>19.28</v>
      </c>
      <c r="W49" s="230">
        <f>V49*PARÂMETROS!$E$29</f>
        <v>3457.6752000000001</v>
      </c>
      <c r="X49" s="299">
        <v>3.8</v>
      </c>
      <c r="Y49" s="230">
        <f>X49*PARÂMETROS!$E$31</f>
        <v>57.57</v>
      </c>
      <c r="Z49" s="228">
        <f t="shared" si="4"/>
        <v>7.6999999999999999E-2</v>
      </c>
      <c r="AA49" s="230">
        <f>Z49*PARÂMETROS!$E$8</f>
        <v>2.37853</v>
      </c>
      <c r="AB49" s="228">
        <f t="shared" si="5"/>
        <v>7.0999999999999995E-3</v>
      </c>
      <c r="AC49" s="230">
        <f>AB49*PARÂMETROS!$E$8</f>
        <v>0.21931899999999999</v>
      </c>
      <c r="AD49" s="23"/>
      <c r="AE49" s="23"/>
      <c r="AF49" s="232" t="s">
        <v>1428</v>
      </c>
      <c r="AG49" s="264">
        <f t="shared" si="6"/>
        <v>7255.1261019999993</v>
      </c>
      <c r="AH49" s="23"/>
      <c r="AI49" s="224" t="s">
        <v>258</v>
      </c>
      <c r="AJ49" s="291">
        <f>PARÂMETROS!$H$3</f>
        <v>40</v>
      </c>
      <c r="AK49" s="267">
        <v>4.1666666666666699E-2</v>
      </c>
      <c r="AL49" s="267">
        <v>0.125</v>
      </c>
      <c r="AM49" s="267">
        <v>0.125</v>
      </c>
      <c r="AN49" s="267">
        <v>6.9444444444444397E-3</v>
      </c>
      <c r="AO49" s="267">
        <v>2.0833333333333301E-2</v>
      </c>
      <c r="AP49" s="267">
        <v>6.9444444444444397E-3</v>
      </c>
      <c r="AQ49" s="267">
        <v>3.125E-2</v>
      </c>
      <c r="AR49" s="271">
        <v>1</v>
      </c>
      <c r="AS49" s="292">
        <f t="shared" si="7"/>
        <v>0.3576388888888889</v>
      </c>
      <c r="AT49" s="291">
        <f t="shared" si="8"/>
        <v>343.33333333333331</v>
      </c>
      <c r="AU49" s="272">
        <f t="shared" si="9"/>
        <v>343.33333333333331</v>
      </c>
      <c r="AW49" s="273">
        <f t="shared" si="10"/>
        <v>7255.1261019999993</v>
      </c>
      <c r="AX49" s="274">
        <f t="shared" si="11"/>
        <v>343.33333333333331</v>
      </c>
      <c r="AY49" s="275">
        <v>1</v>
      </c>
      <c r="AZ49" s="276">
        <f t="shared" si="12"/>
        <v>343.33333333333331</v>
      </c>
      <c r="BA49" s="293">
        <f t="shared" si="13"/>
        <v>7598.4594353333323</v>
      </c>
      <c r="BB49" s="275">
        <v>1</v>
      </c>
      <c r="BW49" s="293">
        <v>80</v>
      </c>
      <c r="BX49" s="293">
        <f t="shared" si="14"/>
        <v>7678.4594353333323</v>
      </c>
    </row>
    <row r="50" spans="1:76" ht="25.5" customHeight="1" x14ac:dyDescent="0.3">
      <c r="A50" s="224" t="s">
        <v>262</v>
      </c>
      <c r="B50" s="225" t="s">
        <v>1409</v>
      </c>
      <c r="C50" s="228">
        <v>140</v>
      </c>
      <c r="D50" s="263">
        <f>C50*C5</f>
        <v>2742.6</v>
      </c>
      <c r="E50" s="228">
        <v>70</v>
      </c>
      <c r="F50" s="263">
        <f>E50*F5</f>
        <v>1371.3</v>
      </c>
      <c r="G50" s="227">
        <f t="shared" si="0"/>
        <v>4113.8999999999996</v>
      </c>
      <c r="H50" s="228">
        <v>8.4</v>
      </c>
      <c r="I50" s="227">
        <f>H50*PARÂMETROS!$E$22</f>
        <v>355.90800000000002</v>
      </c>
      <c r="J50" s="228">
        <v>0.79500000000000004</v>
      </c>
      <c r="K50" s="227">
        <f>J50*PARÂMETROS!$E$22</f>
        <v>33.684150000000002</v>
      </c>
      <c r="L50" s="228">
        <v>2E-3</v>
      </c>
      <c r="M50" s="230">
        <f>L50*PARÂMETROS!$E$8</f>
        <v>6.1780000000000002E-2</v>
      </c>
      <c r="N50" s="228">
        <f t="shared" si="1"/>
        <v>8.4000000000000005E-2</v>
      </c>
      <c r="O50" s="230">
        <f>N50*PARÂMETROS!$E$8</f>
        <v>2.5947600000000004</v>
      </c>
      <c r="P50" s="228">
        <f t="shared" si="2"/>
        <v>7.9500000000000015E-2</v>
      </c>
      <c r="Q50" s="230">
        <f>P50*PARÂMETROS!$E$8</f>
        <v>2.4557550000000004</v>
      </c>
      <c r="R50" s="228">
        <f t="shared" si="3"/>
        <v>8.4000000000000012E-3</v>
      </c>
      <c r="S50" s="230">
        <f>R50*PARÂMETROS!$E$8</f>
        <v>0.25947600000000004</v>
      </c>
      <c r="T50" s="231">
        <v>2.2999999999999998</v>
      </c>
      <c r="U50" s="230">
        <f>T50*PARÂMETROS!$E$27</f>
        <v>6.8999999999999995</v>
      </c>
      <c r="V50" s="299">
        <v>18.8</v>
      </c>
      <c r="W50" s="230">
        <f>V50*PARÂMETROS!$E$29</f>
        <v>3371.5920000000001</v>
      </c>
      <c r="X50" s="299">
        <v>3.9</v>
      </c>
      <c r="Y50" s="230">
        <f>X50*PARÂMETROS!$E$31</f>
        <v>59.085000000000001</v>
      </c>
      <c r="Z50" s="228">
        <f t="shared" si="4"/>
        <v>8.4000000000000005E-2</v>
      </c>
      <c r="AA50" s="230">
        <f>Z50*PARÂMETROS!$E$8</f>
        <v>2.5947600000000004</v>
      </c>
      <c r="AB50" s="228">
        <f t="shared" si="5"/>
        <v>7.9500000000000005E-3</v>
      </c>
      <c r="AC50" s="230">
        <f>AB50*PARÂMETROS!$E$8</f>
        <v>0.24557550000000003</v>
      </c>
      <c r="AF50" s="232" t="s">
        <v>1429</v>
      </c>
      <c r="AG50" s="264">
        <f t="shared" si="6"/>
        <v>7949.2812565000004</v>
      </c>
      <c r="AH50" s="23"/>
      <c r="AI50" s="224" t="s">
        <v>262</v>
      </c>
      <c r="AJ50" s="291">
        <f>PARÂMETROS!$H$3</f>
        <v>40</v>
      </c>
      <c r="AK50" s="267">
        <v>4.1666666666666699E-2</v>
      </c>
      <c r="AL50" s="267">
        <v>0.16666666666666699</v>
      </c>
      <c r="AM50" s="267">
        <v>0.125</v>
      </c>
      <c r="AN50" s="267">
        <v>6.9444444444444397E-3</v>
      </c>
      <c r="AO50" s="267">
        <v>2.0833333333333301E-2</v>
      </c>
      <c r="AP50" s="267">
        <v>6.9444444444444397E-3</v>
      </c>
      <c r="AQ50" s="267">
        <v>3.125E-2</v>
      </c>
      <c r="AR50" s="271">
        <v>1</v>
      </c>
      <c r="AS50" s="292">
        <f t="shared" si="7"/>
        <v>0.39930555555555586</v>
      </c>
      <c r="AT50" s="291">
        <f t="shared" si="8"/>
        <v>383.3333333333336</v>
      </c>
      <c r="AU50" s="272">
        <f t="shared" si="9"/>
        <v>383.3333333333336</v>
      </c>
      <c r="AW50" s="273">
        <f t="shared" si="10"/>
        <v>7949.2812565000004</v>
      </c>
      <c r="AX50" s="274">
        <f t="shared" si="11"/>
        <v>383.3333333333336</v>
      </c>
      <c r="AY50" s="275">
        <v>1</v>
      </c>
      <c r="AZ50" s="276">
        <f t="shared" si="12"/>
        <v>383.3333333333336</v>
      </c>
      <c r="BA50" s="293">
        <f t="shared" si="13"/>
        <v>8332.6145898333343</v>
      </c>
      <c r="BB50" s="275">
        <v>1</v>
      </c>
      <c r="BW50" s="293">
        <v>80</v>
      </c>
      <c r="BX50" s="293">
        <f t="shared" si="14"/>
        <v>8412.6145898333343</v>
      </c>
    </row>
    <row r="51" spans="1:76" ht="25.5" customHeight="1" x14ac:dyDescent="0.3">
      <c r="A51" s="224" t="s">
        <v>266</v>
      </c>
      <c r="B51" s="225" t="s">
        <v>1409</v>
      </c>
      <c r="C51" s="228">
        <v>170</v>
      </c>
      <c r="D51" s="263">
        <f>C51*C5</f>
        <v>3330.3</v>
      </c>
      <c r="E51" s="228">
        <v>85</v>
      </c>
      <c r="F51" s="263">
        <f>E51*F5</f>
        <v>1665.15</v>
      </c>
      <c r="G51" s="227">
        <f t="shared" si="0"/>
        <v>4995.4500000000007</v>
      </c>
      <c r="H51" s="228">
        <v>9</v>
      </c>
      <c r="I51" s="227">
        <f>H51*PARÂMETROS!$E$22</f>
        <v>381.33</v>
      </c>
      <c r="J51" s="228">
        <v>0.88500000000000001</v>
      </c>
      <c r="K51" s="227">
        <f>J51*PARÂMETROS!$E$22</f>
        <v>37.497450000000001</v>
      </c>
      <c r="L51" s="228">
        <v>2E-3</v>
      </c>
      <c r="M51" s="230">
        <f>L51*PARÂMETROS!$E$8</f>
        <v>6.1780000000000002E-2</v>
      </c>
      <c r="N51" s="228">
        <f t="shared" si="1"/>
        <v>0.09</v>
      </c>
      <c r="O51" s="230">
        <f>N51*PARÂMETROS!$E$8</f>
        <v>2.7801</v>
      </c>
      <c r="P51" s="228">
        <f t="shared" si="2"/>
        <v>8.8500000000000009E-2</v>
      </c>
      <c r="Q51" s="230">
        <f>P51*PARÂMETROS!$E$8</f>
        <v>2.7337650000000004</v>
      </c>
      <c r="R51" s="228">
        <f t="shared" si="3"/>
        <v>8.9999999999999993E-3</v>
      </c>
      <c r="S51" s="230">
        <f>R51*PARÂMETROS!$E$8</f>
        <v>0.27800999999999998</v>
      </c>
      <c r="T51" s="231">
        <v>2.4</v>
      </c>
      <c r="U51" s="230">
        <f>T51*PARÂMETROS!$E$27</f>
        <v>7.1999999999999993</v>
      </c>
      <c r="V51" s="299">
        <v>18.559999999999999</v>
      </c>
      <c r="W51" s="230">
        <f>V51*PARÂMETROS!$E$29</f>
        <v>3328.5503999999996</v>
      </c>
      <c r="X51" s="299">
        <v>4</v>
      </c>
      <c r="Y51" s="230">
        <f>X51*PARÂMETROS!$E$31</f>
        <v>60.6</v>
      </c>
      <c r="Z51" s="228">
        <f t="shared" si="4"/>
        <v>0.09</v>
      </c>
      <c r="AA51" s="230">
        <f>Z51*PARÂMETROS!$E$8</f>
        <v>2.7801</v>
      </c>
      <c r="AB51" s="228">
        <f t="shared" si="5"/>
        <v>8.8500000000000002E-3</v>
      </c>
      <c r="AC51" s="230">
        <f>AB51*PARÂMETROS!$E$8</f>
        <v>0.27337650000000002</v>
      </c>
      <c r="AD51" s="23"/>
      <c r="AE51" s="23"/>
      <c r="AF51" s="232" t="s">
        <v>1430</v>
      </c>
      <c r="AG51" s="264">
        <f t="shared" si="6"/>
        <v>8819.5349815000009</v>
      </c>
      <c r="AH51" s="23"/>
      <c r="AI51" s="224" t="s">
        <v>266</v>
      </c>
      <c r="AJ51" s="291">
        <f>PARÂMETROS!$H$3</f>
        <v>40</v>
      </c>
      <c r="AK51" s="267">
        <v>8.3333333333333301E-2</v>
      </c>
      <c r="AL51" s="267">
        <v>0.16666666666666699</v>
      </c>
      <c r="AM51" s="267">
        <v>0.125</v>
      </c>
      <c r="AN51" s="267">
        <v>6.9444444444444397E-3</v>
      </c>
      <c r="AO51" s="267">
        <v>2.0833333333333301E-2</v>
      </c>
      <c r="AP51" s="267">
        <v>6.9444444444444397E-3</v>
      </c>
      <c r="AQ51" s="267">
        <v>3.125E-2</v>
      </c>
      <c r="AR51" s="271">
        <v>1</v>
      </c>
      <c r="AS51" s="292">
        <f t="shared" si="7"/>
        <v>0.44097222222222249</v>
      </c>
      <c r="AT51" s="291">
        <f t="shared" si="8"/>
        <v>423.3333333333336</v>
      </c>
      <c r="AU51" s="272">
        <f t="shared" si="9"/>
        <v>423.3333333333336</v>
      </c>
      <c r="AW51" s="273">
        <f t="shared" si="10"/>
        <v>8819.5349815000009</v>
      </c>
      <c r="AX51" s="274">
        <f t="shared" si="11"/>
        <v>423.3333333333336</v>
      </c>
      <c r="AY51" s="275">
        <v>1</v>
      </c>
      <c r="AZ51" s="276">
        <f t="shared" si="12"/>
        <v>423.3333333333336</v>
      </c>
      <c r="BA51" s="293">
        <f t="shared" si="13"/>
        <v>9242.8683148333348</v>
      </c>
      <c r="BB51" s="275">
        <v>1</v>
      </c>
      <c r="BW51" s="293">
        <v>80</v>
      </c>
      <c r="BX51" s="293">
        <f t="shared" si="14"/>
        <v>9322.8683148333348</v>
      </c>
    </row>
    <row r="52" spans="1:76" ht="25.5" customHeight="1" x14ac:dyDescent="0.3">
      <c r="A52" s="224" t="s">
        <v>270</v>
      </c>
      <c r="B52" s="225" t="s">
        <v>1409</v>
      </c>
      <c r="C52" s="228">
        <v>180</v>
      </c>
      <c r="D52" s="263">
        <f>C52*C5</f>
        <v>3526.2</v>
      </c>
      <c r="E52" s="228">
        <v>90</v>
      </c>
      <c r="F52" s="263">
        <f>E52*F5</f>
        <v>1763.1</v>
      </c>
      <c r="G52" s="227">
        <f t="shared" si="0"/>
        <v>5289.2999999999993</v>
      </c>
      <c r="H52" s="228">
        <v>9.6999999999999993</v>
      </c>
      <c r="I52" s="227">
        <f>H52*PARÂMETROS!$E$22</f>
        <v>410.98899999999992</v>
      </c>
      <c r="J52" s="228">
        <v>0.96</v>
      </c>
      <c r="K52" s="227">
        <f>J52*PARÂMETROS!$E$22</f>
        <v>40.675199999999997</v>
      </c>
      <c r="L52" s="228">
        <v>2E-3</v>
      </c>
      <c r="M52" s="230">
        <f>L52*PARÂMETROS!$E$8</f>
        <v>6.1780000000000002E-2</v>
      </c>
      <c r="N52" s="228">
        <f t="shared" si="1"/>
        <v>9.6999999999999989E-2</v>
      </c>
      <c r="O52" s="230">
        <f>N52*PARÂMETROS!$E$8</f>
        <v>2.9963299999999995</v>
      </c>
      <c r="P52" s="228">
        <f t="shared" si="2"/>
        <v>9.6000000000000002E-2</v>
      </c>
      <c r="Q52" s="230">
        <f>P52*PARÂMETROS!$E$8</f>
        <v>2.9654400000000001</v>
      </c>
      <c r="R52" s="228">
        <f t="shared" si="3"/>
        <v>9.7000000000000003E-3</v>
      </c>
      <c r="S52" s="230">
        <f>R52*PARÂMETROS!$E$8</f>
        <v>0.29963300000000004</v>
      </c>
      <c r="T52" s="231">
        <v>2.5</v>
      </c>
      <c r="U52" s="230">
        <f>T52*PARÂMETROS!$E$27</f>
        <v>7.5</v>
      </c>
      <c r="V52" s="299">
        <v>20.079999999999998</v>
      </c>
      <c r="W52" s="230">
        <f>V52*PARÂMETROS!$E$29</f>
        <v>3601.1471999999999</v>
      </c>
      <c r="X52" s="299">
        <v>4.3</v>
      </c>
      <c r="Y52" s="230">
        <f>X52*PARÂMETROS!$E$31</f>
        <v>65.144999999999996</v>
      </c>
      <c r="Z52" s="228">
        <f t="shared" si="4"/>
        <v>9.6999999999999989E-2</v>
      </c>
      <c r="AA52" s="230">
        <f>Z52*PARÂMETROS!$E$8</f>
        <v>2.9963299999999995</v>
      </c>
      <c r="AB52" s="228">
        <f t="shared" si="5"/>
        <v>9.5999999999999992E-3</v>
      </c>
      <c r="AC52" s="230">
        <f>AB52*PARÂMETROS!$E$8</f>
        <v>0.29654399999999997</v>
      </c>
      <c r="AF52" s="232" t="s">
        <v>1431</v>
      </c>
      <c r="AG52" s="264">
        <f t="shared" si="6"/>
        <v>9424.3724569999995</v>
      </c>
      <c r="AH52" s="23"/>
      <c r="AI52" s="224" t="s">
        <v>270</v>
      </c>
      <c r="AJ52" s="291">
        <f>PARÂMETROS!$H$3</f>
        <v>40</v>
      </c>
      <c r="AK52" s="267">
        <v>8.3333333333333301E-2</v>
      </c>
      <c r="AL52" s="267">
        <v>0.16666666666666699</v>
      </c>
      <c r="AM52" s="267">
        <v>0.125</v>
      </c>
      <c r="AN52" s="267">
        <v>6.9444444444444397E-3</v>
      </c>
      <c r="AO52" s="267">
        <v>2.0833333333333301E-2</v>
      </c>
      <c r="AP52" s="267">
        <v>6.9444444444444397E-3</v>
      </c>
      <c r="AQ52" s="267">
        <v>3.125E-2</v>
      </c>
      <c r="AR52" s="271">
        <v>1</v>
      </c>
      <c r="AS52" s="292">
        <f t="shared" si="7"/>
        <v>0.44097222222222249</v>
      </c>
      <c r="AT52" s="291">
        <f t="shared" si="8"/>
        <v>423.3333333333336</v>
      </c>
      <c r="AU52" s="272">
        <f t="shared" si="9"/>
        <v>423.3333333333336</v>
      </c>
      <c r="AW52" s="273">
        <f t="shared" si="10"/>
        <v>9424.3724569999995</v>
      </c>
      <c r="AX52" s="274">
        <f t="shared" si="11"/>
        <v>423.3333333333336</v>
      </c>
      <c r="AY52" s="275">
        <v>1</v>
      </c>
      <c r="AZ52" s="276">
        <f t="shared" si="12"/>
        <v>423.3333333333336</v>
      </c>
      <c r="BA52" s="293">
        <f t="shared" si="13"/>
        <v>9847.7057903333334</v>
      </c>
      <c r="BB52" s="275">
        <v>1</v>
      </c>
      <c r="BW52" s="293">
        <v>80</v>
      </c>
      <c r="BX52" s="293">
        <f t="shared" si="14"/>
        <v>9927.7057903333334</v>
      </c>
    </row>
    <row r="53" spans="1:76" ht="25.5" customHeight="1" x14ac:dyDescent="0.3">
      <c r="A53" s="224" t="s">
        <v>274</v>
      </c>
      <c r="B53" s="225" t="s">
        <v>1409</v>
      </c>
      <c r="C53" s="228">
        <v>200</v>
      </c>
      <c r="D53" s="263">
        <f>C53*C5</f>
        <v>3918</v>
      </c>
      <c r="E53" s="228">
        <v>100</v>
      </c>
      <c r="F53" s="263">
        <f>E53*F5</f>
        <v>1959</v>
      </c>
      <c r="G53" s="227">
        <f t="shared" si="0"/>
        <v>5877</v>
      </c>
      <c r="H53" s="228">
        <v>10.4</v>
      </c>
      <c r="I53" s="227">
        <f>H53*PARÂMETROS!$E$22</f>
        <v>440.64799999999997</v>
      </c>
      <c r="J53" s="228">
        <v>1.079</v>
      </c>
      <c r="K53" s="227">
        <f>J53*PARÂMETROS!$E$22</f>
        <v>45.717229999999994</v>
      </c>
      <c r="L53" s="228">
        <v>2E-3</v>
      </c>
      <c r="M53" s="230">
        <f>L53*PARÂMETROS!$E$8</f>
        <v>6.1780000000000002E-2</v>
      </c>
      <c r="N53" s="228">
        <f t="shared" si="1"/>
        <v>0.10400000000000001</v>
      </c>
      <c r="O53" s="230">
        <f>N53*PARÂMETROS!$E$8</f>
        <v>3.2125600000000003</v>
      </c>
      <c r="P53" s="228">
        <f t="shared" si="2"/>
        <v>0.1079</v>
      </c>
      <c r="Q53" s="230">
        <f>P53*PARÂMETROS!$E$8</f>
        <v>3.3330310000000001</v>
      </c>
      <c r="R53" s="228">
        <f t="shared" si="3"/>
        <v>1.0400000000000001E-2</v>
      </c>
      <c r="S53" s="230">
        <f>R53*PARÂMETROS!$E$8</f>
        <v>0.32125600000000004</v>
      </c>
      <c r="T53" s="231">
        <v>2.6</v>
      </c>
      <c r="U53" s="230">
        <f>T53*PARÂMETROS!$E$27</f>
        <v>7.8000000000000007</v>
      </c>
      <c r="V53" s="299">
        <v>21.68</v>
      </c>
      <c r="W53" s="230">
        <f>V53*PARÂMETROS!$E$29</f>
        <v>3888.0911999999998</v>
      </c>
      <c r="X53" s="299">
        <v>5</v>
      </c>
      <c r="Y53" s="230">
        <f>X53*PARÂMETROS!$E$31</f>
        <v>75.75</v>
      </c>
      <c r="Z53" s="228">
        <f t="shared" si="4"/>
        <v>0.10400000000000001</v>
      </c>
      <c r="AA53" s="230">
        <f>Z53*PARÂMETROS!$E$8</f>
        <v>3.2125600000000003</v>
      </c>
      <c r="AB53" s="228">
        <f t="shared" si="5"/>
        <v>1.0789999999999999E-2</v>
      </c>
      <c r="AC53" s="230">
        <f>AB53*PARÂMETROS!$E$8</f>
        <v>0.33330309999999996</v>
      </c>
      <c r="AD53" s="23"/>
      <c r="AE53" s="23"/>
      <c r="AF53" s="232" t="s">
        <v>1432</v>
      </c>
      <c r="AG53" s="264">
        <f t="shared" si="6"/>
        <v>10345.480920099999</v>
      </c>
      <c r="AH53" s="23"/>
      <c r="AI53" s="224" t="s">
        <v>274</v>
      </c>
      <c r="AJ53" s="291">
        <f>PARÂMETROS!$H$3</f>
        <v>40</v>
      </c>
      <c r="AK53" s="267">
        <v>8.3333333333333301E-2</v>
      </c>
      <c r="AL53" s="267">
        <v>0.16666666666666699</v>
      </c>
      <c r="AM53" s="267">
        <v>0.125</v>
      </c>
      <c r="AN53" s="267">
        <v>6.9444444444444397E-3</v>
      </c>
      <c r="AO53" s="267">
        <v>2.0833333333333301E-2</v>
      </c>
      <c r="AP53" s="267">
        <v>6.9444444444444397E-3</v>
      </c>
      <c r="AQ53" s="267">
        <v>3.125E-2</v>
      </c>
      <c r="AR53" s="271">
        <v>1</v>
      </c>
      <c r="AS53" s="292">
        <f t="shared" si="7"/>
        <v>0.44097222222222249</v>
      </c>
      <c r="AT53" s="291">
        <f t="shared" si="8"/>
        <v>423.3333333333336</v>
      </c>
      <c r="AU53" s="272">
        <f t="shared" si="9"/>
        <v>423.3333333333336</v>
      </c>
      <c r="AW53" s="273">
        <f t="shared" si="10"/>
        <v>10345.480920099999</v>
      </c>
      <c r="AX53" s="274">
        <f t="shared" si="11"/>
        <v>423.3333333333336</v>
      </c>
      <c r="AY53" s="275">
        <v>1</v>
      </c>
      <c r="AZ53" s="276">
        <f t="shared" si="12"/>
        <v>423.3333333333336</v>
      </c>
      <c r="BA53" s="293">
        <f t="shared" si="13"/>
        <v>10768.814253433333</v>
      </c>
      <c r="BB53" s="275">
        <v>1</v>
      </c>
      <c r="BW53" s="293">
        <v>80</v>
      </c>
      <c r="BX53" s="293">
        <f t="shared" si="14"/>
        <v>10848.814253433333</v>
      </c>
    </row>
    <row r="54" spans="1:76" ht="25.5" customHeight="1" x14ac:dyDescent="0.3">
      <c r="A54" s="224" t="s">
        <v>278</v>
      </c>
      <c r="B54" s="225" t="s">
        <v>1409</v>
      </c>
      <c r="C54" s="228">
        <v>235</v>
      </c>
      <c r="D54" s="263">
        <f>C54*C5</f>
        <v>4603.6499999999996</v>
      </c>
      <c r="E54" s="228">
        <v>117.5</v>
      </c>
      <c r="F54" s="263">
        <f>E54*F5</f>
        <v>2301.8249999999998</v>
      </c>
      <c r="G54" s="227">
        <f t="shared" si="0"/>
        <v>6905.4749999999995</v>
      </c>
      <c r="H54" s="228">
        <v>11.7</v>
      </c>
      <c r="I54" s="227">
        <f>H54*PARÂMETROS!$E$22</f>
        <v>495.72899999999993</v>
      </c>
      <c r="J54" s="228">
        <v>1.1599999999999999</v>
      </c>
      <c r="K54" s="227">
        <f>J54*PARÂMETROS!$E$22</f>
        <v>49.149199999999993</v>
      </c>
      <c r="L54" s="228">
        <v>2E-3</v>
      </c>
      <c r="M54" s="230">
        <f>L54*PARÂMETROS!$E$8</f>
        <v>6.1780000000000002E-2</v>
      </c>
      <c r="N54" s="228">
        <f t="shared" si="1"/>
        <v>0.11699999999999999</v>
      </c>
      <c r="O54" s="230">
        <f>N54*PARÂMETROS!$E$8</f>
        <v>3.6141299999999998</v>
      </c>
      <c r="P54" s="228">
        <f t="shared" si="2"/>
        <v>0.11599999999999999</v>
      </c>
      <c r="Q54" s="230">
        <f>P54*PARÂMETROS!$E$8</f>
        <v>3.58324</v>
      </c>
      <c r="R54" s="228">
        <f t="shared" si="3"/>
        <v>1.17E-2</v>
      </c>
      <c r="S54" s="230">
        <f>R54*PARÂMETROS!$E$8</f>
        <v>0.36141300000000004</v>
      </c>
      <c r="T54" s="231">
        <v>2.7</v>
      </c>
      <c r="U54" s="230">
        <f>T54*PARÂMETROS!$E$27</f>
        <v>8.1000000000000014</v>
      </c>
      <c r="V54" s="299">
        <v>24.88</v>
      </c>
      <c r="W54" s="230">
        <f>V54*PARÂMETROS!$E$29</f>
        <v>4461.9791999999998</v>
      </c>
      <c r="X54" s="299">
        <v>5.4</v>
      </c>
      <c r="Y54" s="230">
        <f>X54*PARÂMETROS!$E$31</f>
        <v>81.81</v>
      </c>
      <c r="Z54" s="228">
        <f t="shared" si="4"/>
        <v>0.11699999999999999</v>
      </c>
      <c r="AA54" s="230">
        <f>Z54*PARÂMETROS!$E$8</f>
        <v>3.6141299999999998</v>
      </c>
      <c r="AB54" s="228">
        <f t="shared" si="5"/>
        <v>1.1599999999999999E-2</v>
      </c>
      <c r="AC54" s="230">
        <f>AB54*PARÂMETROS!$E$8</f>
        <v>0.35832399999999998</v>
      </c>
      <c r="AF54" s="232" t="s">
        <v>1433</v>
      </c>
      <c r="AG54" s="264">
        <f t="shared" si="6"/>
        <v>12013.835416999998</v>
      </c>
      <c r="AH54" s="23"/>
      <c r="AI54" s="224" t="s">
        <v>278</v>
      </c>
      <c r="AJ54" s="291">
        <f>PARÂMETROS!$H$3</f>
        <v>40</v>
      </c>
      <c r="AK54" s="267">
        <v>8.3333333333333301E-2</v>
      </c>
      <c r="AL54" s="267">
        <v>0.16666666666666699</v>
      </c>
      <c r="AM54" s="267">
        <v>0.125</v>
      </c>
      <c r="AN54" s="267">
        <v>6.9444444444444397E-3</v>
      </c>
      <c r="AO54" s="267">
        <v>2.0833333333333301E-2</v>
      </c>
      <c r="AP54" s="267">
        <v>6.9444444444444397E-3</v>
      </c>
      <c r="AQ54" s="267">
        <v>3.125E-2</v>
      </c>
      <c r="AR54" s="271">
        <v>1</v>
      </c>
      <c r="AS54" s="292">
        <f t="shared" si="7"/>
        <v>0.44097222222222249</v>
      </c>
      <c r="AT54" s="291">
        <f t="shared" si="8"/>
        <v>423.3333333333336</v>
      </c>
      <c r="AU54" s="272">
        <f t="shared" si="9"/>
        <v>423.3333333333336</v>
      </c>
      <c r="AW54" s="273">
        <f t="shared" si="10"/>
        <v>12013.835416999998</v>
      </c>
      <c r="AX54" s="274">
        <f t="shared" si="11"/>
        <v>423.3333333333336</v>
      </c>
      <c r="AY54" s="275">
        <v>1</v>
      </c>
      <c r="AZ54" s="276">
        <f t="shared" si="12"/>
        <v>423.3333333333336</v>
      </c>
      <c r="BA54" s="293">
        <f t="shared" si="13"/>
        <v>12437.168750333332</v>
      </c>
      <c r="BB54" s="275">
        <v>1</v>
      </c>
      <c r="BW54" s="293">
        <v>80</v>
      </c>
      <c r="BX54" s="293">
        <f t="shared" si="14"/>
        <v>12517.168750333332</v>
      </c>
    </row>
    <row r="55" spans="1:76" s="223" customFormat="1" ht="14.25" customHeight="1" x14ac:dyDescent="0.3">
      <c r="A55" s="43"/>
      <c r="B55" s="43"/>
      <c r="C55" s="43"/>
      <c r="D55" s="246"/>
      <c r="E55" s="43"/>
      <c r="F55" s="246"/>
      <c r="G55" s="246"/>
      <c r="H55" s="43"/>
      <c r="I55" s="43"/>
      <c r="J55" s="246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305"/>
      <c r="AJ55" s="280"/>
      <c r="AK55" s="280"/>
      <c r="AL55" s="280"/>
      <c r="AM55" s="280"/>
      <c r="AN55" s="280"/>
      <c r="AO55" s="280"/>
      <c r="AP55" s="280"/>
      <c r="AQ55" s="280"/>
      <c r="AR55" s="280"/>
      <c r="AS55" s="280"/>
      <c r="AT55" s="280"/>
      <c r="AU55" s="280"/>
      <c r="AV55" s="280"/>
      <c r="AW55" s="280"/>
      <c r="AX55" s="280"/>
      <c r="BA55" s="280"/>
      <c r="BB55" s="280"/>
      <c r="BC55" s="280"/>
      <c r="BD55" s="280"/>
      <c r="BE55" s="280"/>
      <c r="BF55" s="280"/>
      <c r="BG55" s="280"/>
      <c r="BH55" s="280"/>
      <c r="BI55" s="280"/>
      <c r="BJ55" s="280"/>
      <c r="BK55" s="280"/>
      <c r="BL55" s="280"/>
      <c r="BM55" s="280"/>
      <c r="BN55" s="280"/>
      <c r="BO55" s="280"/>
      <c r="BP55" s="280"/>
      <c r="BQ55" s="280"/>
      <c r="BR55" s="280"/>
      <c r="BS55" s="280"/>
      <c r="BT55" s="280"/>
      <c r="BU55" s="280"/>
    </row>
    <row r="56" spans="1:76" s="223" customFormat="1" ht="14.25" customHeight="1" x14ac:dyDescent="0.3">
      <c r="A56" s="43"/>
      <c r="B56" s="43"/>
      <c r="C56" s="43"/>
      <c r="D56" s="246"/>
      <c r="E56" s="43"/>
      <c r="F56" s="246"/>
      <c r="G56" s="246"/>
      <c r="H56" s="43"/>
      <c r="I56" s="43"/>
      <c r="J56" s="246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305"/>
      <c r="AJ56" s="280"/>
      <c r="AK56" s="280"/>
      <c r="AL56" s="280"/>
      <c r="AM56" s="280"/>
      <c r="AN56" s="280"/>
      <c r="AO56" s="280"/>
      <c r="AP56" s="280"/>
      <c r="AQ56" s="280"/>
      <c r="AR56" s="280"/>
      <c r="AS56" s="280"/>
      <c r="AT56" s="280"/>
      <c r="AU56" s="280"/>
      <c r="AV56" s="280"/>
      <c r="AW56" s="280"/>
      <c r="AX56" s="280"/>
      <c r="BA56" s="280"/>
      <c r="BB56" s="280"/>
      <c r="BC56" s="280"/>
      <c r="BD56" s="280"/>
      <c r="BE56" s="280"/>
      <c r="BF56" s="280"/>
      <c r="BG56" s="280"/>
      <c r="BH56" s="280"/>
      <c r="BI56" s="280"/>
      <c r="BJ56" s="280"/>
      <c r="BK56" s="280"/>
      <c r="BL56" s="280"/>
      <c r="BM56" s="280"/>
      <c r="BN56" s="280"/>
      <c r="BO56" s="280"/>
      <c r="BP56" s="280"/>
      <c r="BQ56" s="280"/>
      <c r="BR56" s="280"/>
      <c r="BS56" s="280"/>
      <c r="BT56" s="280"/>
      <c r="BU56" s="280"/>
    </row>
    <row r="57" spans="1:76" s="223" customFormat="1" ht="14.25" customHeight="1" x14ac:dyDescent="0.3">
      <c r="A57" s="43"/>
      <c r="B57" s="43"/>
      <c r="C57" s="43"/>
      <c r="D57" s="246"/>
      <c r="E57" s="43"/>
      <c r="F57" s="246"/>
      <c r="G57" s="246"/>
      <c r="H57" s="43"/>
      <c r="I57" s="43"/>
      <c r="J57" s="246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305"/>
      <c r="AJ57" s="280"/>
      <c r="AK57" s="280"/>
      <c r="AL57" s="280"/>
      <c r="AM57" s="280"/>
      <c r="AN57" s="280"/>
      <c r="AO57" s="280"/>
      <c r="AP57" s="280"/>
      <c r="AQ57" s="280"/>
      <c r="AR57" s="280"/>
      <c r="AS57" s="280"/>
      <c r="AT57" s="280"/>
      <c r="AU57" s="280"/>
      <c r="AV57" s="280"/>
      <c r="AW57" s="280"/>
      <c r="AX57" s="280"/>
      <c r="BA57" s="280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  <c r="BR57" s="280"/>
      <c r="BS57" s="280"/>
      <c r="BT57" s="280"/>
      <c r="BU57" s="280"/>
    </row>
    <row r="58" spans="1:76" s="223" customFormat="1" ht="14.25" customHeight="1" x14ac:dyDescent="0.3">
      <c r="A58" s="43"/>
      <c r="B58" s="43"/>
      <c r="C58" s="43"/>
      <c r="D58" s="246"/>
      <c r="E58" s="43"/>
      <c r="F58" s="246"/>
      <c r="G58" s="246"/>
      <c r="H58" s="43"/>
      <c r="I58" s="43"/>
      <c r="J58" s="246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305"/>
      <c r="AJ58" s="280"/>
      <c r="AK58" s="280"/>
      <c r="AL58" s="280"/>
      <c r="AM58" s="280"/>
      <c r="AN58" s="280"/>
      <c r="AO58" s="280"/>
      <c r="AP58" s="280"/>
      <c r="AQ58" s="280"/>
      <c r="AR58" s="280"/>
      <c r="AS58" s="280"/>
      <c r="AT58" s="280"/>
      <c r="AU58" s="280"/>
      <c r="AV58" s="280"/>
      <c r="AW58" s="280"/>
      <c r="AX58" s="280"/>
      <c r="BA58" s="280"/>
      <c r="BB58" s="280"/>
      <c r="BC58" s="280"/>
      <c r="BD58" s="280"/>
      <c r="BE58" s="280"/>
      <c r="BF58" s="280"/>
      <c r="BG58" s="280"/>
      <c r="BH58" s="280"/>
      <c r="BI58" s="280"/>
      <c r="BJ58" s="280"/>
      <c r="BK58" s="280"/>
      <c r="BL58" s="280"/>
      <c r="BM58" s="280"/>
      <c r="BN58" s="280"/>
      <c r="BO58" s="280"/>
      <c r="BP58" s="280"/>
      <c r="BQ58" s="280"/>
      <c r="BR58" s="280"/>
      <c r="BS58" s="280"/>
      <c r="BT58" s="280"/>
      <c r="BU58" s="280"/>
    </row>
    <row r="59" spans="1:76" ht="14.25" customHeight="1" x14ac:dyDescent="0.3">
      <c r="A59" s="43"/>
      <c r="B59" s="43"/>
      <c r="C59" s="43"/>
      <c r="D59" s="246"/>
      <c r="E59" s="43"/>
      <c r="F59" s="246"/>
      <c r="G59" s="246"/>
      <c r="H59" s="43"/>
      <c r="I59" s="43"/>
      <c r="J59" s="246"/>
      <c r="K59" s="43"/>
      <c r="L59" s="43"/>
      <c r="M59" s="43"/>
      <c r="N59" s="43"/>
    </row>
  </sheetData>
  <autoFilter ref="A6:BS54" xr:uid="{00000000-0009-0000-0000-00000E000000}"/>
  <mergeCells count="28">
    <mergeCell ref="AX4:AZ5"/>
    <mergeCell ref="D5:E5"/>
    <mergeCell ref="F5:G5"/>
    <mergeCell ref="AX2:AZ3"/>
    <mergeCell ref="BB2:BF2"/>
    <mergeCell ref="A3:G3"/>
    <mergeCell ref="H3:M3"/>
    <mergeCell ref="N3:S3"/>
    <mergeCell ref="T3:U3"/>
    <mergeCell ref="V3:W3"/>
    <mergeCell ref="X3:Y3"/>
    <mergeCell ref="Z3:AC3"/>
    <mergeCell ref="AF4:AG5"/>
    <mergeCell ref="AI4:AT5"/>
    <mergeCell ref="H4:J5"/>
    <mergeCell ref="Z4:AA5"/>
    <mergeCell ref="A1:B1"/>
    <mergeCell ref="A2:Y2"/>
    <mergeCell ref="K4:M5"/>
    <mergeCell ref="U4:U5"/>
    <mergeCell ref="X4:X5"/>
    <mergeCell ref="Y4:Y5"/>
    <mergeCell ref="AB4:AC5"/>
    <mergeCell ref="D4:E4"/>
    <mergeCell ref="F4:G4"/>
    <mergeCell ref="N4:P5"/>
    <mergeCell ref="Q4:S5"/>
    <mergeCell ref="T4:T5"/>
  </mergeCells>
  <hyperlinks>
    <hyperlink ref="A5" location="PAINEL!A1" tooltip="Voltar ao Painel de Navegação" display="⬅ PAINEL" xr:uid="{3EA15B39-5706-4E68-86D8-0E8091303168}"/>
    <hyperlink ref="C2" location="PAINEL!A1" tooltip="Voltar ao Painel de Navegação" display="⬅ PAINEL" xr:uid="{DEB971B8-DFC8-41F1-869E-5C3823FF4536}"/>
    <hyperlink ref="A1" location="PAINEL!A1" tooltip="Voltar ao Painel de Navegação" display="⬅ PAINEL" xr:uid="{F5994A4C-24B9-4246-835F-ADF78ADAA1C3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A1:BW59"/>
  <sheetViews>
    <sheetView topLeftCell="Q1" zoomScale="85" zoomScaleNormal="85" workbookViewId="0">
      <pane ySplit="5" topLeftCell="A6" activePane="bottomLeft" state="frozen"/>
      <selection activeCell="M1" sqref="M1"/>
      <selection pane="bottomLeft" activeCell="BA34" sqref="BA34"/>
    </sheetView>
  </sheetViews>
  <sheetFormatPr defaultColWidth="8.5546875" defaultRowHeight="14.4" x14ac:dyDescent="0.3"/>
  <cols>
    <col min="1" max="1" width="42.77734375" style="184" bestFit="1" customWidth="1"/>
    <col min="2" max="2" width="31.33203125" style="185" customWidth="1"/>
    <col min="3" max="3" width="15.6640625" style="185" customWidth="1"/>
    <col min="4" max="4" width="16.109375" style="186" customWidth="1"/>
    <col min="5" max="5" width="14.6640625" style="185" customWidth="1"/>
    <col min="6" max="6" width="19.109375" style="186" customWidth="1"/>
    <col min="7" max="7" width="20.33203125" style="186" customWidth="1"/>
    <col min="8" max="9" width="23.6640625" style="185" customWidth="1"/>
    <col min="10" max="10" width="23" style="186" customWidth="1"/>
    <col min="11" max="11" width="24" style="185" customWidth="1"/>
    <col min="12" max="12" width="20.33203125" style="187" customWidth="1"/>
    <col min="13" max="13" width="19.109375" style="188" customWidth="1"/>
    <col min="14" max="14" width="21.88671875" style="188" customWidth="1"/>
    <col min="15" max="15" width="20" style="43" customWidth="1"/>
    <col min="16" max="16" width="21.109375" style="43" customWidth="1"/>
    <col min="17" max="17" width="24.88671875" style="43" customWidth="1"/>
    <col min="18" max="18" width="17.5546875" style="43" customWidth="1"/>
    <col min="19" max="19" width="17" style="43" customWidth="1"/>
    <col min="20" max="20" width="20.6640625" style="43" customWidth="1"/>
    <col min="21" max="21" width="13.44140625" style="43" customWidth="1"/>
    <col min="22" max="22" width="38.88671875" style="43" customWidth="1"/>
    <col min="23" max="23" width="22.88671875" style="43" customWidth="1"/>
    <col min="24" max="24" width="25" style="43" customWidth="1"/>
    <col min="25" max="25" width="18.6640625" style="43" customWidth="1"/>
    <col min="26" max="28" width="27.6640625" style="43" customWidth="1"/>
    <col min="29" max="29" width="21.109375" style="43" customWidth="1"/>
    <col min="30" max="31" width="13.44140625" style="43" customWidth="1"/>
    <col min="32" max="32" width="17.6640625" style="43" customWidth="1"/>
    <col min="33" max="33" width="20.5546875" style="43" customWidth="1"/>
    <col min="34" max="45" width="8.88671875" style="43" customWidth="1"/>
    <col min="46" max="46" width="22.6640625" style="43" customWidth="1"/>
    <col min="47" max="47" width="13.88671875" style="43" customWidth="1"/>
    <col min="48" max="48" width="8.88671875" style="23" customWidth="1"/>
    <col min="49" max="50" width="14" style="23" customWidth="1"/>
    <col min="51" max="51" width="8" style="23" customWidth="1"/>
    <col min="52" max="53" width="14" style="23" customWidth="1"/>
    <col min="54" max="54" width="9.6640625" style="23" customWidth="1"/>
    <col min="55" max="70" width="14" style="23" customWidth="1"/>
  </cols>
  <sheetData>
    <row r="1" spans="1:75" ht="19.95" customHeight="1" x14ac:dyDescent="0.3">
      <c r="A1" s="357" t="s">
        <v>1757</v>
      </c>
      <c r="L1" s="188"/>
    </row>
    <row r="2" spans="1:75" ht="75" customHeight="1" x14ac:dyDescent="0.3">
      <c r="A2" s="506" t="s">
        <v>1455</v>
      </c>
      <c r="B2" s="506"/>
      <c r="C2" s="507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  <c r="V2" s="506"/>
      <c r="W2" s="506"/>
      <c r="X2" s="506"/>
      <c r="Y2" s="506"/>
      <c r="AF2" s="465"/>
      <c r="AG2" s="465"/>
      <c r="AX2" s="466" t="s">
        <v>1217</v>
      </c>
      <c r="AY2" s="466"/>
      <c r="AZ2" s="466"/>
      <c r="BB2" s="497"/>
      <c r="BC2" s="497"/>
      <c r="BD2" s="497"/>
      <c r="BE2" s="497"/>
      <c r="BF2" s="497"/>
    </row>
    <row r="3" spans="1:75" ht="78" customHeight="1" x14ac:dyDescent="0.3">
      <c r="A3" s="498" t="s">
        <v>1359</v>
      </c>
      <c r="B3" s="498"/>
      <c r="C3" s="498"/>
      <c r="D3" s="498"/>
      <c r="E3" s="498"/>
      <c r="F3" s="498"/>
      <c r="G3" s="498"/>
      <c r="H3" s="485" t="s">
        <v>1435</v>
      </c>
      <c r="I3" s="485"/>
      <c r="J3" s="485"/>
      <c r="K3" s="485"/>
      <c r="L3" s="485"/>
      <c r="M3" s="485"/>
      <c r="N3" s="485" t="s">
        <v>1361</v>
      </c>
      <c r="O3" s="485"/>
      <c r="P3" s="485"/>
      <c r="Q3" s="485"/>
      <c r="R3" s="485"/>
      <c r="S3" s="485"/>
      <c r="T3" s="485" t="s">
        <v>1362</v>
      </c>
      <c r="U3" s="485"/>
      <c r="V3" s="485" t="s">
        <v>1456</v>
      </c>
      <c r="W3" s="485"/>
      <c r="X3" s="485" t="s">
        <v>1457</v>
      </c>
      <c r="Y3" s="485"/>
      <c r="Z3" s="485" t="s">
        <v>1436</v>
      </c>
      <c r="AA3" s="485"/>
      <c r="AB3" s="485"/>
      <c r="AC3" s="485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X3" s="466"/>
      <c r="AY3" s="466"/>
      <c r="AZ3" s="466"/>
    </row>
    <row r="4" spans="1:75" ht="39.75" customHeight="1" x14ac:dyDescent="0.3">
      <c r="A4" s="321" t="s">
        <v>1758</v>
      </c>
      <c r="B4" s="320"/>
      <c r="C4" s="250" t="s">
        <v>1363</v>
      </c>
      <c r="D4" s="493" t="s">
        <v>1364</v>
      </c>
      <c r="E4" s="493"/>
      <c r="F4" s="494" t="s">
        <v>1365</v>
      </c>
      <c r="G4" s="494"/>
      <c r="H4" s="505" t="s">
        <v>1843</v>
      </c>
      <c r="I4" s="505"/>
      <c r="J4" s="505"/>
      <c r="K4" s="478">
        <f>PARÂMETROS!$E$22</f>
        <v>42.37</v>
      </c>
      <c r="L4" s="478"/>
      <c r="M4" s="478"/>
      <c r="N4" s="504" t="s">
        <v>1837</v>
      </c>
      <c r="O4" s="504"/>
      <c r="P4" s="504"/>
      <c r="Q4" s="492">
        <f>PARÂMETROS!$E$8</f>
        <v>30.89</v>
      </c>
      <c r="R4" s="492"/>
      <c r="S4" s="492"/>
      <c r="T4" s="479" t="s">
        <v>1833</v>
      </c>
      <c r="U4" s="480">
        <f>PARÂMETROS!$E$27</f>
        <v>3</v>
      </c>
      <c r="V4" s="296" t="s">
        <v>1841</v>
      </c>
      <c r="W4" s="251">
        <f>PARÂMETROS!$E$28</f>
        <v>142.88</v>
      </c>
      <c r="X4" s="479" t="s">
        <v>1844</v>
      </c>
      <c r="Y4" s="480">
        <f>PARÂMETROS!$E$31</f>
        <v>15.15</v>
      </c>
      <c r="Z4" s="500" t="s">
        <v>1847</v>
      </c>
      <c r="AA4" s="500"/>
      <c r="AB4" s="502">
        <f>PARÂMETROS!$E$26</f>
        <v>89.3</v>
      </c>
      <c r="AC4" s="502"/>
      <c r="AF4" s="472" t="s">
        <v>1458</v>
      </c>
      <c r="AG4" s="472"/>
      <c r="AH4" s="23"/>
      <c r="AI4" s="474" t="s">
        <v>1470</v>
      </c>
      <c r="AJ4" s="474"/>
      <c r="AK4" s="474"/>
      <c r="AL4" s="474"/>
      <c r="AM4" s="474"/>
      <c r="AN4" s="474"/>
      <c r="AO4" s="474"/>
      <c r="AP4" s="474"/>
      <c r="AQ4" s="474"/>
      <c r="AR4" s="474"/>
      <c r="AS4" s="474"/>
      <c r="AT4" s="474"/>
      <c r="AU4" s="297"/>
      <c r="AX4" s="499" t="s">
        <v>1459</v>
      </c>
      <c r="AY4" s="499"/>
      <c r="AZ4" s="499"/>
    </row>
    <row r="5" spans="1:75" ht="54" customHeight="1" x14ac:dyDescent="0.3">
      <c r="A5" s="359"/>
      <c r="B5" s="362"/>
      <c r="C5" s="252">
        <f>PARÂMETROS!$E$23</f>
        <v>19.59</v>
      </c>
      <c r="D5" s="490">
        <f>PARÂMETROS!$E$24</f>
        <v>19.59</v>
      </c>
      <c r="E5" s="490"/>
      <c r="F5" s="491">
        <f>PARÂMETROS!$E$25</f>
        <v>19.59</v>
      </c>
      <c r="G5" s="491"/>
      <c r="H5" s="505"/>
      <c r="I5" s="505"/>
      <c r="J5" s="505"/>
      <c r="K5" s="478"/>
      <c r="L5" s="478"/>
      <c r="M5" s="478"/>
      <c r="N5" s="504"/>
      <c r="O5" s="504"/>
      <c r="P5" s="504"/>
      <c r="Q5" s="492"/>
      <c r="R5" s="492"/>
      <c r="S5" s="492"/>
      <c r="T5" s="479"/>
      <c r="U5" s="480"/>
      <c r="V5" s="200" t="s">
        <v>1845</v>
      </c>
      <c r="W5" s="251">
        <f>PARÂMETROS!$E$29</f>
        <v>179.34</v>
      </c>
      <c r="X5" s="479"/>
      <c r="Y5" s="480"/>
      <c r="Z5" s="500"/>
      <c r="AA5" s="500"/>
      <c r="AB5" s="502"/>
      <c r="AC5" s="502"/>
      <c r="AD5" s="23"/>
      <c r="AE5" s="23"/>
      <c r="AF5" s="472"/>
      <c r="AG5" s="472"/>
      <c r="AH5" s="23"/>
      <c r="AI5" s="474"/>
      <c r="AJ5" s="474"/>
      <c r="AK5" s="474"/>
      <c r="AL5" s="474"/>
      <c r="AM5" s="474"/>
      <c r="AN5" s="474"/>
      <c r="AO5" s="474"/>
      <c r="AP5" s="474"/>
      <c r="AQ5" s="474"/>
      <c r="AR5" s="474"/>
      <c r="AS5" s="474"/>
      <c r="AT5" s="474"/>
      <c r="AU5" s="298"/>
      <c r="AX5" s="499"/>
      <c r="AY5" s="499"/>
      <c r="AZ5" s="499"/>
      <c r="BB5" s="366" t="s">
        <v>1816</v>
      </c>
    </row>
    <row r="6" spans="1:75" ht="34.5" customHeight="1" x14ac:dyDescent="0.3">
      <c r="A6" s="204" t="s">
        <v>10</v>
      </c>
      <c r="B6" s="205" t="s">
        <v>1235</v>
      </c>
      <c r="C6" s="206" t="s">
        <v>1369</v>
      </c>
      <c r="D6" s="253" t="s">
        <v>1370</v>
      </c>
      <c r="E6" s="206" t="s">
        <v>1371</v>
      </c>
      <c r="F6" s="253" t="s">
        <v>1372</v>
      </c>
      <c r="G6" s="254" t="s">
        <v>1373</v>
      </c>
      <c r="H6" s="206" t="s">
        <v>1440</v>
      </c>
      <c r="I6" s="253" t="s">
        <v>1441</v>
      </c>
      <c r="J6" s="206" t="s">
        <v>1442</v>
      </c>
      <c r="K6" s="207" t="s">
        <v>1460</v>
      </c>
      <c r="L6" s="206" t="s">
        <v>1240</v>
      </c>
      <c r="M6" s="207" t="s">
        <v>1443</v>
      </c>
      <c r="N6" s="208" t="s">
        <v>1444</v>
      </c>
      <c r="O6" s="209" t="s">
        <v>1445</v>
      </c>
      <c r="P6" s="208" t="s">
        <v>1374</v>
      </c>
      <c r="Q6" s="209" t="s">
        <v>1446</v>
      </c>
      <c r="R6" s="208" t="s">
        <v>1447</v>
      </c>
      <c r="S6" s="209" t="s">
        <v>1448</v>
      </c>
      <c r="T6" s="208" t="s">
        <v>1242</v>
      </c>
      <c r="U6" s="209" t="s">
        <v>1243</v>
      </c>
      <c r="V6" s="208" t="s">
        <v>1461</v>
      </c>
      <c r="W6" s="209" t="s">
        <v>1462</v>
      </c>
      <c r="X6" s="208" t="s">
        <v>1463</v>
      </c>
      <c r="Y6" s="209" t="s">
        <v>1464</v>
      </c>
      <c r="Z6" s="208" t="s">
        <v>1449</v>
      </c>
      <c r="AA6" s="209" t="s">
        <v>1450</v>
      </c>
      <c r="AB6" s="208" t="s">
        <v>1451</v>
      </c>
      <c r="AC6" s="209" t="s">
        <v>1452</v>
      </c>
      <c r="AF6" s="210" t="s">
        <v>10</v>
      </c>
      <c r="AG6" s="211" t="s">
        <v>1120</v>
      </c>
      <c r="AH6" s="23"/>
      <c r="AI6" s="285"/>
      <c r="AJ6" s="286" t="s">
        <v>880</v>
      </c>
      <c r="AK6" s="287" t="s">
        <v>1376</v>
      </c>
      <c r="AL6" s="287" t="s">
        <v>1453</v>
      </c>
      <c r="AM6" s="287" t="s">
        <v>1454</v>
      </c>
      <c r="AN6" s="287" t="s">
        <v>1377</v>
      </c>
      <c r="AO6" s="287" t="s">
        <v>1248</v>
      </c>
      <c r="AP6" s="287" t="s">
        <v>1378</v>
      </c>
      <c r="AQ6" s="287" t="s">
        <v>1251</v>
      </c>
      <c r="AR6" s="288" t="s">
        <v>1380</v>
      </c>
      <c r="AS6" s="289" t="s">
        <v>1252</v>
      </c>
      <c r="AT6" s="286" t="s">
        <v>1253</v>
      </c>
      <c r="AU6" s="260" t="s">
        <v>1382</v>
      </c>
      <c r="AW6" s="217" t="s">
        <v>1093</v>
      </c>
      <c r="AX6" s="218" t="s">
        <v>882</v>
      </c>
      <c r="AY6" s="36" t="s">
        <v>954</v>
      </c>
      <c r="AZ6" s="220" t="s">
        <v>955</v>
      </c>
      <c r="BA6" s="48" t="s">
        <v>883</v>
      </c>
      <c r="BB6" s="36" t="s">
        <v>954</v>
      </c>
      <c r="BV6" s="48" t="s">
        <v>957</v>
      </c>
      <c r="BW6" s="48" t="s">
        <v>1383</v>
      </c>
    </row>
    <row r="7" spans="1:75" ht="27" customHeight="1" x14ac:dyDescent="0.3">
      <c r="A7" s="224" t="s">
        <v>196</v>
      </c>
      <c r="B7" s="225" t="s">
        <v>1384</v>
      </c>
      <c r="C7" s="225">
        <v>5.2999999999999999E-2</v>
      </c>
      <c r="D7" s="263">
        <f>C7*D5</f>
        <v>1.03827</v>
      </c>
      <c r="E7" s="225">
        <v>2.4E-2</v>
      </c>
      <c r="F7" s="263">
        <f>E7*F5</f>
        <v>0.47016000000000002</v>
      </c>
      <c r="G7" s="227">
        <f t="shared" ref="G7:G54" si="0">D7+F7</f>
        <v>1.5084300000000002</v>
      </c>
      <c r="H7" s="228">
        <v>0.1</v>
      </c>
      <c r="I7" s="227">
        <f>H7*PARÂMETROS!$E$22</f>
        <v>4.2370000000000001</v>
      </c>
      <c r="J7" s="228">
        <v>3.0000000000000001E-3</v>
      </c>
      <c r="K7" s="227">
        <f>J7*PARÂMETROS!$E$22</f>
        <v>0.12711</v>
      </c>
      <c r="L7" s="228">
        <v>2E-3</v>
      </c>
      <c r="M7" s="230">
        <f>L7*PARÂMETROS!$E$8</f>
        <v>6.1780000000000002E-2</v>
      </c>
      <c r="N7" s="228">
        <f t="shared" ref="N7:N54" si="1">H7*0.01</f>
        <v>1E-3</v>
      </c>
      <c r="O7" s="230">
        <f>N7*PARÂMETROS!$E$8</f>
        <v>3.0890000000000001E-2</v>
      </c>
      <c r="P7" s="228">
        <f t="shared" ref="P7:P54" si="2">0.1 * J7</f>
        <v>3.0000000000000003E-4</v>
      </c>
      <c r="Q7" s="230">
        <f>P7*PARÂMETROS!$E$8</f>
        <v>9.2670000000000009E-3</v>
      </c>
      <c r="R7" s="228">
        <f t="shared" ref="R7:R54" si="3">0.1 * N7</f>
        <v>1E-4</v>
      </c>
      <c r="S7" s="230">
        <f>R7*PARÂMETROS!$E$8</f>
        <v>3.0890000000000002E-3</v>
      </c>
      <c r="T7" s="231">
        <v>0.3</v>
      </c>
      <c r="U7" s="230">
        <f>T7*PARÂMETROS!$E$27</f>
        <v>0.89999999999999991</v>
      </c>
      <c r="V7" s="299">
        <v>0.129</v>
      </c>
      <c r="W7" s="230">
        <f>V7*PARÂMETROS!$E$28</f>
        <v>18.431519999999999</v>
      </c>
      <c r="X7" s="299">
        <v>2.5999999999999999E-2</v>
      </c>
      <c r="Y7" s="230">
        <f>X7*PARÂMETROS!$E$31</f>
        <v>0.39389999999999997</v>
      </c>
      <c r="Z7" s="228">
        <f t="shared" ref="Z7:Z54" si="4">H7*0.01</f>
        <v>1E-3</v>
      </c>
      <c r="AA7" s="230">
        <f>Z7*PARÂMETROS!$E$8</f>
        <v>3.0890000000000001E-2</v>
      </c>
      <c r="AB7" s="229">
        <f t="shared" ref="AB7:AB54" si="5">J7*0.01</f>
        <v>3.0000000000000001E-5</v>
      </c>
      <c r="AC7" s="230">
        <f>AB7*PARÂMETROS!$E$8</f>
        <v>9.2670000000000003E-4</v>
      </c>
      <c r="AD7" s="23"/>
      <c r="AE7" s="23"/>
      <c r="AF7" s="232" t="s">
        <v>1385</v>
      </c>
      <c r="AG7" s="264">
        <f t="shared" ref="AG7:AG54" si="6">U7+S7+Q7+O7+M7+K7+I7+G7+W7+Y7+AA7+AC7</f>
        <v>25.734802699999999</v>
      </c>
      <c r="AH7" s="23"/>
      <c r="AI7" s="224" t="s">
        <v>196</v>
      </c>
      <c r="AJ7" s="291">
        <f>PARÂMETROS!$H$3</f>
        <v>40</v>
      </c>
      <c r="AK7" s="267">
        <v>2.1527777777777798E-2</v>
      </c>
      <c r="AL7" s="267">
        <v>1.7361111111111101E-2</v>
      </c>
      <c r="AM7" s="267">
        <v>3.4722222222222203E-2</v>
      </c>
      <c r="AN7" s="300"/>
      <c r="AO7" s="267">
        <v>2.0833333333333301E-2</v>
      </c>
      <c r="AP7" s="267">
        <v>6.9444444444444397E-3</v>
      </c>
      <c r="AQ7" s="267">
        <v>3.125E-2</v>
      </c>
      <c r="AR7" s="271">
        <v>4</v>
      </c>
      <c r="AS7" s="292">
        <f t="shared" ref="AS7:AS54" si="7">AP7+AQ7+AO7+AN7+AM7+AL7+AK7</f>
        <v>0.13263888888888886</v>
      </c>
      <c r="AT7" s="291">
        <f t="shared" ref="AT7:AT54" si="8">AJ7*AS7*24</f>
        <v>127.33333333333331</v>
      </c>
      <c r="AU7" s="272">
        <f t="shared" ref="AU7:AU54" si="9">AT7/AR7</f>
        <v>31.833333333333329</v>
      </c>
      <c r="AW7" s="273">
        <f t="shared" ref="AW7:AW54" si="10">AG7</f>
        <v>25.734802699999999</v>
      </c>
      <c r="AX7" s="274">
        <f t="shared" ref="AX7:AX54" si="11">AT7</f>
        <v>127.33333333333331</v>
      </c>
      <c r="AY7" s="275">
        <v>4</v>
      </c>
      <c r="AZ7" s="276">
        <f t="shared" ref="AZ7:AZ54" si="12">IFERROR(AX7/AY7,0)</f>
        <v>31.833333333333329</v>
      </c>
      <c r="BA7" s="293">
        <f t="shared" ref="BA7:BA54" si="13">AZ7+AW7</f>
        <v>57.568136033333332</v>
      </c>
      <c r="BB7" s="275">
        <v>4</v>
      </c>
      <c r="BV7" s="293">
        <v>80</v>
      </c>
      <c r="BW7" s="293">
        <f t="shared" ref="BW7:BW54" si="14">BA7+BV7</f>
        <v>137.56813603333333</v>
      </c>
    </row>
    <row r="8" spans="1:75" ht="27" customHeight="1" x14ac:dyDescent="0.3">
      <c r="A8" s="224" t="s">
        <v>200</v>
      </c>
      <c r="B8" s="225" t="s">
        <v>1384</v>
      </c>
      <c r="C8" s="228">
        <v>0.1</v>
      </c>
      <c r="D8" s="263">
        <f>C8*D5</f>
        <v>1.9590000000000001</v>
      </c>
      <c r="E8" s="228">
        <v>4.4999999999999998E-2</v>
      </c>
      <c r="F8" s="263">
        <f>E8*F5</f>
        <v>0.88154999999999994</v>
      </c>
      <c r="G8" s="227">
        <f t="shared" si="0"/>
        <v>2.8405499999999999</v>
      </c>
      <c r="H8" s="228">
        <v>0.14000000000000001</v>
      </c>
      <c r="I8" s="227">
        <f>H8*PARÂMETROS!$E$22</f>
        <v>5.9318</v>
      </c>
      <c r="J8" s="228">
        <v>6.0000000000000001E-3</v>
      </c>
      <c r="K8" s="227">
        <f>J8*PARÂMETROS!$E$22</f>
        <v>0.25422</v>
      </c>
      <c r="L8" s="228">
        <v>2E-3</v>
      </c>
      <c r="M8" s="230">
        <f>L8*PARÂMETROS!$E$8</f>
        <v>6.1780000000000002E-2</v>
      </c>
      <c r="N8" s="228">
        <f t="shared" si="1"/>
        <v>1.4000000000000002E-3</v>
      </c>
      <c r="O8" s="230">
        <f>N8*PARÂMETROS!$E$8</f>
        <v>4.3246000000000007E-2</v>
      </c>
      <c r="P8" s="228">
        <f t="shared" si="2"/>
        <v>6.0000000000000006E-4</v>
      </c>
      <c r="Q8" s="230">
        <f>P8*PARÂMETROS!$E$8</f>
        <v>1.8534000000000002E-2</v>
      </c>
      <c r="R8" s="228">
        <f t="shared" si="3"/>
        <v>1.4000000000000001E-4</v>
      </c>
      <c r="S8" s="230">
        <f>R8*PARÂMETROS!$E$8</f>
        <v>4.3246000000000005E-3</v>
      </c>
      <c r="T8" s="231">
        <v>0.36</v>
      </c>
      <c r="U8" s="230">
        <f>T8*PARÂMETROS!$E$27</f>
        <v>1.08</v>
      </c>
      <c r="V8" s="299">
        <v>0.255</v>
      </c>
      <c r="W8" s="230">
        <f>V8*PARÂMETROS!$E$28</f>
        <v>36.434399999999997</v>
      </c>
      <c r="X8" s="299">
        <v>5.0999999999999997E-2</v>
      </c>
      <c r="Y8" s="230">
        <f>X8*PARÂMETROS!$E$31</f>
        <v>0.77264999999999995</v>
      </c>
      <c r="Z8" s="228">
        <f t="shared" si="4"/>
        <v>1.4000000000000002E-3</v>
      </c>
      <c r="AA8" s="230">
        <f>Z8*PARÂMETROS!$E$8</f>
        <v>4.3246000000000007E-2</v>
      </c>
      <c r="AB8" s="229">
        <f t="shared" si="5"/>
        <v>6.0000000000000002E-5</v>
      </c>
      <c r="AC8" s="230">
        <f>AB8*PARÂMETROS!$E$8</f>
        <v>1.8534000000000001E-3</v>
      </c>
      <c r="AF8" s="232" t="s">
        <v>1386</v>
      </c>
      <c r="AG8" s="264">
        <f t="shared" si="6"/>
        <v>47.486604</v>
      </c>
      <c r="AH8" s="23"/>
      <c r="AI8" s="224" t="s">
        <v>200</v>
      </c>
      <c r="AJ8" s="291">
        <f>PARÂMETROS!$H$3</f>
        <v>40</v>
      </c>
      <c r="AK8" s="267">
        <v>2.1527777777777798E-2</v>
      </c>
      <c r="AL8" s="267">
        <v>1.7361111111111101E-2</v>
      </c>
      <c r="AM8" s="267">
        <v>3.4722222222222203E-2</v>
      </c>
      <c r="AN8" s="300"/>
      <c r="AO8" s="267">
        <v>2.0833333333333301E-2</v>
      </c>
      <c r="AP8" s="267">
        <v>6.9444444444444397E-3</v>
      </c>
      <c r="AQ8" s="267">
        <v>3.125E-2</v>
      </c>
      <c r="AR8" s="271">
        <v>4</v>
      </c>
      <c r="AS8" s="292">
        <f t="shared" si="7"/>
        <v>0.13263888888888886</v>
      </c>
      <c r="AT8" s="291">
        <f t="shared" si="8"/>
        <v>127.33333333333331</v>
      </c>
      <c r="AU8" s="272">
        <f t="shared" si="9"/>
        <v>31.833333333333329</v>
      </c>
      <c r="AW8" s="273">
        <f t="shared" si="10"/>
        <v>47.486604</v>
      </c>
      <c r="AX8" s="274">
        <f t="shared" si="11"/>
        <v>127.33333333333331</v>
      </c>
      <c r="AY8" s="275">
        <v>4</v>
      </c>
      <c r="AZ8" s="276">
        <f t="shared" si="12"/>
        <v>31.833333333333329</v>
      </c>
      <c r="BA8" s="293">
        <f t="shared" si="13"/>
        <v>79.319937333333328</v>
      </c>
      <c r="BB8" s="275">
        <v>4</v>
      </c>
      <c r="BC8" s="285"/>
      <c r="BV8" s="293">
        <v>80</v>
      </c>
      <c r="BW8" s="293">
        <f t="shared" si="14"/>
        <v>159.31993733333331</v>
      </c>
    </row>
    <row r="9" spans="1:75" ht="27" customHeight="1" x14ac:dyDescent="0.3">
      <c r="A9" s="224" t="s">
        <v>185</v>
      </c>
      <c r="B9" s="225" t="s">
        <v>1384</v>
      </c>
      <c r="C9" s="228">
        <v>0.16800000000000001</v>
      </c>
      <c r="D9" s="263">
        <f>C9*D5</f>
        <v>3.2911200000000003</v>
      </c>
      <c r="E9" s="228">
        <v>7.5999999999999998E-2</v>
      </c>
      <c r="F9" s="263">
        <f>E9*F5</f>
        <v>1.4888399999999999</v>
      </c>
      <c r="G9" s="227">
        <f t="shared" si="0"/>
        <v>4.77996</v>
      </c>
      <c r="H9" s="228">
        <v>0.26</v>
      </c>
      <c r="I9" s="227">
        <f>H9*PARÂMETROS!$E$22</f>
        <v>11.0162</v>
      </c>
      <c r="J9" s="228">
        <v>1.0999999999999999E-2</v>
      </c>
      <c r="K9" s="227">
        <f>J9*PARÂMETROS!$E$22</f>
        <v>0.46606999999999993</v>
      </c>
      <c r="L9" s="228">
        <v>2E-3</v>
      </c>
      <c r="M9" s="230">
        <f>L9*PARÂMETROS!$E$8</f>
        <v>6.1780000000000002E-2</v>
      </c>
      <c r="N9" s="228">
        <f t="shared" si="1"/>
        <v>2.6000000000000003E-3</v>
      </c>
      <c r="O9" s="230">
        <f>N9*PARÂMETROS!$E$8</f>
        <v>8.031400000000001E-2</v>
      </c>
      <c r="P9" s="228">
        <f t="shared" si="2"/>
        <v>1.1000000000000001E-3</v>
      </c>
      <c r="Q9" s="230">
        <f>P9*PARÂMETROS!$E$8</f>
        <v>3.3979000000000002E-2</v>
      </c>
      <c r="R9" s="228">
        <f t="shared" si="3"/>
        <v>2.6000000000000003E-4</v>
      </c>
      <c r="S9" s="230">
        <f>R9*PARÂMETROS!$E$8</f>
        <v>8.031400000000001E-3</v>
      </c>
      <c r="T9" s="231">
        <v>0.41</v>
      </c>
      <c r="U9" s="230">
        <f>T9*PARÂMETROS!$E$27</f>
        <v>1.23</v>
      </c>
      <c r="V9" s="299">
        <v>0.47599999999999998</v>
      </c>
      <c r="W9" s="230">
        <f>V9*PARÂMETROS!$E$28</f>
        <v>68.01088</v>
      </c>
      <c r="X9" s="299">
        <v>9.5000000000000001E-2</v>
      </c>
      <c r="Y9" s="230">
        <f>X9*PARÂMETROS!$E$31</f>
        <v>1.4392500000000001</v>
      </c>
      <c r="Z9" s="228">
        <f t="shared" si="4"/>
        <v>2.6000000000000003E-3</v>
      </c>
      <c r="AA9" s="230">
        <f>Z9*PARÂMETROS!$E$8</f>
        <v>8.031400000000001E-2</v>
      </c>
      <c r="AB9" s="229">
        <f t="shared" si="5"/>
        <v>1.0999999999999999E-4</v>
      </c>
      <c r="AC9" s="230">
        <f>AB9*PARÂMETROS!$E$8</f>
        <v>3.3978999999999997E-3</v>
      </c>
      <c r="AD9" s="23"/>
      <c r="AE9" s="23"/>
      <c r="AF9" s="232" t="s">
        <v>1387</v>
      </c>
      <c r="AG9" s="264">
        <f t="shared" si="6"/>
        <v>87.210176300000001</v>
      </c>
      <c r="AH9" s="23"/>
      <c r="AI9" s="224" t="s">
        <v>185</v>
      </c>
      <c r="AJ9" s="291">
        <f>PARÂMETROS!$H$3</f>
        <v>40</v>
      </c>
      <c r="AK9" s="267">
        <v>2.1527777777777798E-2</v>
      </c>
      <c r="AL9" s="267">
        <v>1.7361111111111101E-2</v>
      </c>
      <c r="AM9" s="267">
        <v>3.4722222222222203E-2</v>
      </c>
      <c r="AN9" s="300"/>
      <c r="AO9" s="267">
        <v>2.0833333333333301E-2</v>
      </c>
      <c r="AP9" s="267">
        <v>6.9444444444444397E-3</v>
      </c>
      <c r="AQ9" s="267">
        <v>3.125E-2</v>
      </c>
      <c r="AR9" s="271">
        <v>4</v>
      </c>
      <c r="AS9" s="292">
        <f t="shared" si="7"/>
        <v>0.13263888888888886</v>
      </c>
      <c r="AT9" s="291">
        <f t="shared" si="8"/>
        <v>127.33333333333331</v>
      </c>
      <c r="AU9" s="272">
        <f t="shared" si="9"/>
        <v>31.833333333333329</v>
      </c>
      <c r="AW9" s="273">
        <f t="shared" si="10"/>
        <v>87.210176300000001</v>
      </c>
      <c r="AX9" s="274">
        <f t="shared" si="11"/>
        <v>127.33333333333331</v>
      </c>
      <c r="AY9" s="275">
        <v>3</v>
      </c>
      <c r="AZ9" s="276">
        <f t="shared" si="12"/>
        <v>42.444444444444436</v>
      </c>
      <c r="BA9" s="293">
        <f t="shared" si="13"/>
        <v>129.65462074444443</v>
      </c>
      <c r="BB9" s="275">
        <v>3</v>
      </c>
      <c r="BC9" s="285"/>
      <c r="BV9" s="293">
        <v>80</v>
      </c>
      <c r="BW9" s="293">
        <f t="shared" si="14"/>
        <v>209.65462074444443</v>
      </c>
    </row>
    <row r="10" spans="1:75" ht="25.5" customHeight="1" x14ac:dyDescent="0.3">
      <c r="A10" s="224" t="s">
        <v>39</v>
      </c>
      <c r="B10" s="225" t="s">
        <v>1384</v>
      </c>
      <c r="C10" s="228">
        <v>0.624</v>
      </c>
      <c r="D10" s="263">
        <f>C10*D5</f>
        <v>12.224159999999999</v>
      </c>
      <c r="E10" s="228">
        <v>0.28100000000000003</v>
      </c>
      <c r="F10" s="263">
        <f>E10*F5</f>
        <v>5.5047900000000007</v>
      </c>
      <c r="G10" s="227">
        <f t="shared" si="0"/>
        <v>17.728950000000001</v>
      </c>
      <c r="H10" s="228">
        <v>0.5</v>
      </c>
      <c r="I10" s="227">
        <f>H10*PARÂMETROS!$E$22</f>
        <v>21.184999999999999</v>
      </c>
      <c r="J10" s="228">
        <v>2.5000000000000001E-2</v>
      </c>
      <c r="K10" s="227">
        <f>J10*PARÂMETROS!$E$22</f>
        <v>1.05925</v>
      </c>
      <c r="L10" s="228">
        <v>2E-3</v>
      </c>
      <c r="M10" s="230">
        <f>L10*PARÂMETROS!$E$8</f>
        <v>6.1780000000000002E-2</v>
      </c>
      <c r="N10" s="228">
        <f t="shared" si="1"/>
        <v>5.0000000000000001E-3</v>
      </c>
      <c r="O10" s="230">
        <f>N10*PARÂMETROS!$E$8</f>
        <v>0.15445</v>
      </c>
      <c r="P10" s="228">
        <f t="shared" si="2"/>
        <v>2.5000000000000005E-3</v>
      </c>
      <c r="Q10" s="230">
        <f>P10*PARÂMETROS!$E$8</f>
        <v>7.7225000000000016E-2</v>
      </c>
      <c r="R10" s="228">
        <f t="shared" si="3"/>
        <v>5.0000000000000001E-4</v>
      </c>
      <c r="S10" s="230">
        <f>R10*PARÂMETROS!$E$8</f>
        <v>1.5445E-2</v>
      </c>
      <c r="T10" s="231">
        <v>0.82</v>
      </c>
      <c r="U10" s="230">
        <f>T10*PARÂMETROS!$E$27</f>
        <v>2.46</v>
      </c>
      <c r="V10" s="299">
        <v>0.78</v>
      </c>
      <c r="W10" s="230">
        <f>V10*PARÂMETROS!$E$29</f>
        <v>139.8852</v>
      </c>
      <c r="X10" s="299">
        <v>0.156</v>
      </c>
      <c r="Y10" s="230">
        <f>X10*PARÂMETROS!$E$31</f>
        <v>2.3633999999999999</v>
      </c>
      <c r="Z10" s="228">
        <f t="shared" si="4"/>
        <v>5.0000000000000001E-3</v>
      </c>
      <c r="AA10" s="230">
        <f>Z10*PARÂMETROS!$E$8</f>
        <v>0.15445</v>
      </c>
      <c r="AB10" s="229">
        <f t="shared" si="5"/>
        <v>2.5000000000000001E-4</v>
      </c>
      <c r="AC10" s="230">
        <f>AB10*PARÂMETROS!$E$8</f>
        <v>7.7225000000000002E-3</v>
      </c>
      <c r="AF10" s="232" t="s">
        <v>1388</v>
      </c>
      <c r="AG10" s="264">
        <f t="shared" si="6"/>
        <v>185.1528725</v>
      </c>
      <c r="AH10" s="23"/>
      <c r="AI10" s="224" t="s">
        <v>39</v>
      </c>
      <c r="AJ10" s="291">
        <f>PARÂMETROS!$H$3</f>
        <v>40</v>
      </c>
      <c r="AK10" s="267">
        <v>2.1527777777777798E-2</v>
      </c>
      <c r="AL10" s="267">
        <v>1.7361111111111101E-2</v>
      </c>
      <c r="AM10" s="267">
        <v>3.4722222222222203E-2</v>
      </c>
      <c r="AN10" s="300"/>
      <c r="AO10" s="267">
        <v>2.0833333333333301E-2</v>
      </c>
      <c r="AP10" s="267">
        <v>6.9444444444444397E-3</v>
      </c>
      <c r="AQ10" s="267">
        <v>3.125E-2</v>
      </c>
      <c r="AR10" s="271">
        <v>4</v>
      </c>
      <c r="AS10" s="292">
        <f t="shared" si="7"/>
        <v>0.13263888888888886</v>
      </c>
      <c r="AT10" s="291">
        <f t="shared" si="8"/>
        <v>127.33333333333331</v>
      </c>
      <c r="AU10" s="272">
        <f t="shared" si="9"/>
        <v>31.833333333333329</v>
      </c>
      <c r="AW10" s="273">
        <f t="shared" si="10"/>
        <v>185.1528725</v>
      </c>
      <c r="AX10" s="274">
        <f t="shared" si="11"/>
        <v>127.33333333333331</v>
      </c>
      <c r="AY10" s="275">
        <v>3</v>
      </c>
      <c r="AZ10" s="276">
        <f t="shared" si="12"/>
        <v>42.444444444444436</v>
      </c>
      <c r="BA10" s="293">
        <f t="shared" si="13"/>
        <v>227.59731694444443</v>
      </c>
      <c r="BB10" s="275">
        <v>3</v>
      </c>
      <c r="BV10" s="293">
        <v>80</v>
      </c>
      <c r="BW10" s="293">
        <f t="shared" si="14"/>
        <v>307.5973169444444</v>
      </c>
    </row>
    <row r="11" spans="1:75" ht="27" customHeight="1" x14ac:dyDescent="0.3">
      <c r="A11" s="224" t="s">
        <v>300</v>
      </c>
      <c r="B11" s="225" t="s">
        <v>1384</v>
      </c>
      <c r="C11" s="228">
        <v>0.94799999999999995</v>
      </c>
      <c r="D11" s="263">
        <f>C11*D5</f>
        <v>18.57132</v>
      </c>
      <c r="E11" s="228">
        <v>0.42699999999999999</v>
      </c>
      <c r="F11" s="263">
        <f>E11*F5</f>
        <v>8.3649299999999993</v>
      </c>
      <c r="G11" s="227">
        <f t="shared" si="0"/>
        <v>26.936250000000001</v>
      </c>
      <c r="H11" s="228">
        <v>0.65</v>
      </c>
      <c r="I11" s="227">
        <f>H11*PARÂMETROS!$E$22</f>
        <v>27.540499999999998</v>
      </c>
      <c r="J11" s="228">
        <v>3.2000000000000001E-2</v>
      </c>
      <c r="K11" s="227">
        <f>J11*PARÂMETROS!$E$22</f>
        <v>1.3558399999999999</v>
      </c>
      <c r="L11" s="228">
        <v>2E-3</v>
      </c>
      <c r="M11" s="230">
        <f>L11*PARÂMETROS!$E$8</f>
        <v>6.1780000000000002E-2</v>
      </c>
      <c r="N11" s="228">
        <f t="shared" si="1"/>
        <v>6.5000000000000006E-3</v>
      </c>
      <c r="O11" s="230">
        <f>N11*PARÂMETROS!$E$8</f>
        <v>0.20078500000000002</v>
      </c>
      <c r="P11" s="228">
        <f t="shared" si="2"/>
        <v>3.2000000000000002E-3</v>
      </c>
      <c r="Q11" s="230">
        <f>P11*PARÂMETROS!$E$8</f>
        <v>9.8848000000000005E-2</v>
      </c>
      <c r="R11" s="228">
        <f t="shared" si="3"/>
        <v>6.5000000000000008E-4</v>
      </c>
      <c r="S11" s="230">
        <f>R11*PARÂMETROS!$E$8</f>
        <v>2.0078500000000003E-2</v>
      </c>
      <c r="T11" s="231">
        <v>0.86</v>
      </c>
      <c r="U11" s="230">
        <f>T11*PARÂMETROS!$E$27</f>
        <v>2.58</v>
      </c>
      <c r="V11" s="299">
        <v>1.24</v>
      </c>
      <c r="W11" s="230">
        <f>V11*PARÂMETROS!$E$29</f>
        <v>222.38159999999999</v>
      </c>
      <c r="X11" s="299">
        <v>0.248</v>
      </c>
      <c r="Y11" s="230">
        <f>X11*PARÂMETROS!$E$31</f>
        <v>3.7572000000000001</v>
      </c>
      <c r="Z11" s="228">
        <f t="shared" si="4"/>
        <v>6.5000000000000006E-3</v>
      </c>
      <c r="AA11" s="230">
        <f>Z11*PARÂMETROS!$E$8</f>
        <v>0.20078500000000002</v>
      </c>
      <c r="AB11" s="229">
        <f t="shared" si="5"/>
        <v>3.2000000000000003E-4</v>
      </c>
      <c r="AC11" s="230">
        <f>AB11*PARÂMETROS!$E$8</f>
        <v>9.8848000000000009E-3</v>
      </c>
      <c r="AD11" s="23"/>
      <c r="AE11" s="23"/>
      <c r="AF11" s="232" t="s">
        <v>1389</v>
      </c>
      <c r="AG11" s="264">
        <f t="shared" si="6"/>
        <v>285.14355130000001</v>
      </c>
      <c r="AH11" s="23"/>
      <c r="AI11" s="224" t="s">
        <v>300</v>
      </c>
      <c r="AJ11" s="291">
        <f>PARÂMETROS!$H$3</f>
        <v>40</v>
      </c>
      <c r="AK11" s="267">
        <v>2.1527777777777798E-2</v>
      </c>
      <c r="AL11" s="267">
        <v>1.7361111111111101E-2</v>
      </c>
      <c r="AM11" s="267">
        <v>1.7361111111111101E-2</v>
      </c>
      <c r="AN11" s="300"/>
      <c r="AO11" s="267">
        <v>2.0833333333333301E-2</v>
      </c>
      <c r="AP11" s="267">
        <v>6.9444444444444397E-3</v>
      </c>
      <c r="AQ11" s="267">
        <v>3.125E-2</v>
      </c>
      <c r="AR11" s="271">
        <v>2</v>
      </c>
      <c r="AS11" s="292">
        <f t="shared" si="7"/>
        <v>0.11527777777777774</v>
      </c>
      <c r="AT11" s="291">
        <f t="shared" si="8"/>
        <v>110.66666666666663</v>
      </c>
      <c r="AU11" s="272">
        <f t="shared" si="9"/>
        <v>55.333333333333314</v>
      </c>
      <c r="AW11" s="273">
        <f t="shared" si="10"/>
        <v>285.14355130000001</v>
      </c>
      <c r="AX11" s="274">
        <f t="shared" si="11"/>
        <v>110.66666666666663</v>
      </c>
      <c r="AY11" s="275">
        <v>3</v>
      </c>
      <c r="AZ11" s="276">
        <f t="shared" si="12"/>
        <v>36.888888888888879</v>
      </c>
      <c r="BA11" s="293">
        <f t="shared" si="13"/>
        <v>322.03244018888887</v>
      </c>
      <c r="BB11" s="275">
        <v>3</v>
      </c>
      <c r="BV11" s="293">
        <v>80</v>
      </c>
      <c r="BW11" s="293">
        <f t="shared" si="14"/>
        <v>402.03244018888887</v>
      </c>
    </row>
    <row r="12" spans="1:75" ht="27" customHeight="1" x14ac:dyDescent="0.3">
      <c r="A12" s="224" t="s">
        <v>41</v>
      </c>
      <c r="B12" s="225" t="s">
        <v>1384</v>
      </c>
      <c r="C12" s="228">
        <v>1.3089999999999999</v>
      </c>
      <c r="D12" s="263">
        <f>C12*D5</f>
        <v>25.64331</v>
      </c>
      <c r="E12" s="228">
        <v>0.58899999999999997</v>
      </c>
      <c r="F12" s="263">
        <f>E12*F5</f>
        <v>11.538509999999999</v>
      </c>
      <c r="G12" s="227">
        <f t="shared" si="0"/>
        <v>37.181820000000002</v>
      </c>
      <c r="H12" s="228">
        <v>0.8</v>
      </c>
      <c r="I12" s="227">
        <f>H12*PARÂMETROS!$E$22</f>
        <v>33.896000000000001</v>
      </c>
      <c r="J12" s="228">
        <v>4.2000000000000003E-2</v>
      </c>
      <c r="K12" s="227">
        <f>J12*PARÂMETROS!$E$22</f>
        <v>1.7795399999999999</v>
      </c>
      <c r="L12" s="228">
        <v>2E-3</v>
      </c>
      <c r="M12" s="230">
        <f>L12*PARÂMETROS!$E$8</f>
        <v>6.1780000000000002E-2</v>
      </c>
      <c r="N12" s="228">
        <f t="shared" si="1"/>
        <v>8.0000000000000002E-3</v>
      </c>
      <c r="O12" s="230">
        <f>N12*PARÂMETROS!$E$8</f>
        <v>0.24712000000000001</v>
      </c>
      <c r="P12" s="228">
        <f t="shared" si="2"/>
        <v>4.2000000000000006E-3</v>
      </c>
      <c r="Q12" s="230">
        <f>P12*PARÂMETROS!$E$8</f>
        <v>0.12973800000000002</v>
      </c>
      <c r="R12" s="228">
        <f t="shared" si="3"/>
        <v>8.0000000000000004E-4</v>
      </c>
      <c r="S12" s="230">
        <f>R12*PARÂMETROS!$E$8</f>
        <v>2.4712000000000001E-2</v>
      </c>
      <c r="T12" s="231">
        <v>0.92</v>
      </c>
      <c r="U12" s="230">
        <f>T12*PARÂMETROS!$E$27</f>
        <v>2.7600000000000002</v>
      </c>
      <c r="V12" s="299">
        <v>1.35</v>
      </c>
      <c r="W12" s="230">
        <f>V12*PARÂMETROS!$E$29</f>
        <v>242.10900000000001</v>
      </c>
      <c r="X12" s="299">
        <v>0.27</v>
      </c>
      <c r="Y12" s="230">
        <f>X12*PARÂMETROS!$E$31</f>
        <v>4.0905000000000005</v>
      </c>
      <c r="Z12" s="228">
        <f t="shared" si="4"/>
        <v>8.0000000000000002E-3</v>
      </c>
      <c r="AA12" s="230">
        <f>Z12*PARÂMETROS!$E$8</f>
        <v>0.24712000000000001</v>
      </c>
      <c r="AB12" s="229">
        <f t="shared" si="5"/>
        <v>4.2000000000000002E-4</v>
      </c>
      <c r="AC12" s="230">
        <f>AB12*PARÂMETROS!$E$8</f>
        <v>1.2973800000000001E-2</v>
      </c>
      <c r="AF12" s="232" t="s">
        <v>1390</v>
      </c>
      <c r="AG12" s="264">
        <f t="shared" si="6"/>
        <v>322.5403038</v>
      </c>
      <c r="AH12" s="23"/>
      <c r="AI12" s="224" t="s">
        <v>41</v>
      </c>
      <c r="AJ12" s="291">
        <f>PARÂMETROS!$H$3</f>
        <v>40</v>
      </c>
      <c r="AK12" s="267">
        <v>2.1527777777777798E-2</v>
      </c>
      <c r="AL12" s="267">
        <v>1.7361111111111101E-2</v>
      </c>
      <c r="AM12" s="267">
        <v>1.7361111111111101E-2</v>
      </c>
      <c r="AN12" s="300"/>
      <c r="AO12" s="267">
        <v>2.0833333333333301E-2</v>
      </c>
      <c r="AP12" s="267">
        <v>6.9444444444444397E-3</v>
      </c>
      <c r="AQ12" s="267">
        <v>3.125E-2</v>
      </c>
      <c r="AR12" s="271">
        <v>2</v>
      </c>
      <c r="AS12" s="292">
        <f t="shared" si="7"/>
        <v>0.11527777777777774</v>
      </c>
      <c r="AT12" s="291">
        <f t="shared" si="8"/>
        <v>110.66666666666663</v>
      </c>
      <c r="AU12" s="272">
        <f t="shared" si="9"/>
        <v>55.333333333333314</v>
      </c>
      <c r="AW12" s="273">
        <f t="shared" si="10"/>
        <v>322.5403038</v>
      </c>
      <c r="AX12" s="274">
        <f t="shared" si="11"/>
        <v>110.66666666666663</v>
      </c>
      <c r="AY12" s="275">
        <v>2</v>
      </c>
      <c r="AZ12" s="276">
        <f t="shared" si="12"/>
        <v>55.333333333333314</v>
      </c>
      <c r="BA12" s="293">
        <f t="shared" si="13"/>
        <v>377.87363713333332</v>
      </c>
      <c r="BB12" s="275">
        <v>2</v>
      </c>
      <c r="BV12" s="293">
        <v>80</v>
      </c>
      <c r="BW12" s="293">
        <f t="shared" si="14"/>
        <v>457.87363713333332</v>
      </c>
    </row>
    <row r="13" spans="1:75" ht="27" customHeight="1" x14ac:dyDescent="0.3">
      <c r="A13" s="224" t="s">
        <v>43</v>
      </c>
      <c r="B13" s="225" t="s">
        <v>1384</v>
      </c>
      <c r="C13" s="228">
        <v>2.774</v>
      </c>
      <c r="D13" s="263">
        <f>C13*D5</f>
        <v>54.342660000000002</v>
      </c>
      <c r="E13" s="228">
        <v>1.248</v>
      </c>
      <c r="F13" s="263">
        <f>E13*F5</f>
        <v>24.448319999999999</v>
      </c>
      <c r="G13" s="227">
        <f t="shared" si="0"/>
        <v>78.790980000000005</v>
      </c>
      <c r="H13" s="228">
        <v>1</v>
      </c>
      <c r="I13" s="227">
        <f>H13*PARÂMETROS!$E$22</f>
        <v>42.37</v>
      </c>
      <c r="J13" s="228">
        <v>6.5000000000000002E-2</v>
      </c>
      <c r="K13" s="227">
        <f>J13*PARÂMETROS!$E$22</f>
        <v>2.7540499999999999</v>
      </c>
      <c r="L13" s="228">
        <v>2E-3</v>
      </c>
      <c r="M13" s="230">
        <f>L13*PARÂMETROS!$E$8</f>
        <v>6.1780000000000002E-2</v>
      </c>
      <c r="N13" s="228">
        <f t="shared" si="1"/>
        <v>0.01</v>
      </c>
      <c r="O13" s="230">
        <f>N13*PARÂMETROS!$E$8</f>
        <v>0.30890000000000001</v>
      </c>
      <c r="P13" s="228">
        <f t="shared" si="2"/>
        <v>6.5000000000000006E-3</v>
      </c>
      <c r="Q13" s="230">
        <f>P13*PARÂMETROS!$E$8</f>
        <v>0.20078500000000002</v>
      </c>
      <c r="R13" s="228">
        <f t="shared" si="3"/>
        <v>1E-3</v>
      </c>
      <c r="S13" s="230">
        <f>R13*PARÂMETROS!$E$8</f>
        <v>3.0890000000000001E-2</v>
      </c>
      <c r="T13" s="231">
        <v>1.02</v>
      </c>
      <c r="U13" s="230">
        <f>T13*PARÂMETROS!$E$27</f>
        <v>3.06</v>
      </c>
      <c r="V13" s="299">
        <v>1.7250000000000001</v>
      </c>
      <c r="W13" s="230">
        <f>V13*PARÂMETROS!$E$29</f>
        <v>309.36150000000004</v>
      </c>
      <c r="X13" s="299">
        <v>0.34499999999999997</v>
      </c>
      <c r="Y13" s="230">
        <f>X13*PARÂMETROS!$E$31</f>
        <v>5.22675</v>
      </c>
      <c r="Z13" s="228">
        <f t="shared" si="4"/>
        <v>0.01</v>
      </c>
      <c r="AA13" s="230">
        <f>Z13*PARÂMETROS!$E$8</f>
        <v>0.30890000000000001</v>
      </c>
      <c r="AB13" s="228">
        <f t="shared" si="5"/>
        <v>6.5000000000000008E-4</v>
      </c>
      <c r="AC13" s="230">
        <f>AB13*PARÂMETROS!$E$8</f>
        <v>2.0078500000000003E-2</v>
      </c>
      <c r="AD13" s="23"/>
      <c r="AE13" s="23"/>
      <c r="AF13" s="232" t="s">
        <v>1391</v>
      </c>
      <c r="AG13" s="264">
        <f t="shared" si="6"/>
        <v>442.49461350000001</v>
      </c>
      <c r="AH13" s="23"/>
      <c r="AI13" s="224" t="s">
        <v>43</v>
      </c>
      <c r="AJ13" s="291">
        <f>PARÂMETROS!$H$3</f>
        <v>40</v>
      </c>
      <c r="AK13" s="267">
        <v>2.1527777777777798E-2</v>
      </c>
      <c r="AL13" s="267">
        <v>1.7361111111111101E-2</v>
      </c>
      <c r="AM13" s="267">
        <v>1.7361111111111101E-2</v>
      </c>
      <c r="AN13" s="267">
        <v>6.9444444444444397E-3</v>
      </c>
      <c r="AO13" s="267">
        <v>2.0833333333333301E-2</v>
      </c>
      <c r="AP13" s="267">
        <v>6.9444444444444397E-3</v>
      </c>
      <c r="AQ13" s="267">
        <v>3.125E-2</v>
      </c>
      <c r="AR13" s="271">
        <v>2</v>
      </c>
      <c r="AS13" s="292">
        <f t="shared" si="7"/>
        <v>0.12222222222222219</v>
      </c>
      <c r="AT13" s="291">
        <f t="shared" si="8"/>
        <v>117.3333333333333</v>
      </c>
      <c r="AU13" s="272">
        <f t="shared" si="9"/>
        <v>58.66666666666665</v>
      </c>
      <c r="AW13" s="273">
        <f t="shared" si="10"/>
        <v>442.49461350000001</v>
      </c>
      <c r="AX13" s="274">
        <f t="shared" si="11"/>
        <v>117.3333333333333</v>
      </c>
      <c r="AY13" s="275">
        <v>2</v>
      </c>
      <c r="AZ13" s="276">
        <f t="shared" si="12"/>
        <v>58.66666666666665</v>
      </c>
      <c r="BA13" s="293">
        <f t="shared" si="13"/>
        <v>501.16128016666664</v>
      </c>
      <c r="BB13" s="275">
        <v>2</v>
      </c>
      <c r="BV13" s="293">
        <v>80</v>
      </c>
      <c r="BW13" s="293">
        <f t="shared" si="14"/>
        <v>581.16128016666664</v>
      </c>
    </row>
    <row r="14" spans="1:75" ht="27" customHeight="1" x14ac:dyDescent="0.3">
      <c r="A14" s="224" t="s">
        <v>45</v>
      </c>
      <c r="B14" s="225" t="s">
        <v>1384</v>
      </c>
      <c r="C14" s="228">
        <v>4.58</v>
      </c>
      <c r="D14" s="263">
        <f>C14*D5</f>
        <v>89.722200000000001</v>
      </c>
      <c r="E14" s="228">
        <v>2.0609999999999999</v>
      </c>
      <c r="F14" s="263">
        <f>E14*F5</f>
        <v>40.374989999999997</v>
      </c>
      <c r="G14" s="227">
        <f t="shared" si="0"/>
        <v>130.09719000000001</v>
      </c>
      <c r="H14" s="228">
        <v>1.4</v>
      </c>
      <c r="I14" s="227">
        <f>H14*PARÂMETROS!$E$22</f>
        <v>59.317999999999991</v>
      </c>
      <c r="J14" s="228">
        <v>9.1999999999999998E-2</v>
      </c>
      <c r="K14" s="227">
        <f>J14*PARÂMETROS!$E$22</f>
        <v>3.8980399999999995</v>
      </c>
      <c r="L14" s="228">
        <v>2E-3</v>
      </c>
      <c r="M14" s="230">
        <f>L14*PARÂMETROS!$E$8</f>
        <v>6.1780000000000002E-2</v>
      </c>
      <c r="N14" s="228">
        <f t="shared" si="1"/>
        <v>1.3999999999999999E-2</v>
      </c>
      <c r="O14" s="230">
        <f>N14*PARÂMETROS!$E$8</f>
        <v>0.43245999999999996</v>
      </c>
      <c r="P14" s="228">
        <f t="shared" si="2"/>
        <v>9.1999999999999998E-3</v>
      </c>
      <c r="Q14" s="230">
        <f>P14*PARÂMETROS!$E$8</f>
        <v>0.284188</v>
      </c>
      <c r="R14" s="228">
        <f t="shared" si="3"/>
        <v>1.4E-3</v>
      </c>
      <c r="S14" s="230">
        <f>R14*PARÂMETROS!$E$8</f>
        <v>4.3246E-2</v>
      </c>
      <c r="T14" s="231">
        <v>1.1200000000000001</v>
      </c>
      <c r="U14" s="230">
        <f>T14*PARÂMETROS!$E$27</f>
        <v>3.3600000000000003</v>
      </c>
      <c r="V14" s="299">
        <v>2.3250000000000002</v>
      </c>
      <c r="W14" s="230">
        <f>V14*PARÂMETROS!$E$29</f>
        <v>416.96550000000002</v>
      </c>
      <c r="X14" s="299">
        <v>0.46500000000000002</v>
      </c>
      <c r="Y14" s="230">
        <f>X14*PARÂMETROS!$E$31</f>
        <v>7.0447500000000005</v>
      </c>
      <c r="Z14" s="228">
        <f t="shared" si="4"/>
        <v>1.3999999999999999E-2</v>
      </c>
      <c r="AA14" s="230">
        <f>Z14*PARÂMETROS!$E$8</f>
        <v>0.43245999999999996</v>
      </c>
      <c r="AB14" s="228">
        <f t="shared" si="5"/>
        <v>9.2000000000000003E-4</v>
      </c>
      <c r="AC14" s="230">
        <f>AB14*PARÂMETROS!$E$8</f>
        <v>2.8418800000000001E-2</v>
      </c>
      <c r="AF14" s="232" t="s">
        <v>1392</v>
      </c>
      <c r="AG14" s="264">
        <f t="shared" si="6"/>
        <v>621.96603280000011</v>
      </c>
      <c r="AH14" s="23"/>
      <c r="AI14" s="224" t="s">
        <v>45</v>
      </c>
      <c r="AJ14" s="291">
        <f>PARÂMETROS!$H$3</f>
        <v>40</v>
      </c>
      <c r="AK14" s="267">
        <v>2.1527777777777798E-2</v>
      </c>
      <c r="AL14" s="267">
        <v>1.7361111111111101E-2</v>
      </c>
      <c r="AM14" s="267">
        <v>1.7361111111111101E-2</v>
      </c>
      <c r="AN14" s="267">
        <v>6.9444444444444397E-3</v>
      </c>
      <c r="AO14" s="267">
        <v>2.0833333333333301E-2</v>
      </c>
      <c r="AP14" s="267">
        <v>6.9444444444444397E-3</v>
      </c>
      <c r="AQ14" s="267">
        <v>3.125E-2</v>
      </c>
      <c r="AR14" s="271">
        <v>2</v>
      </c>
      <c r="AS14" s="292">
        <f t="shared" si="7"/>
        <v>0.12222222222222219</v>
      </c>
      <c r="AT14" s="291">
        <f t="shared" si="8"/>
        <v>117.3333333333333</v>
      </c>
      <c r="AU14" s="272">
        <f t="shared" si="9"/>
        <v>58.66666666666665</v>
      </c>
      <c r="AW14" s="273">
        <f t="shared" si="10"/>
        <v>621.96603280000011</v>
      </c>
      <c r="AX14" s="274">
        <f t="shared" si="11"/>
        <v>117.3333333333333</v>
      </c>
      <c r="AY14" s="275">
        <v>2</v>
      </c>
      <c r="AZ14" s="276">
        <f t="shared" si="12"/>
        <v>58.66666666666665</v>
      </c>
      <c r="BA14" s="293">
        <f t="shared" si="13"/>
        <v>680.63269946666674</v>
      </c>
      <c r="BB14" s="275">
        <v>2</v>
      </c>
      <c r="BV14" s="293">
        <v>80</v>
      </c>
      <c r="BW14" s="293">
        <f t="shared" si="14"/>
        <v>760.63269946666674</v>
      </c>
    </row>
    <row r="15" spans="1:75" ht="27" customHeight="1" x14ac:dyDescent="0.3">
      <c r="A15" s="224" t="s">
        <v>47</v>
      </c>
      <c r="B15" s="225" t="s">
        <v>1384</v>
      </c>
      <c r="C15" s="228">
        <v>6.7759999999999998</v>
      </c>
      <c r="D15" s="263">
        <f>C15*D5</f>
        <v>132.74184</v>
      </c>
      <c r="E15" s="228">
        <v>3.0489999999999999</v>
      </c>
      <c r="F15" s="263">
        <f>E15*F5</f>
        <v>59.729909999999997</v>
      </c>
      <c r="G15" s="227">
        <f t="shared" si="0"/>
        <v>192.47174999999999</v>
      </c>
      <c r="H15" s="228">
        <v>1.8</v>
      </c>
      <c r="I15" s="227">
        <f>H15*PARÂMETROS!$E$22</f>
        <v>76.265999999999991</v>
      </c>
      <c r="J15" s="228">
        <v>0.124</v>
      </c>
      <c r="K15" s="227">
        <f>J15*PARÂMETROS!$E$22</f>
        <v>5.2538799999999997</v>
      </c>
      <c r="L15" s="228">
        <v>2E-3</v>
      </c>
      <c r="M15" s="230">
        <f>L15*PARÂMETROS!$E$8</f>
        <v>6.1780000000000002E-2</v>
      </c>
      <c r="N15" s="228">
        <f t="shared" si="1"/>
        <v>1.8000000000000002E-2</v>
      </c>
      <c r="O15" s="230">
        <f>N15*PARÂMETROS!$E$8</f>
        <v>0.55602000000000007</v>
      </c>
      <c r="P15" s="228">
        <f t="shared" si="2"/>
        <v>1.2400000000000001E-2</v>
      </c>
      <c r="Q15" s="230">
        <f>P15*PARÂMETROS!$E$8</f>
        <v>0.38303600000000004</v>
      </c>
      <c r="R15" s="228">
        <f t="shared" si="3"/>
        <v>1.8000000000000004E-3</v>
      </c>
      <c r="S15" s="230">
        <f>R15*PARÂMETROS!$E$8</f>
        <v>5.5602000000000013E-2</v>
      </c>
      <c r="T15" s="231">
        <v>1.22</v>
      </c>
      <c r="U15" s="230">
        <f>T15*PARÂMETROS!$E$27</f>
        <v>3.66</v>
      </c>
      <c r="V15" s="299">
        <v>3.03</v>
      </c>
      <c r="W15" s="230">
        <f>V15*PARÂMETROS!$E$29</f>
        <v>543.40019999999993</v>
      </c>
      <c r="X15" s="299">
        <v>0.60599999999999998</v>
      </c>
      <c r="Y15" s="230">
        <f>X15*PARÂMETROS!$E$31</f>
        <v>9.1808999999999994</v>
      </c>
      <c r="Z15" s="228">
        <f t="shared" si="4"/>
        <v>1.8000000000000002E-2</v>
      </c>
      <c r="AA15" s="230">
        <f>Z15*PARÂMETROS!$E$8</f>
        <v>0.55602000000000007</v>
      </c>
      <c r="AB15" s="228">
        <f t="shared" si="5"/>
        <v>1.24E-3</v>
      </c>
      <c r="AC15" s="230">
        <f>AB15*PARÂMETROS!$E$8</f>
        <v>3.83036E-2</v>
      </c>
      <c r="AD15" s="23"/>
      <c r="AE15" s="23"/>
      <c r="AF15" s="232" t="s">
        <v>1393</v>
      </c>
      <c r="AG15" s="264">
        <f t="shared" si="6"/>
        <v>831.88349159999984</v>
      </c>
      <c r="AH15" s="23"/>
      <c r="AI15" s="224" t="s">
        <v>47</v>
      </c>
      <c r="AJ15" s="291">
        <f>PARÂMETROS!$H$3</f>
        <v>40</v>
      </c>
      <c r="AK15" s="267">
        <v>2.1527777777777798E-2</v>
      </c>
      <c r="AL15" s="267">
        <v>2.7777777777777801E-2</v>
      </c>
      <c r="AM15" s="267">
        <v>2.7777777777777801E-2</v>
      </c>
      <c r="AN15" s="267">
        <v>6.9444444444444397E-3</v>
      </c>
      <c r="AO15" s="267">
        <v>2.0833333333333301E-2</v>
      </c>
      <c r="AP15" s="267">
        <v>6.9444444444444397E-3</v>
      </c>
      <c r="AQ15" s="267">
        <v>3.125E-2</v>
      </c>
      <c r="AR15" s="271">
        <v>1</v>
      </c>
      <c r="AS15" s="292">
        <f t="shared" si="7"/>
        <v>0.1430555555555556</v>
      </c>
      <c r="AT15" s="291">
        <f t="shared" si="8"/>
        <v>137.33333333333337</v>
      </c>
      <c r="AU15" s="272">
        <f t="shared" si="9"/>
        <v>137.33333333333337</v>
      </c>
      <c r="AW15" s="273">
        <f t="shared" si="10"/>
        <v>831.88349159999984</v>
      </c>
      <c r="AX15" s="274">
        <f t="shared" si="11"/>
        <v>137.33333333333337</v>
      </c>
      <c r="AY15" s="275">
        <v>1</v>
      </c>
      <c r="AZ15" s="276">
        <f t="shared" si="12"/>
        <v>137.33333333333337</v>
      </c>
      <c r="BA15" s="293">
        <f t="shared" si="13"/>
        <v>969.21682493333321</v>
      </c>
      <c r="BB15" s="275">
        <v>1</v>
      </c>
      <c r="BV15" s="293">
        <v>80</v>
      </c>
      <c r="BW15" s="293">
        <f t="shared" si="14"/>
        <v>1049.2168249333331</v>
      </c>
    </row>
    <row r="16" spans="1:75" ht="27" customHeight="1" x14ac:dyDescent="0.3">
      <c r="A16" s="224" t="s">
        <v>222</v>
      </c>
      <c r="B16" s="225" t="s">
        <v>1384</v>
      </c>
      <c r="C16" s="228">
        <v>9</v>
      </c>
      <c r="D16" s="263">
        <f>C16*D5</f>
        <v>176.31</v>
      </c>
      <c r="E16" s="228">
        <v>4.05</v>
      </c>
      <c r="F16" s="263">
        <f>E16*F5</f>
        <v>79.339500000000001</v>
      </c>
      <c r="G16" s="227">
        <f t="shared" si="0"/>
        <v>255.64949999999999</v>
      </c>
      <c r="H16" s="228">
        <v>2.5</v>
      </c>
      <c r="I16" s="227">
        <f>H16*PARÂMETROS!$E$22</f>
        <v>105.925</v>
      </c>
      <c r="J16" s="228">
        <v>0.161</v>
      </c>
      <c r="K16" s="227">
        <f>J16*PARÂMETROS!$E$22</f>
        <v>6.8215699999999995</v>
      </c>
      <c r="L16" s="228">
        <v>2E-3</v>
      </c>
      <c r="M16" s="230">
        <f>L16*PARÂMETROS!$E$8</f>
        <v>6.1780000000000002E-2</v>
      </c>
      <c r="N16" s="228">
        <f t="shared" si="1"/>
        <v>2.5000000000000001E-2</v>
      </c>
      <c r="O16" s="230">
        <f>N16*PARÂMETROS!$E$8</f>
        <v>0.7722500000000001</v>
      </c>
      <c r="P16" s="228">
        <f t="shared" si="2"/>
        <v>1.61E-2</v>
      </c>
      <c r="Q16" s="230">
        <f>P16*PARÂMETROS!$E$8</f>
        <v>0.49732900000000002</v>
      </c>
      <c r="R16" s="228">
        <f t="shared" si="3"/>
        <v>2.5000000000000005E-3</v>
      </c>
      <c r="S16" s="230">
        <f>R16*PARÂMETROS!$E$8</f>
        <v>7.7225000000000016E-2</v>
      </c>
      <c r="T16" s="231">
        <v>1.31</v>
      </c>
      <c r="U16" s="230">
        <f>T16*PARÂMETROS!$E$27</f>
        <v>3.93</v>
      </c>
      <c r="V16" s="299">
        <v>3.21</v>
      </c>
      <c r="W16" s="230">
        <f>V16*PARÂMETROS!$E$29</f>
        <v>575.68140000000005</v>
      </c>
      <c r="X16" s="299">
        <v>0.64200000000000002</v>
      </c>
      <c r="Y16" s="230">
        <f>X16*PARÂMETROS!$E$31</f>
        <v>9.7263000000000002</v>
      </c>
      <c r="Z16" s="228">
        <f t="shared" si="4"/>
        <v>2.5000000000000001E-2</v>
      </c>
      <c r="AA16" s="230">
        <f>Z16*PARÂMETROS!$E$8</f>
        <v>0.7722500000000001</v>
      </c>
      <c r="AB16" s="228">
        <f t="shared" si="5"/>
        <v>1.6100000000000001E-3</v>
      </c>
      <c r="AC16" s="230">
        <f>AB16*PARÂMETROS!$E$8</f>
        <v>4.9732900000000003E-2</v>
      </c>
      <c r="AF16" s="232" t="s">
        <v>1394</v>
      </c>
      <c r="AG16" s="264">
        <f t="shared" si="6"/>
        <v>959.96433690000003</v>
      </c>
      <c r="AH16" s="23"/>
      <c r="AI16" s="224" t="s">
        <v>222</v>
      </c>
      <c r="AJ16" s="291">
        <f>PARÂMETROS!$H$3</f>
        <v>40</v>
      </c>
      <c r="AK16" s="267">
        <v>2.1527777777777798E-2</v>
      </c>
      <c r="AL16" s="267">
        <v>2.7777777777777801E-2</v>
      </c>
      <c r="AM16" s="267">
        <v>2.7777777777777801E-2</v>
      </c>
      <c r="AN16" s="267">
        <v>6.9444444444444397E-3</v>
      </c>
      <c r="AO16" s="267">
        <v>2.0833333333333301E-2</v>
      </c>
      <c r="AP16" s="267">
        <v>6.9444444444444397E-3</v>
      </c>
      <c r="AQ16" s="267">
        <v>3.125E-2</v>
      </c>
      <c r="AR16" s="271">
        <v>1</v>
      </c>
      <c r="AS16" s="292">
        <f t="shared" si="7"/>
        <v>0.1430555555555556</v>
      </c>
      <c r="AT16" s="291">
        <f t="shared" si="8"/>
        <v>137.33333333333337</v>
      </c>
      <c r="AU16" s="272">
        <f t="shared" si="9"/>
        <v>137.33333333333337</v>
      </c>
      <c r="AW16" s="273">
        <f t="shared" si="10"/>
        <v>959.96433690000003</v>
      </c>
      <c r="AX16" s="274">
        <f t="shared" si="11"/>
        <v>137.33333333333337</v>
      </c>
      <c r="AY16" s="275">
        <v>1</v>
      </c>
      <c r="AZ16" s="276">
        <f t="shared" si="12"/>
        <v>137.33333333333337</v>
      </c>
      <c r="BA16" s="293">
        <f t="shared" si="13"/>
        <v>1097.2976702333335</v>
      </c>
      <c r="BB16" s="275">
        <v>1</v>
      </c>
      <c r="BV16" s="293">
        <v>80</v>
      </c>
      <c r="BW16" s="293">
        <f t="shared" si="14"/>
        <v>1177.2976702333335</v>
      </c>
    </row>
    <row r="17" spans="1:75" ht="27" customHeight="1" x14ac:dyDescent="0.3">
      <c r="A17" s="224" t="s">
        <v>226</v>
      </c>
      <c r="B17" s="225" t="s">
        <v>1384</v>
      </c>
      <c r="C17" s="228">
        <v>15.164</v>
      </c>
      <c r="D17" s="263">
        <f>C17*D5</f>
        <v>297.06275999999997</v>
      </c>
      <c r="E17" s="228">
        <v>6.8239999999999998</v>
      </c>
      <c r="F17" s="263">
        <f>E17*F5</f>
        <v>133.68215999999998</v>
      </c>
      <c r="G17" s="227">
        <f t="shared" si="0"/>
        <v>430.74491999999998</v>
      </c>
      <c r="H17" s="228">
        <v>3</v>
      </c>
      <c r="I17" s="227">
        <f>H17*PARÂMETROS!$E$22</f>
        <v>127.10999999999999</v>
      </c>
      <c r="J17" s="228">
        <v>0.19400000000000001</v>
      </c>
      <c r="K17" s="227">
        <f>J17*PARÂMETROS!$E$22</f>
        <v>8.2197800000000001</v>
      </c>
      <c r="L17" s="228">
        <v>2E-3</v>
      </c>
      <c r="M17" s="230">
        <f>L17*PARÂMETROS!$E$8</f>
        <v>6.1780000000000002E-2</v>
      </c>
      <c r="N17" s="228">
        <f t="shared" si="1"/>
        <v>0.03</v>
      </c>
      <c r="O17" s="230">
        <f>N17*PARÂMETROS!$E$8</f>
        <v>0.92669999999999997</v>
      </c>
      <c r="P17" s="228">
        <f t="shared" si="2"/>
        <v>1.9400000000000001E-2</v>
      </c>
      <c r="Q17" s="230">
        <f>P17*PARÂMETROS!$E$8</f>
        <v>0.59926600000000008</v>
      </c>
      <c r="R17" s="228">
        <f t="shared" si="3"/>
        <v>3.0000000000000001E-3</v>
      </c>
      <c r="S17" s="230">
        <f>R17*PARÂMETROS!$E$8</f>
        <v>9.2670000000000002E-2</v>
      </c>
      <c r="T17" s="231">
        <v>1.4</v>
      </c>
      <c r="U17" s="230">
        <f>T17*PARÂMETROS!$E$27</f>
        <v>4.1999999999999993</v>
      </c>
      <c r="V17" s="299">
        <v>4.3049999999999997</v>
      </c>
      <c r="W17" s="230">
        <f>V17*PARÂMETROS!$E$29</f>
        <v>772.05869999999993</v>
      </c>
      <c r="X17" s="299">
        <v>0.86099999999999999</v>
      </c>
      <c r="Y17" s="230">
        <f>X17*PARÂMETROS!$E$31</f>
        <v>13.04415</v>
      </c>
      <c r="Z17" s="228">
        <f t="shared" si="4"/>
        <v>0.03</v>
      </c>
      <c r="AA17" s="230">
        <f>Z17*PARÂMETROS!$E$8</f>
        <v>0.92669999999999997</v>
      </c>
      <c r="AB17" s="228">
        <f t="shared" si="5"/>
        <v>1.9400000000000001E-3</v>
      </c>
      <c r="AC17" s="230">
        <f>AB17*PARÂMETROS!$E$8</f>
        <v>5.9926600000000003E-2</v>
      </c>
      <c r="AD17" s="23"/>
      <c r="AE17" s="23"/>
      <c r="AF17" s="232" t="s">
        <v>1395</v>
      </c>
      <c r="AG17" s="264">
        <f t="shared" si="6"/>
        <v>1358.0445925999998</v>
      </c>
      <c r="AH17" s="23"/>
      <c r="AI17" s="224" t="s">
        <v>226</v>
      </c>
      <c r="AJ17" s="291">
        <f>PARÂMETROS!$H$3</f>
        <v>40</v>
      </c>
      <c r="AK17" s="267">
        <v>2.1527777777777798E-2</v>
      </c>
      <c r="AL17" s="267">
        <v>2.7777777777777801E-2</v>
      </c>
      <c r="AM17" s="267">
        <v>2.7777777777777801E-2</v>
      </c>
      <c r="AN17" s="267">
        <v>6.9444444444444397E-3</v>
      </c>
      <c r="AO17" s="267">
        <v>2.0833333333333301E-2</v>
      </c>
      <c r="AP17" s="267">
        <v>6.9444444444444397E-3</v>
      </c>
      <c r="AQ17" s="267">
        <v>3.125E-2</v>
      </c>
      <c r="AR17" s="271">
        <v>1</v>
      </c>
      <c r="AS17" s="292">
        <f t="shared" si="7"/>
        <v>0.1430555555555556</v>
      </c>
      <c r="AT17" s="291">
        <f t="shared" si="8"/>
        <v>137.33333333333337</v>
      </c>
      <c r="AU17" s="272">
        <f t="shared" si="9"/>
        <v>137.33333333333337</v>
      </c>
      <c r="AW17" s="273">
        <f t="shared" si="10"/>
        <v>1358.0445925999998</v>
      </c>
      <c r="AX17" s="274">
        <f t="shared" si="11"/>
        <v>137.33333333333337</v>
      </c>
      <c r="AY17" s="275">
        <v>1</v>
      </c>
      <c r="AZ17" s="276">
        <f t="shared" si="12"/>
        <v>137.33333333333337</v>
      </c>
      <c r="BA17" s="293">
        <f t="shared" si="13"/>
        <v>1495.3779259333332</v>
      </c>
      <c r="BB17" s="275">
        <v>1</v>
      </c>
      <c r="BV17" s="293">
        <v>80</v>
      </c>
      <c r="BW17" s="293">
        <f t="shared" si="14"/>
        <v>1575.3779259333332</v>
      </c>
    </row>
    <row r="18" spans="1:75" ht="27" customHeight="1" x14ac:dyDescent="0.3">
      <c r="A18" s="224" t="s">
        <v>230</v>
      </c>
      <c r="B18" s="225" t="s">
        <v>1384</v>
      </c>
      <c r="C18" s="228">
        <v>21</v>
      </c>
      <c r="D18" s="263">
        <f>C18*D5</f>
        <v>411.39</v>
      </c>
      <c r="E18" s="228">
        <v>9.4</v>
      </c>
      <c r="F18" s="263">
        <f>E18*F5</f>
        <v>184.14600000000002</v>
      </c>
      <c r="G18" s="227">
        <f t="shared" si="0"/>
        <v>595.53600000000006</v>
      </c>
      <c r="H18" s="228">
        <v>3.4</v>
      </c>
      <c r="I18" s="227">
        <f>H18*PARÂMETROS!$E$22</f>
        <v>144.05799999999999</v>
      </c>
      <c r="J18" s="228">
        <v>0.25</v>
      </c>
      <c r="K18" s="227">
        <f>J18*PARÂMETROS!$E$22</f>
        <v>10.592499999999999</v>
      </c>
      <c r="L18" s="228">
        <v>2E-3</v>
      </c>
      <c r="M18" s="230">
        <f>L18*PARÂMETROS!$E$8</f>
        <v>6.1780000000000002E-2</v>
      </c>
      <c r="N18" s="228">
        <f t="shared" si="1"/>
        <v>3.4000000000000002E-2</v>
      </c>
      <c r="O18" s="230">
        <f>N18*PARÂMETROS!$E$8</f>
        <v>1.0502600000000002</v>
      </c>
      <c r="P18" s="228">
        <f t="shared" si="2"/>
        <v>2.5000000000000001E-2</v>
      </c>
      <c r="Q18" s="230">
        <f>P18*PARÂMETROS!$E$8</f>
        <v>0.7722500000000001</v>
      </c>
      <c r="R18" s="228">
        <f t="shared" si="3"/>
        <v>3.4000000000000002E-3</v>
      </c>
      <c r="S18" s="230">
        <f>R18*PARÂMETROS!$E$8</f>
        <v>0.10502600000000001</v>
      </c>
      <c r="T18" s="231">
        <v>1.52</v>
      </c>
      <c r="U18" s="230">
        <f>T18*PARÂMETROS!$E$27</f>
        <v>4.5600000000000005</v>
      </c>
      <c r="V18" s="299">
        <v>5.48</v>
      </c>
      <c r="W18" s="230">
        <f>V18*PARÂMETROS!$E$29</f>
        <v>982.78320000000008</v>
      </c>
      <c r="X18" s="299">
        <v>1.0960000000000001</v>
      </c>
      <c r="Y18" s="230">
        <f>X18*PARÂMETROS!$E$31</f>
        <v>16.604400000000002</v>
      </c>
      <c r="Z18" s="228">
        <f t="shared" si="4"/>
        <v>3.4000000000000002E-2</v>
      </c>
      <c r="AA18" s="230">
        <f>Z18*PARÂMETROS!$E$8</f>
        <v>1.0502600000000002</v>
      </c>
      <c r="AB18" s="228">
        <f t="shared" si="5"/>
        <v>2.5000000000000001E-3</v>
      </c>
      <c r="AC18" s="230">
        <f>AB18*PARÂMETROS!$E$8</f>
        <v>7.7225000000000002E-2</v>
      </c>
      <c r="AF18" s="232" t="s">
        <v>1396</v>
      </c>
      <c r="AG18" s="264">
        <f t="shared" si="6"/>
        <v>1757.2509010000001</v>
      </c>
      <c r="AH18" s="23"/>
      <c r="AI18" s="224" t="s">
        <v>230</v>
      </c>
      <c r="AJ18" s="291">
        <f>PARÂMETROS!$H$3</f>
        <v>40</v>
      </c>
      <c r="AK18" s="267">
        <v>2.1527777777777798E-2</v>
      </c>
      <c r="AL18" s="267">
        <v>4.1666666666666699E-2</v>
      </c>
      <c r="AM18" s="267">
        <v>3.4722222222222203E-2</v>
      </c>
      <c r="AN18" s="267">
        <v>6.9444444444444397E-3</v>
      </c>
      <c r="AO18" s="267">
        <v>2.0833333333333301E-2</v>
      </c>
      <c r="AP18" s="267">
        <v>6.9444444444444397E-3</v>
      </c>
      <c r="AQ18" s="267">
        <v>3.125E-2</v>
      </c>
      <c r="AR18" s="271">
        <v>1</v>
      </c>
      <c r="AS18" s="292">
        <f t="shared" si="7"/>
        <v>0.16388888888888892</v>
      </c>
      <c r="AT18" s="291">
        <f t="shared" si="8"/>
        <v>157.33333333333337</v>
      </c>
      <c r="AU18" s="272">
        <f t="shared" si="9"/>
        <v>157.33333333333337</v>
      </c>
      <c r="AW18" s="273">
        <f t="shared" si="10"/>
        <v>1757.2509010000001</v>
      </c>
      <c r="AX18" s="274">
        <f t="shared" si="11"/>
        <v>157.33333333333337</v>
      </c>
      <c r="AY18" s="275">
        <v>1</v>
      </c>
      <c r="AZ18" s="276">
        <f t="shared" si="12"/>
        <v>157.33333333333337</v>
      </c>
      <c r="BA18" s="293">
        <f t="shared" si="13"/>
        <v>1914.5842343333334</v>
      </c>
      <c r="BB18" s="275">
        <v>1</v>
      </c>
      <c r="BV18" s="293">
        <v>80</v>
      </c>
      <c r="BW18" s="293">
        <f t="shared" si="14"/>
        <v>1994.5842343333334</v>
      </c>
    </row>
    <row r="19" spans="1:75" ht="27" customHeight="1" x14ac:dyDescent="0.3">
      <c r="A19" s="224" t="s">
        <v>234</v>
      </c>
      <c r="B19" s="225" t="s">
        <v>1384</v>
      </c>
      <c r="C19" s="228">
        <v>30</v>
      </c>
      <c r="D19" s="263">
        <f>C19*D5</f>
        <v>587.70000000000005</v>
      </c>
      <c r="E19" s="228">
        <v>13.5</v>
      </c>
      <c r="F19" s="263">
        <f>E19*F5</f>
        <v>264.46499999999997</v>
      </c>
      <c r="G19" s="227">
        <f t="shared" si="0"/>
        <v>852.16499999999996</v>
      </c>
      <c r="H19" s="228">
        <v>3.9</v>
      </c>
      <c r="I19" s="227">
        <f>H19*PARÂMETROS!$E$22</f>
        <v>165.24299999999999</v>
      </c>
      <c r="J19" s="228">
        <v>0.30099999999999999</v>
      </c>
      <c r="K19" s="227">
        <f>J19*PARÂMETROS!$E$22</f>
        <v>12.753369999999999</v>
      </c>
      <c r="L19" s="228">
        <v>2E-3</v>
      </c>
      <c r="M19" s="230">
        <f>L19*PARÂMETROS!$E$8</f>
        <v>6.1780000000000002E-2</v>
      </c>
      <c r="N19" s="228">
        <f t="shared" si="1"/>
        <v>3.9E-2</v>
      </c>
      <c r="O19" s="230">
        <f>N19*PARÂMETROS!$E$8</f>
        <v>1.2047099999999999</v>
      </c>
      <c r="P19" s="228">
        <f t="shared" si="2"/>
        <v>3.0100000000000002E-2</v>
      </c>
      <c r="Q19" s="230">
        <f>P19*PARÂMETROS!$E$8</f>
        <v>0.92978900000000009</v>
      </c>
      <c r="R19" s="228">
        <f t="shared" si="3"/>
        <v>3.9000000000000003E-3</v>
      </c>
      <c r="S19" s="230">
        <f>R19*PARÂMETROS!$E$8</f>
        <v>0.12047100000000001</v>
      </c>
      <c r="T19" s="231">
        <v>1.62</v>
      </c>
      <c r="U19" s="230">
        <f>T19*PARÂMETROS!$E$27</f>
        <v>4.8600000000000003</v>
      </c>
      <c r="V19" s="299">
        <v>4.2</v>
      </c>
      <c r="W19" s="230">
        <f>V19*PARÂMETROS!$E$29</f>
        <v>753.22800000000007</v>
      </c>
      <c r="X19" s="299">
        <v>0.84</v>
      </c>
      <c r="Y19" s="230">
        <f>X19*PARÂMETROS!$E$31</f>
        <v>12.725999999999999</v>
      </c>
      <c r="Z19" s="228">
        <f t="shared" si="4"/>
        <v>3.9E-2</v>
      </c>
      <c r="AA19" s="230">
        <f>Z19*PARÂMETROS!$E$8</f>
        <v>1.2047099999999999</v>
      </c>
      <c r="AB19" s="228">
        <f t="shared" si="5"/>
        <v>3.0100000000000001E-3</v>
      </c>
      <c r="AC19" s="230">
        <f>AB19*PARÂMETROS!$E$8</f>
        <v>9.2978900000000003E-2</v>
      </c>
      <c r="AD19" s="23"/>
      <c r="AE19" s="23"/>
      <c r="AF19" s="232" t="s">
        <v>1397</v>
      </c>
      <c r="AG19" s="264">
        <f t="shared" si="6"/>
        <v>1804.5898089</v>
      </c>
      <c r="AH19" s="23"/>
      <c r="AI19" s="224" t="s">
        <v>234</v>
      </c>
      <c r="AJ19" s="291">
        <f>PARÂMETROS!$H$3</f>
        <v>40</v>
      </c>
      <c r="AK19" s="267">
        <v>2.1527777777777798E-2</v>
      </c>
      <c r="AL19" s="267">
        <v>4.1666666666666699E-2</v>
      </c>
      <c r="AM19" s="267">
        <v>8.3333333333333301E-2</v>
      </c>
      <c r="AN19" s="267">
        <v>6.9444444444444397E-3</v>
      </c>
      <c r="AO19" s="267">
        <v>2.0833333333333301E-2</v>
      </c>
      <c r="AP19" s="267">
        <v>6.9444444444444397E-3</v>
      </c>
      <c r="AQ19" s="267">
        <v>3.125E-2</v>
      </c>
      <c r="AR19" s="271">
        <v>1</v>
      </c>
      <c r="AS19" s="292">
        <f t="shared" si="7"/>
        <v>0.21249999999999997</v>
      </c>
      <c r="AT19" s="291">
        <f t="shared" si="8"/>
        <v>203.99999999999994</v>
      </c>
      <c r="AU19" s="272">
        <f t="shared" si="9"/>
        <v>203.99999999999994</v>
      </c>
      <c r="AW19" s="273">
        <f t="shared" si="10"/>
        <v>1804.5898089</v>
      </c>
      <c r="AX19" s="274">
        <f t="shared" si="11"/>
        <v>203.99999999999994</v>
      </c>
      <c r="AY19" s="275">
        <v>1</v>
      </c>
      <c r="AZ19" s="276">
        <f t="shared" si="12"/>
        <v>203.99999999999994</v>
      </c>
      <c r="BA19" s="293">
        <f t="shared" si="13"/>
        <v>2008.5898089</v>
      </c>
      <c r="BB19" s="275">
        <v>1</v>
      </c>
      <c r="BV19" s="293">
        <v>80</v>
      </c>
      <c r="BW19" s="293">
        <f t="shared" si="14"/>
        <v>2088.5898089000002</v>
      </c>
    </row>
    <row r="20" spans="1:75" ht="27" customHeight="1" x14ac:dyDescent="0.3">
      <c r="A20" s="224" t="s">
        <v>238</v>
      </c>
      <c r="B20" s="225" t="s">
        <v>1384</v>
      </c>
      <c r="C20" s="228">
        <v>34</v>
      </c>
      <c r="D20" s="263">
        <f>C20*D5</f>
        <v>666.06</v>
      </c>
      <c r="E20" s="228">
        <v>15.3</v>
      </c>
      <c r="F20" s="263">
        <f>E20*F5</f>
        <v>299.72700000000003</v>
      </c>
      <c r="G20" s="227">
        <f t="shared" si="0"/>
        <v>965.78700000000003</v>
      </c>
      <c r="H20" s="228">
        <v>4.5</v>
      </c>
      <c r="I20" s="227">
        <f>H20*PARÂMETROS!$E$22</f>
        <v>190.66499999999999</v>
      </c>
      <c r="J20" s="228">
        <v>0.35699999999999998</v>
      </c>
      <c r="K20" s="227">
        <f>J20*PARÂMETROS!$E$22</f>
        <v>15.126089999999998</v>
      </c>
      <c r="L20" s="228">
        <v>2E-3</v>
      </c>
      <c r="M20" s="230">
        <f>L20*PARÂMETROS!$E$8</f>
        <v>6.1780000000000002E-2</v>
      </c>
      <c r="N20" s="228">
        <f t="shared" si="1"/>
        <v>4.4999999999999998E-2</v>
      </c>
      <c r="O20" s="230">
        <f>N20*PARÂMETROS!$E$8</f>
        <v>1.39005</v>
      </c>
      <c r="P20" s="228">
        <f t="shared" si="2"/>
        <v>3.5700000000000003E-2</v>
      </c>
      <c r="Q20" s="230">
        <f>P20*PARÂMETROS!$E$8</f>
        <v>1.102773</v>
      </c>
      <c r="R20" s="228">
        <f t="shared" si="3"/>
        <v>4.4999999999999997E-3</v>
      </c>
      <c r="S20" s="230">
        <f>R20*PARÂMETROS!$E$8</f>
        <v>0.13900499999999999</v>
      </c>
      <c r="T20" s="231">
        <v>1.72</v>
      </c>
      <c r="U20" s="230">
        <f>T20*PARÂMETROS!$E$27</f>
        <v>5.16</v>
      </c>
      <c r="V20" s="299">
        <v>6.84</v>
      </c>
      <c r="W20" s="230">
        <f>V20*PARÂMETROS!$E$29</f>
        <v>1226.6856</v>
      </c>
      <c r="X20" s="299">
        <v>1.3680000000000001</v>
      </c>
      <c r="Y20" s="230">
        <f>X20*PARÂMETROS!$E$31</f>
        <v>20.725200000000001</v>
      </c>
      <c r="Z20" s="228">
        <f t="shared" si="4"/>
        <v>4.4999999999999998E-2</v>
      </c>
      <c r="AA20" s="230">
        <f>Z20*PARÂMETROS!$E$8</f>
        <v>1.39005</v>
      </c>
      <c r="AB20" s="228">
        <f t="shared" si="5"/>
        <v>3.5699999999999998E-3</v>
      </c>
      <c r="AC20" s="230">
        <f>AB20*PARÂMETROS!$E$8</f>
        <v>0.11027729999999999</v>
      </c>
      <c r="AF20" s="232" t="s">
        <v>1398</v>
      </c>
      <c r="AG20" s="264">
        <f t="shared" si="6"/>
        <v>2428.3428252999997</v>
      </c>
      <c r="AH20" s="23"/>
      <c r="AI20" s="224" t="s">
        <v>238</v>
      </c>
      <c r="AJ20" s="291">
        <f>PARÂMETROS!$H$3</f>
        <v>40</v>
      </c>
      <c r="AK20" s="267">
        <v>4.1666666666666699E-2</v>
      </c>
      <c r="AL20" s="267">
        <v>0.125</v>
      </c>
      <c r="AM20" s="267">
        <v>8.3333333333333301E-2</v>
      </c>
      <c r="AN20" s="267">
        <v>6.9444444444444397E-3</v>
      </c>
      <c r="AO20" s="267">
        <v>2.0833333333333301E-2</v>
      </c>
      <c r="AP20" s="267">
        <v>6.9444444444444397E-3</v>
      </c>
      <c r="AQ20" s="267">
        <v>3.125E-2</v>
      </c>
      <c r="AR20" s="271">
        <v>1</v>
      </c>
      <c r="AS20" s="292">
        <f t="shared" si="7"/>
        <v>0.31597222222222215</v>
      </c>
      <c r="AT20" s="291">
        <f t="shared" si="8"/>
        <v>303.33333333333326</v>
      </c>
      <c r="AU20" s="272">
        <f t="shared" si="9"/>
        <v>303.33333333333326</v>
      </c>
      <c r="AW20" s="273">
        <f t="shared" si="10"/>
        <v>2428.3428252999997</v>
      </c>
      <c r="AX20" s="274">
        <f t="shared" si="11"/>
        <v>303.33333333333326</v>
      </c>
      <c r="AY20" s="275">
        <v>1</v>
      </c>
      <c r="AZ20" s="276">
        <f t="shared" si="12"/>
        <v>303.33333333333326</v>
      </c>
      <c r="BA20" s="293">
        <f t="shared" si="13"/>
        <v>2731.6761586333332</v>
      </c>
      <c r="BB20" s="275">
        <v>1</v>
      </c>
      <c r="BV20" s="293">
        <v>80</v>
      </c>
      <c r="BW20" s="293">
        <f t="shared" si="14"/>
        <v>2811.6761586333332</v>
      </c>
    </row>
    <row r="21" spans="1:75" ht="27" customHeight="1" x14ac:dyDescent="0.3">
      <c r="A21" s="224" t="s">
        <v>242</v>
      </c>
      <c r="B21" s="225" t="s">
        <v>1384</v>
      </c>
      <c r="C21" s="228">
        <v>42</v>
      </c>
      <c r="D21" s="263">
        <f>C21*D5</f>
        <v>822.78</v>
      </c>
      <c r="E21" s="228">
        <v>18.899999999999999</v>
      </c>
      <c r="F21" s="263">
        <f>E21*F5</f>
        <v>370.25099999999998</v>
      </c>
      <c r="G21" s="227">
        <f t="shared" si="0"/>
        <v>1193.0309999999999</v>
      </c>
      <c r="H21" s="228">
        <v>5</v>
      </c>
      <c r="I21" s="227">
        <f>H21*PARÂMETROS!$E$22</f>
        <v>211.85</v>
      </c>
      <c r="J21" s="228">
        <v>0.41799999999999998</v>
      </c>
      <c r="K21" s="227">
        <f>J21*PARÂMETROS!$E$22</f>
        <v>17.710659999999997</v>
      </c>
      <c r="L21" s="228">
        <v>2E-3</v>
      </c>
      <c r="M21" s="230">
        <f>L21*PARÂMETROS!$E$8</f>
        <v>6.1780000000000002E-2</v>
      </c>
      <c r="N21" s="228">
        <f t="shared" si="1"/>
        <v>0.05</v>
      </c>
      <c r="O21" s="230">
        <f>N21*PARÂMETROS!$E$8</f>
        <v>1.5445000000000002</v>
      </c>
      <c r="P21" s="228">
        <f t="shared" si="2"/>
        <v>4.1800000000000004E-2</v>
      </c>
      <c r="Q21" s="230">
        <f>P21*PARÂMETROS!$E$8</f>
        <v>1.2912020000000002</v>
      </c>
      <c r="R21" s="228">
        <f t="shared" si="3"/>
        <v>5.000000000000001E-3</v>
      </c>
      <c r="S21" s="230">
        <f>R21*PARÂMETROS!$E$8</f>
        <v>0.15445000000000003</v>
      </c>
      <c r="T21" s="231">
        <v>1.82</v>
      </c>
      <c r="U21" s="230">
        <f>T21*PARÂMETROS!$E$27</f>
        <v>5.46</v>
      </c>
      <c r="V21" s="299">
        <v>6.88</v>
      </c>
      <c r="W21" s="230">
        <f>V21*PARÂMETROS!$E$29</f>
        <v>1233.8592000000001</v>
      </c>
      <c r="X21" s="299">
        <v>1.766</v>
      </c>
      <c r="Y21" s="230">
        <f>X21*PARÂMETROS!$E$31</f>
        <v>26.754899999999999</v>
      </c>
      <c r="Z21" s="228">
        <f t="shared" si="4"/>
        <v>0.05</v>
      </c>
      <c r="AA21" s="230">
        <f>Z21*PARÂMETROS!$E$8</f>
        <v>1.5445000000000002</v>
      </c>
      <c r="AB21" s="228">
        <f t="shared" si="5"/>
        <v>4.1799999999999997E-3</v>
      </c>
      <c r="AC21" s="230">
        <f>AB21*PARÂMETROS!$E$8</f>
        <v>0.12912019999999999</v>
      </c>
      <c r="AD21" s="23"/>
      <c r="AE21" s="23"/>
      <c r="AF21" s="232" t="s">
        <v>1399</v>
      </c>
      <c r="AG21" s="264">
        <f t="shared" si="6"/>
        <v>2693.3913122000004</v>
      </c>
      <c r="AH21" s="23"/>
      <c r="AI21" s="224" t="s">
        <v>242</v>
      </c>
      <c r="AJ21" s="291">
        <f>PARÂMETROS!$H$3</f>
        <v>40</v>
      </c>
      <c r="AK21" s="267">
        <v>4.1666666666666699E-2</v>
      </c>
      <c r="AL21" s="267">
        <v>0.125</v>
      </c>
      <c r="AM21" s="267">
        <v>8.3333333333333301E-2</v>
      </c>
      <c r="AN21" s="267">
        <v>6.9444444444444397E-3</v>
      </c>
      <c r="AO21" s="267">
        <v>2.0833333333333301E-2</v>
      </c>
      <c r="AP21" s="267">
        <v>6.9444444444444397E-3</v>
      </c>
      <c r="AQ21" s="267">
        <v>3.125E-2</v>
      </c>
      <c r="AR21" s="271">
        <v>1</v>
      </c>
      <c r="AS21" s="292">
        <f t="shared" si="7"/>
        <v>0.31597222222222215</v>
      </c>
      <c r="AT21" s="291">
        <f t="shared" si="8"/>
        <v>303.33333333333326</v>
      </c>
      <c r="AU21" s="272">
        <f t="shared" si="9"/>
        <v>303.33333333333326</v>
      </c>
      <c r="AW21" s="273">
        <f t="shared" si="10"/>
        <v>2693.3913122000004</v>
      </c>
      <c r="AX21" s="274">
        <f t="shared" si="11"/>
        <v>303.33333333333326</v>
      </c>
      <c r="AY21" s="275">
        <v>1</v>
      </c>
      <c r="AZ21" s="276">
        <f t="shared" si="12"/>
        <v>303.33333333333326</v>
      </c>
      <c r="BA21" s="293">
        <f t="shared" si="13"/>
        <v>2996.7246455333334</v>
      </c>
      <c r="BB21" s="275">
        <v>1</v>
      </c>
      <c r="BV21" s="293">
        <v>80</v>
      </c>
      <c r="BW21" s="293">
        <f t="shared" si="14"/>
        <v>3076.7246455333334</v>
      </c>
    </row>
    <row r="22" spans="1:75" ht="27" customHeight="1" x14ac:dyDescent="0.3">
      <c r="A22" s="224" t="s">
        <v>246</v>
      </c>
      <c r="B22" s="225" t="s">
        <v>1384</v>
      </c>
      <c r="C22" s="228">
        <v>49</v>
      </c>
      <c r="D22" s="263">
        <f>C22*D5</f>
        <v>959.91</v>
      </c>
      <c r="E22" s="228">
        <v>22.05</v>
      </c>
      <c r="F22" s="263">
        <f>E22*F5</f>
        <v>431.95949999999999</v>
      </c>
      <c r="G22" s="227">
        <f t="shared" si="0"/>
        <v>1391.8695</v>
      </c>
      <c r="H22" s="228">
        <v>5.4</v>
      </c>
      <c r="I22" s="227">
        <f>H22*PARÂMETROS!$E$22</f>
        <v>228.798</v>
      </c>
      <c r="J22" s="228">
        <v>0.498</v>
      </c>
      <c r="K22" s="227">
        <f>J22*PARÂMETROS!$E$22</f>
        <v>21.100259999999999</v>
      </c>
      <c r="L22" s="228">
        <v>2E-3</v>
      </c>
      <c r="M22" s="230">
        <f>L22*PARÂMETROS!$E$8</f>
        <v>6.1780000000000002E-2</v>
      </c>
      <c r="N22" s="228">
        <f t="shared" si="1"/>
        <v>5.4000000000000006E-2</v>
      </c>
      <c r="O22" s="230">
        <f>N22*PARÂMETROS!$E$8</f>
        <v>1.6680600000000003</v>
      </c>
      <c r="P22" s="228">
        <f t="shared" si="2"/>
        <v>4.9800000000000004E-2</v>
      </c>
      <c r="Q22" s="230">
        <f>P22*PARÂMETROS!$E$8</f>
        <v>1.5383220000000002</v>
      </c>
      <c r="R22" s="228">
        <f t="shared" si="3"/>
        <v>5.4000000000000012E-3</v>
      </c>
      <c r="S22" s="230">
        <f>R22*PARÂMETROS!$E$8</f>
        <v>0.16680600000000004</v>
      </c>
      <c r="T22" s="231">
        <v>1.92</v>
      </c>
      <c r="U22" s="230">
        <f>T22*PARÂMETROS!$E$27</f>
        <v>5.76</v>
      </c>
      <c r="V22" s="299">
        <v>6.76</v>
      </c>
      <c r="W22" s="230">
        <f>V22*PARÂMETROS!$E$29</f>
        <v>1212.3384000000001</v>
      </c>
      <c r="X22" s="299">
        <v>1.3560000000000001</v>
      </c>
      <c r="Y22" s="230">
        <f>X22*PARÂMETROS!$E$31</f>
        <v>20.543400000000002</v>
      </c>
      <c r="Z22" s="228">
        <f t="shared" si="4"/>
        <v>5.4000000000000006E-2</v>
      </c>
      <c r="AA22" s="230">
        <f>Z22*PARÂMETROS!$E$8</f>
        <v>1.6680600000000003</v>
      </c>
      <c r="AB22" s="228">
        <f t="shared" si="5"/>
        <v>4.9800000000000001E-3</v>
      </c>
      <c r="AC22" s="230">
        <f>AB22*PARÂMETROS!$E$8</f>
        <v>0.1538322</v>
      </c>
      <c r="AF22" s="232" t="s">
        <v>1400</v>
      </c>
      <c r="AG22" s="264">
        <f t="shared" si="6"/>
        <v>2885.6664202000002</v>
      </c>
      <c r="AH22" s="23"/>
      <c r="AI22" s="224" t="s">
        <v>246</v>
      </c>
      <c r="AJ22" s="291">
        <f>PARÂMETROS!$H$3</f>
        <v>40</v>
      </c>
      <c r="AK22" s="267">
        <v>4.1666666666666699E-2</v>
      </c>
      <c r="AL22" s="267">
        <v>0.125</v>
      </c>
      <c r="AM22" s="267">
        <v>8.3333333333333301E-2</v>
      </c>
      <c r="AN22" s="267">
        <v>6.9444444444444397E-3</v>
      </c>
      <c r="AO22" s="267">
        <v>2.0833333333333301E-2</v>
      </c>
      <c r="AP22" s="267">
        <v>6.9444444444444397E-3</v>
      </c>
      <c r="AQ22" s="267">
        <v>3.125E-2</v>
      </c>
      <c r="AR22" s="271">
        <v>1</v>
      </c>
      <c r="AS22" s="292">
        <f t="shared" si="7"/>
        <v>0.31597222222222215</v>
      </c>
      <c r="AT22" s="291">
        <f t="shared" si="8"/>
        <v>303.33333333333326</v>
      </c>
      <c r="AU22" s="272">
        <f t="shared" si="9"/>
        <v>303.33333333333326</v>
      </c>
      <c r="AW22" s="273">
        <f t="shared" si="10"/>
        <v>2885.6664202000002</v>
      </c>
      <c r="AX22" s="274">
        <f t="shared" si="11"/>
        <v>303.33333333333326</v>
      </c>
      <c r="AY22" s="275">
        <v>1</v>
      </c>
      <c r="AZ22" s="276">
        <f t="shared" si="12"/>
        <v>303.33333333333326</v>
      </c>
      <c r="BA22" s="293">
        <f t="shared" si="13"/>
        <v>3188.9997535333332</v>
      </c>
      <c r="BB22" s="275">
        <v>1</v>
      </c>
      <c r="BV22" s="293">
        <v>80</v>
      </c>
      <c r="BW22" s="293">
        <f t="shared" si="14"/>
        <v>3268.9997535333332</v>
      </c>
    </row>
    <row r="23" spans="1:75" ht="27" customHeight="1" x14ac:dyDescent="0.3">
      <c r="A23" s="224" t="s">
        <v>250</v>
      </c>
      <c r="B23" s="225" t="s">
        <v>1384</v>
      </c>
      <c r="C23" s="228">
        <v>74</v>
      </c>
      <c r="D23" s="263">
        <f>C23*D5</f>
        <v>1449.66</v>
      </c>
      <c r="E23" s="228">
        <v>33.299999999999997</v>
      </c>
      <c r="F23" s="263">
        <f>E23*F5</f>
        <v>652.34699999999998</v>
      </c>
      <c r="G23" s="227">
        <f t="shared" si="0"/>
        <v>2102.0070000000001</v>
      </c>
      <c r="H23" s="228">
        <v>6</v>
      </c>
      <c r="I23" s="227">
        <f>H23*PARÂMETROS!$E$22</f>
        <v>254.21999999999997</v>
      </c>
      <c r="J23" s="228">
        <v>0.54</v>
      </c>
      <c r="K23" s="227">
        <f>J23*PARÂMETROS!$E$22</f>
        <v>22.879799999999999</v>
      </c>
      <c r="L23" s="228">
        <v>2E-3</v>
      </c>
      <c r="M23" s="230">
        <f>L23*PARÂMETROS!$E$8</f>
        <v>6.1780000000000002E-2</v>
      </c>
      <c r="N23" s="228">
        <f t="shared" si="1"/>
        <v>0.06</v>
      </c>
      <c r="O23" s="230">
        <f>N23*PARÂMETROS!$E$8</f>
        <v>1.8533999999999999</v>
      </c>
      <c r="P23" s="228">
        <f t="shared" si="2"/>
        <v>5.4000000000000006E-2</v>
      </c>
      <c r="Q23" s="230">
        <f>P23*PARÂMETROS!$E$8</f>
        <v>1.6680600000000003</v>
      </c>
      <c r="R23" s="228">
        <f t="shared" si="3"/>
        <v>6.0000000000000001E-3</v>
      </c>
      <c r="S23" s="230">
        <f>R23*PARÂMETROS!$E$8</f>
        <v>0.18534</v>
      </c>
      <c r="T23" s="231">
        <v>2</v>
      </c>
      <c r="U23" s="230">
        <f>T23*PARÂMETROS!$E$27</f>
        <v>6</v>
      </c>
      <c r="V23" s="299">
        <v>7.84</v>
      </c>
      <c r="W23" s="230">
        <f>V23*PARÂMETROS!$E$29</f>
        <v>1406.0255999999999</v>
      </c>
      <c r="X23" s="299">
        <v>1.5680000000000001</v>
      </c>
      <c r="Y23" s="230">
        <f>X23*PARÂMETROS!$E$31</f>
        <v>23.755200000000002</v>
      </c>
      <c r="Z23" s="228">
        <f t="shared" si="4"/>
        <v>0.06</v>
      </c>
      <c r="AA23" s="230">
        <f>Z23*PARÂMETROS!$E$8</f>
        <v>1.8533999999999999</v>
      </c>
      <c r="AB23" s="228">
        <f t="shared" si="5"/>
        <v>5.4000000000000003E-3</v>
      </c>
      <c r="AC23" s="230">
        <f>AB23*PARÂMETROS!$E$8</f>
        <v>0.16680600000000001</v>
      </c>
      <c r="AD23" s="23"/>
      <c r="AE23" s="23"/>
      <c r="AF23" s="232" t="s">
        <v>1401</v>
      </c>
      <c r="AG23" s="264">
        <f t="shared" si="6"/>
        <v>3820.6763860000001</v>
      </c>
      <c r="AH23" s="23"/>
      <c r="AI23" s="224" t="s">
        <v>250</v>
      </c>
      <c r="AJ23" s="291">
        <f>PARÂMETROS!$H$3</f>
        <v>40</v>
      </c>
      <c r="AK23" s="267">
        <v>4.1666666666666699E-2</v>
      </c>
      <c r="AL23" s="267">
        <v>0.125</v>
      </c>
      <c r="AM23" s="267">
        <v>8.3333333333333301E-2</v>
      </c>
      <c r="AN23" s="267">
        <v>6.9444444444444397E-3</v>
      </c>
      <c r="AO23" s="267">
        <v>2.0833333333333301E-2</v>
      </c>
      <c r="AP23" s="267">
        <v>6.9444444444444397E-3</v>
      </c>
      <c r="AQ23" s="267">
        <v>3.125E-2</v>
      </c>
      <c r="AR23" s="271">
        <v>1</v>
      </c>
      <c r="AS23" s="292">
        <f t="shared" si="7"/>
        <v>0.31597222222222215</v>
      </c>
      <c r="AT23" s="291">
        <f t="shared" si="8"/>
        <v>303.33333333333326</v>
      </c>
      <c r="AU23" s="272">
        <f t="shared" si="9"/>
        <v>303.33333333333326</v>
      </c>
      <c r="AW23" s="273">
        <f t="shared" si="10"/>
        <v>3820.6763860000001</v>
      </c>
      <c r="AX23" s="274">
        <f t="shared" si="11"/>
        <v>303.33333333333326</v>
      </c>
      <c r="AY23" s="275">
        <v>1</v>
      </c>
      <c r="AZ23" s="276">
        <f t="shared" si="12"/>
        <v>303.33333333333326</v>
      </c>
      <c r="BA23" s="293">
        <f t="shared" si="13"/>
        <v>4124.0097193333331</v>
      </c>
      <c r="BB23" s="275">
        <v>1</v>
      </c>
      <c r="BV23" s="293">
        <v>80</v>
      </c>
      <c r="BW23" s="293">
        <f t="shared" si="14"/>
        <v>4204.0097193333331</v>
      </c>
    </row>
    <row r="24" spans="1:75" ht="27" customHeight="1" x14ac:dyDescent="0.3">
      <c r="A24" s="224" t="s">
        <v>254</v>
      </c>
      <c r="B24" s="225" t="s">
        <v>1384</v>
      </c>
      <c r="C24" s="228">
        <v>84</v>
      </c>
      <c r="D24" s="263">
        <f>C24*D5</f>
        <v>1645.56</v>
      </c>
      <c r="E24" s="228">
        <v>37.799999999999997</v>
      </c>
      <c r="F24" s="263">
        <f>E24*F5</f>
        <v>740.50199999999995</v>
      </c>
      <c r="G24" s="227">
        <f t="shared" si="0"/>
        <v>2386.0619999999999</v>
      </c>
      <c r="H24" s="228">
        <v>6.4</v>
      </c>
      <c r="I24" s="227">
        <f>H24*PARÂMETROS!$E$22</f>
        <v>271.16800000000001</v>
      </c>
      <c r="J24" s="228">
        <v>0.61499999999999999</v>
      </c>
      <c r="K24" s="227">
        <f>J24*PARÂMETROS!$E$22</f>
        <v>26.057549999999999</v>
      </c>
      <c r="L24" s="228">
        <v>2E-3</v>
      </c>
      <c r="M24" s="230">
        <f>L24*PARÂMETROS!$E$8</f>
        <v>6.1780000000000002E-2</v>
      </c>
      <c r="N24" s="228">
        <f t="shared" si="1"/>
        <v>6.4000000000000001E-2</v>
      </c>
      <c r="O24" s="230">
        <f>N24*PARÂMETROS!$E$8</f>
        <v>1.9769600000000001</v>
      </c>
      <c r="P24" s="228">
        <f t="shared" si="2"/>
        <v>6.1499999999999999E-2</v>
      </c>
      <c r="Q24" s="230">
        <f>P24*PARÂMETROS!$E$8</f>
        <v>1.899735</v>
      </c>
      <c r="R24" s="228">
        <f t="shared" si="3"/>
        <v>6.4000000000000003E-3</v>
      </c>
      <c r="S24" s="230">
        <f>R24*PARÂMETROS!$E$8</f>
        <v>0.19769600000000001</v>
      </c>
      <c r="T24" s="231">
        <v>2.1</v>
      </c>
      <c r="U24" s="230">
        <f>T24*PARÂMETROS!$E$27</f>
        <v>6.3000000000000007</v>
      </c>
      <c r="V24" s="299">
        <v>9.48</v>
      </c>
      <c r="W24" s="230">
        <f>V24*PARÂMETROS!$E$29</f>
        <v>1700.1432000000002</v>
      </c>
      <c r="X24" s="299">
        <v>1.9279999999999999</v>
      </c>
      <c r="Y24" s="230">
        <f>X24*PARÂMETROS!$E$31</f>
        <v>29.209199999999999</v>
      </c>
      <c r="Z24" s="228">
        <f t="shared" si="4"/>
        <v>6.4000000000000001E-2</v>
      </c>
      <c r="AA24" s="230">
        <f>Z24*PARÂMETROS!$E$8</f>
        <v>1.9769600000000001</v>
      </c>
      <c r="AB24" s="228">
        <f t="shared" si="5"/>
        <v>6.1500000000000001E-3</v>
      </c>
      <c r="AC24" s="230">
        <f>AB24*PARÂMETROS!$E$8</f>
        <v>0.18997350000000002</v>
      </c>
      <c r="AF24" s="232" t="s">
        <v>1402</v>
      </c>
      <c r="AG24" s="264">
        <f t="shared" si="6"/>
        <v>4425.2430544999997</v>
      </c>
      <c r="AH24" s="23"/>
      <c r="AI24" s="224" t="s">
        <v>254</v>
      </c>
      <c r="AJ24" s="291">
        <f>PARÂMETROS!$H$3</f>
        <v>40</v>
      </c>
      <c r="AK24" s="267">
        <v>4.1666666666666699E-2</v>
      </c>
      <c r="AL24" s="267">
        <v>0.125</v>
      </c>
      <c r="AM24" s="267">
        <v>8.3333333333333301E-2</v>
      </c>
      <c r="AN24" s="267">
        <v>6.9444444444444397E-3</v>
      </c>
      <c r="AO24" s="267">
        <v>2.0833333333333301E-2</v>
      </c>
      <c r="AP24" s="267">
        <v>6.9444444444444397E-3</v>
      </c>
      <c r="AQ24" s="267">
        <v>3.125E-2</v>
      </c>
      <c r="AR24" s="271">
        <v>1</v>
      </c>
      <c r="AS24" s="292">
        <f t="shared" si="7"/>
        <v>0.31597222222222215</v>
      </c>
      <c r="AT24" s="291">
        <f t="shared" si="8"/>
        <v>303.33333333333326</v>
      </c>
      <c r="AU24" s="272">
        <f t="shared" si="9"/>
        <v>303.33333333333326</v>
      </c>
      <c r="AW24" s="273">
        <f t="shared" si="10"/>
        <v>4425.2430544999997</v>
      </c>
      <c r="AX24" s="274">
        <f t="shared" si="11"/>
        <v>303.33333333333326</v>
      </c>
      <c r="AY24" s="275">
        <v>1</v>
      </c>
      <c r="AZ24" s="276">
        <f t="shared" si="12"/>
        <v>303.33333333333326</v>
      </c>
      <c r="BA24" s="293">
        <f t="shared" si="13"/>
        <v>4728.5763878333328</v>
      </c>
      <c r="BB24" s="275">
        <v>1</v>
      </c>
      <c r="BV24" s="293">
        <v>80</v>
      </c>
      <c r="BW24" s="293">
        <f t="shared" si="14"/>
        <v>4808.5763878333328</v>
      </c>
    </row>
    <row r="25" spans="1:75" ht="27" customHeight="1" x14ac:dyDescent="0.3">
      <c r="A25" s="224" t="s">
        <v>258</v>
      </c>
      <c r="B25" s="225" t="s">
        <v>1384</v>
      </c>
      <c r="C25" s="228">
        <v>95</v>
      </c>
      <c r="D25" s="263">
        <f>C25*D5</f>
        <v>1861.05</v>
      </c>
      <c r="E25" s="228">
        <v>42.75</v>
      </c>
      <c r="F25" s="263">
        <f>E25*F5</f>
        <v>837.47249999999997</v>
      </c>
      <c r="G25" s="227">
        <f t="shared" si="0"/>
        <v>2698.5225</v>
      </c>
      <c r="H25" s="228">
        <v>7.7</v>
      </c>
      <c r="I25" s="227">
        <f>H25*PARÂMETROS!$E$22</f>
        <v>326.24899999999997</v>
      </c>
      <c r="J25" s="228">
        <v>0.71</v>
      </c>
      <c r="K25" s="227">
        <f>J25*PARÂMETROS!$E$22</f>
        <v>30.082699999999996</v>
      </c>
      <c r="L25" s="228">
        <v>2E-3</v>
      </c>
      <c r="M25" s="230">
        <f>L25*PARÂMETROS!$E$8</f>
        <v>6.1780000000000002E-2</v>
      </c>
      <c r="N25" s="228">
        <f t="shared" si="1"/>
        <v>7.6999999999999999E-2</v>
      </c>
      <c r="O25" s="230">
        <f>N25*PARÂMETROS!$E$8</f>
        <v>2.37853</v>
      </c>
      <c r="P25" s="228">
        <f t="shared" si="2"/>
        <v>7.0999999999999994E-2</v>
      </c>
      <c r="Q25" s="230">
        <f>P25*PARÂMETROS!$E$8</f>
        <v>2.19319</v>
      </c>
      <c r="R25" s="228">
        <f t="shared" si="3"/>
        <v>7.7000000000000002E-3</v>
      </c>
      <c r="S25" s="230">
        <f>R25*PARÂMETROS!$E$8</f>
        <v>0.23785300000000001</v>
      </c>
      <c r="T25" s="231">
        <v>2.2000000000000002</v>
      </c>
      <c r="U25" s="230">
        <f>T25*PARÂMETROS!$E$27</f>
        <v>6.6000000000000005</v>
      </c>
      <c r="V25" s="299">
        <v>9.64</v>
      </c>
      <c r="W25" s="230">
        <f>V25*PARÂMETROS!$E$29</f>
        <v>1728.8376000000001</v>
      </c>
      <c r="X25" s="299">
        <v>1.88</v>
      </c>
      <c r="Y25" s="230">
        <f>X25*PARÂMETROS!$E$31</f>
        <v>28.481999999999999</v>
      </c>
      <c r="Z25" s="228">
        <f t="shared" si="4"/>
        <v>7.6999999999999999E-2</v>
      </c>
      <c r="AA25" s="230">
        <f>Z25*PARÂMETROS!$E$8</f>
        <v>2.37853</v>
      </c>
      <c r="AB25" s="228">
        <f t="shared" si="5"/>
        <v>7.0999999999999995E-3</v>
      </c>
      <c r="AC25" s="230">
        <f>AB25*PARÂMETROS!$E$8</f>
        <v>0.21931899999999999</v>
      </c>
      <c r="AD25" s="23"/>
      <c r="AE25" s="23"/>
      <c r="AF25" s="232" t="s">
        <v>1403</v>
      </c>
      <c r="AG25" s="264">
        <f t="shared" si="6"/>
        <v>4826.2430020000002</v>
      </c>
      <c r="AH25" s="23"/>
      <c r="AI25" s="224" t="s">
        <v>258</v>
      </c>
      <c r="AJ25" s="291">
        <f>PARÂMETROS!$H$3</f>
        <v>40</v>
      </c>
      <c r="AK25" s="267">
        <v>4.1666666666666699E-2</v>
      </c>
      <c r="AL25" s="267">
        <v>0.13888888888888901</v>
      </c>
      <c r="AM25" s="267">
        <v>0.11111111111111099</v>
      </c>
      <c r="AN25" s="267">
        <v>6.9444444444444397E-3</v>
      </c>
      <c r="AO25" s="267">
        <v>2.0833333333333301E-2</v>
      </c>
      <c r="AP25" s="267">
        <v>6.9444444444444397E-3</v>
      </c>
      <c r="AQ25" s="267">
        <v>3.125E-2</v>
      </c>
      <c r="AR25" s="271">
        <v>1</v>
      </c>
      <c r="AS25" s="292">
        <f t="shared" si="7"/>
        <v>0.3576388888888889</v>
      </c>
      <c r="AT25" s="291">
        <f t="shared" si="8"/>
        <v>343.33333333333331</v>
      </c>
      <c r="AU25" s="272">
        <f t="shared" si="9"/>
        <v>343.33333333333331</v>
      </c>
      <c r="AW25" s="273">
        <f t="shared" si="10"/>
        <v>4826.2430020000002</v>
      </c>
      <c r="AX25" s="274">
        <f t="shared" si="11"/>
        <v>343.33333333333331</v>
      </c>
      <c r="AY25" s="275">
        <v>1</v>
      </c>
      <c r="AZ25" s="276">
        <f t="shared" si="12"/>
        <v>343.33333333333331</v>
      </c>
      <c r="BA25" s="293">
        <f t="shared" si="13"/>
        <v>5169.5763353333332</v>
      </c>
      <c r="BB25" s="275">
        <v>1</v>
      </c>
      <c r="BV25" s="293">
        <v>80</v>
      </c>
      <c r="BW25" s="293">
        <f t="shared" si="14"/>
        <v>5249.5763353333332</v>
      </c>
    </row>
    <row r="26" spans="1:75" ht="27" customHeight="1" x14ac:dyDescent="0.3">
      <c r="A26" s="224" t="s">
        <v>262</v>
      </c>
      <c r="B26" s="225" t="s">
        <v>1384</v>
      </c>
      <c r="C26" s="228">
        <v>120</v>
      </c>
      <c r="D26" s="263">
        <f>C26*D5</f>
        <v>2350.8000000000002</v>
      </c>
      <c r="E26" s="228">
        <v>45</v>
      </c>
      <c r="F26" s="263">
        <f>E26*F5</f>
        <v>881.55</v>
      </c>
      <c r="G26" s="227">
        <f t="shared" si="0"/>
        <v>3232.3500000000004</v>
      </c>
      <c r="H26" s="228">
        <v>8.4</v>
      </c>
      <c r="I26" s="227">
        <f>H26*PARÂMETROS!$E$22</f>
        <v>355.90800000000002</v>
      </c>
      <c r="J26" s="228">
        <v>0.79500000000000004</v>
      </c>
      <c r="K26" s="227">
        <f>J26*PARÂMETROS!$E$22</f>
        <v>33.684150000000002</v>
      </c>
      <c r="L26" s="228">
        <v>2E-3</v>
      </c>
      <c r="M26" s="230">
        <f>L26*PARÂMETROS!$E$8</f>
        <v>6.1780000000000002E-2</v>
      </c>
      <c r="N26" s="228">
        <f t="shared" si="1"/>
        <v>8.4000000000000005E-2</v>
      </c>
      <c r="O26" s="230">
        <f>N26*PARÂMETROS!$E$8</f>
        <v>2.5947600000000004</v>
      </c>
      <c r="P26" s="228">
        <f t="shared" si="2"/>
        <v>7.9500000000000015E-2</v>
      </c>
      <c r="Q26" s="230">
        <f>P26*PARÂMETROS!$E$8</f>
        <v>2.4557550000000004</v>
      </c>
      <c r="R26" s="228">
        <f t="shared" si="3"/>
        <v>8.4000000000000012E-3</v>
      </c>
      <c r="S26" s="230">
        <f>R26*PARÂMETROS!$E$8</f>
        <v>0.25947600000000004</v>
      </c>
      <c r="T26" s="231">
        <v>2.2999999999999998</v>
      </c>
      <c r="U26" s="230">
        <f>T26*PARÂMETROS!$E$27</f>
        <v>6.8999999999999995</v>
      </c>
      <c r="V26" s="299">
        <v>9.4</v>
      </c>
      <c r="W26" s="230">
        <f>V26*PARÂMETROS!$E$29</f>
        <v>1685.796</v>
      </c>
      <c r="X26" s="299">
        <v>1.8560000000000001</v>
      </c>
      <c r="Y26" s="230">
        <f>X26*PARÂMETROS!$E$31</f>
        <v>28.118400000000001</v>
      </c>
      <c r="Z26" s="228">
        <f t="shared" si="4"/>
        <v>8.4000000000000005E-2</v>
      </c>
      <c r="AA26" s="230">
        <f>Z26*PARÂMETROS!$E$8</f>
        <v>2.5947600000000004</v>
      </c>
      <c r="AB26" s="228">
        <f t="shared" si="5"/>
        <v>7.9500000000000005E-3</v>
      </c>
      <c r="AC26" s="230">
        <f>AB26*PARÂMETROS!$E$8</f>
        <v>0.24557550000000003</v>
      </c>
      <c r="AF26" s="232" t="s">
        <v>1404</v>
      </c>
      <c r="AG26" s="264">
        <f t="shared" si="6"/>
        <v>5350.9686565000011</v>
      </c>
      <c r="AH26" s="23"/>
      <c r="AI26" s="224" t="s">
        <v>262</v>
      </c>
      <c r="AJ26" s="291">
        <f>PARÂMETROS!$H$3</f>
        <v>40</v>
      </c>
      <c r="AK26" s="267">
        <v>4.1666666666666699E-2</v>
      </c>
      <c r="AL26" s="267">
        <v>0.13888888888888901</v>
      </c>
      <c r="AM26" s="267">
        <v>0.11111111111111099</v>
      </c>
      <c r="AN26" s="267">
        <v>6.9444444444444397E-3</v>
      </c>
      <c r="AO26" s="267">
        <v>2.0833333333333301E-2</v>
      </c>
      <c r="AP26" s="267">
        <v>6.9444444444444397E-3</v>
      </c>
      <c r="AQ26" s="267">
        <v>3.125E-2</v>
      </c>
      <c r="AR26" s="271">
        <v>1</v>
      </c>
      <c r="AS26" s="292">
        <f t="shared" si="7"/>
        <v>0.3576388888888889</v>
      </c>
      <c r="AT26" s="291">
        <f t="shared" si="8"/>
        <v>343.33333333333331</v>
      </c>
      <c r="AU26" s="272">
        <f t="shared" si="9"/>
        <v>343.33333333333331</v>
      </c>
      <c r="AW26" s="273">
        <f t="shared" si="10"/>
        <v>5350.9686565000011</v>
      </c>
      <c r="AX26" s="274">
        <f t="shared" si="11"/>
        <v>343.33333333333331</v>
      </c>
      <c r="AY26" s="275">
        <v>1</v>
      </c>
      <c r="AZ26" s="276">
        <f t="shared" si="12"/>
        <v>343.33333333333331</v>
      </c>
      <c r="BA26" s="293">
        <f t="shared" si="13"/>
        <v>5694.3019898333341</v>
      </c>
      <c r="BB26" s="275">
        <v>1</v>
      </c>
      <c r="BV26" s="293">
        <v>80</v>
      </c>
      <c r="BW26" s="293">
        <f t="shared" si="14"/>
        <v>5774.3019898333341</v>
      </c>
    </row>
    <row r="27" spans="1:75" ht="27" customHeight="1" x14ac:dyDescent="0.3">
      <c r="A27" s="224" t="s">
        <v>266</v>
      </c>
      <c r="B27" s="225" t="s">
        <v>1384</v>
      </c>
      <c r="C27" s="228">
        <v>140</v>
      </c>
      <c r="D27" s="263">
        <f>C27*D5</f>
        <v>2742.6</v>
      </c>
      <c r="E27" s="228">
        <v>63</v>
      </c>
      <c r="F27" s="263">
        <f>E27*F5</f>
        <v>1234.17</v>
      </c>
      <c r="G27" s="227">
        <f t="shared" si="0"/>
        <v>3976.77</v>
      </c>
      <c r="H27" s="228">
        <v>9</v>
      </c>
      <c r="I27" s="227">
        <f>H27*PARÂMETROS!$E$22</f>
        <v>381.33</v>
      </c>
      <c r="J27" s="228">
        <v>0.88500000000000001</v>
      </c>
      <c r="K27" s="227">
        <f>J27*PARÂMETROS!$E$22</f>
        <v>37.497450000000001</v>
      </c>
      <c r="L27" s="228">
        <v>2E-3</v>
      </c>
      <c r="M27" s="230">
        <f>L27*PARÂMETROS!$E$8</f>
        <v>6.1780000000000002E-2</v>
      </c>
      <c r="N27" s="228">
        <f t="shared" si="1"/>
        <v>0.09</v>
      </c>
      <c r="O27" s="230">
        <f>N27*PARÂMETROS!$E$8</f>
        <v>2.7801</v>
      </c>
      <c r="P27" s="228">
        <f t="shared" si="2"/>
        <v>8.8500000000000009E-2</v>
      </c>
      <c r="Q27" s="230">
        <f>P27*PARÂMETROS!$E$8</f>
        <v>2.7337650000000004</v>
      </c>
      <c r="R27" s="228">
        <f t="shared" si="3"/>
        <v>8.9999999999999993E-3</v>
      </c>
      <c r="S27" s="230">
        <f>R27*PARÂMETROS!$E$8</f>
        <v>0.27800999999999998</v>
      </c>
      <c r="T27" s="231">
        <v>2.4</v>
      </c>
      <c r="U27" s="230">
        <f>T27*PARÂMETROS!$E$27</f>
        <v>7.1999999999999993</v>
      </c>
      <c r="V27" s="299">
        <v>9.2799999999999994</v>
      </c>
      <c r="W27" s="230">
        <f>V27*PARÂMETROS!$E$29</f>
        <v>1664.2751999999998</v>
      </c>
      <c r="X27" s="299">
        <v>2.008</v>
      </c>
      <c r="Y27" s="230">
        <f>X27*PARÂMETROS!$E$31</f>
        <v>30.421200000000002</v>
      </c>
      <c r="Z27" s="228">
        <f t="shared" si="4"/>
        <v>0.09</v>
      </c>
      <c r="AA27" s="230">
        <f>Z27*PARÂMETROS!$E$8</f>
        <v>2.7801</v>
      </c>
      <c r="AB27" s="228">
        <f t="shared" si="5"/>
        <v>8.8500000000000002E-3</v>
      </c>
      <c r="AC27" s="230">
        <f>AB27*PARÂMETROS!$E$8</f>
        <v>0.27337650000000002</v>
      </c>
      <c r="AD27" s="23"/>
      <c r="AE27" s="23"/>
      <c r="AF27" s="232" t="s">
        <v>1405</v>
      </c>
      <c r="AG27" s="264">
        <f t="shared" si="6"/>
        <v>6106.4009814999999</v>
      </c>
      <c r="AH27" s="23"/>
      <c r="AI27" s="224" t="s">
        <v>266</v>
      </c>
      <c r="AJ27" s="291">
        <f>PARÂMETROS!$H$3</f>
        <v>40</v>
      </c>
      <c r="AK27" s="267">
        <v>8.3333333333333301E-2</v>
      </c>
      <c r="AL27" s="267">
        <v>0.13888888888888901</v>
      </c>
      <c r="AM27" s="267">
        <v>0.11111111111111099</v>
      </c>
      <c r="AN27" s="267">
        <v>6.9444444444444397E-3</v>
      </c>
      <c r="AO27" s="267">
        <v>2.0833333333333301E-2</v>
      </c>
      <c r="AP27" s="267">
        <v>6.9444444444444397E-3</v>
      </c>
      <c r="AQ27" s="267">
        <v>3.125E-2</v>
      </c>
      <c r="AR27" s="271">
        <v>1</v>
      </c>
      <c r="AS27" s="292">
        <f t="shared" si="7"/>
        <v>0.39930555555555552</v>
      </c>
      <c r="AT27" s="291">
        <f t="shared" si="8"/>
        <v>383.33333333333331</v>
      </c>
      <c r="AU27" s="272">
        <f t="shared" si="9"/>
        <v>383.33333333333331</v>
      </c>
      <c r="AW27" s="273">
        <f t="shared" si="10"/>
        <v>6106.4009814999999</v>
      </c>
      <c r="AX27" s="274">
        <f t="shared" si="11"/>
        <v>383.33333333333331</v>
      </c>
      <c r="AY27" s="275">
        <v>1</v>
      </c>
      <c r="AZ27" s="276">
        <f t="shared" si="12"/>
        <v>383.33333333333331</v>
      </c>
      <c r="BA27" s="293">
        <f t="shared" si="13"/>
        <v>6489.734314833333</v>
      </c>
      <c r="BB27" s="275">
        <v>1</v>
      </c>
      <c r="BV27" s="293">
        <v>80</v>
      </c>
      <c r="BW27" s="293">
        <f t="shared" si="14"/>
        <v>6569.734314833333</v>
      </c>
    </row>
    <row r="28" spans="1:75" ht="27" customHeight="1" x14ac:dyDescent="0.3">
      <c r="A28" s="224" t="s">
        <v>270</v>
      </c>
      <c r="B28" s="225" t="s">
        <v>1384</v>
      </c>
      <c r="C28" s="228">
        <v>150</v>
      </c>
      <c r="D28" s="263">
        <f>C28*D5</f>
        <v>2938.5</v>
      </c>
      <c r="E28" s="228">
        <v>68</v>
      </c>
      <c r="F28" s="263">
        <f>E28*F5</f>
        <v>1332.12</v>
      </c>
      <c r="G28" s="227">
        <f t="shared" si="0"/>
        <v>4270.62</v>
      </c>
      <c r="H28" s="228">
        <v>9.6999999999999993</v>
      </c>
      <c r="I28" s="227">
        <f>H28*PARÂMETROS!$E$22</f>
        <v>410.98899999999992</v>
      </c>
      <c r="J28" s="228">
        <v>0.96</v>
      </c>
      <c r="K28" s="227">
        <f>J28*PARÂMETROS!$E$22</f>
        <v>40.675199999999997</v>
      </c>
      <c r="L28" s="228">
        <v>2E-3</v>
      </c>
      <c r="M28" s="230">
        <f>L28*PARÂMETROS!$E$8</f>
        <v>6.1780000000000002E-2</v>
      </c>
      <c r="N28" s="228">
        <f t="shared" si="1"/>
        <v>9.6999999999999989E-2</v>
      </c>
      <c r="O28" s="230">
        <f>N28*PARÂMETROS!$E$8</f>
        <v>2.9963299999999995</v>
      </c>
      <c r="P28" s="228">
        <f t="shared" si="2"/>
        <v>9.6000000000000002E-2</v>
      </c>
      <c r="Q28" s="230">
        <f>P28*PARÂMETROS!$E$8</f>
        <v>2.9654400000000001</v>
      </c>
      <c r="R28" s="228">
        <f t="shared" si="3"/>
        <v>9.7000000000000003E-3</v>
      </c>
      <c r="S28" s="230">
        <f>R28*PARÂMETROS!$E$8</f>
        <v>0.29963300000000004</v>
      </c>
      <c r="T28" s="231">
        <v>2.5</v>
      </c>
      <c r="U28" s="230">
        <f>T28*PARÂMETROS!$E$27</f>
        <v>7.5</v>
      </c>
      <c r="V28" s="299">
        <v>10.039999999999999</v>
      </c>
      <c r="W28" s="230">
        <f>V28*PARÂMETROS!$E$29</f>
        <v>1800.5735999999999</v>
      </c>
      <c r="X28" s="299">
        <v>2.1680000000000001</v>
      </c>
      <c r="Y28" s="230">
        <f>X28*PARÂMETROS!$E$31</f>
        <v>32.845200000000006</v>
      </c>
      <c r="Z28" s="228">
        <f t="shared" si="4"/>
        <v>9.6999999999999989E-2</v>
      </c>
      <c r="AA28" s="230">
        <f>Z28*PARÂMETROS!$E$8</f>
        <v>2.9963299999999995</v>
      </c>
      <c r="AB28" s="228">
        <f t="shared" si="5"/>
        <v>9.5999999999999992E-3</v>
      </c>
      <c r="AC28" s="230">
        <f>AB28*PARÂMETROS!$E$8</f>
        <v>0.29654399999999997</v>
      </c>
      <c r="AF28" s="232" t="s">
        <v>1406</v>
      </c>
      <c r="AG28" s="264">
        <f t="shared" si="6"/>
        <v>6572.8190569999988</v>
      </c>
      <c r="AH28" s="23"/>
      <c r="AI28" s="224" t="s">
        <v>270</v>
      </c>
      <c r="AJ28" s="291">
        <f>PARÂMETROS!$H$3</f>
        <v>40</v>
      </c>
      <c r="AK28" s="267">
        <v>8.3333333333333301E-2</v>
      </c>
      <c r="AL28" s="267">
        <v>0.15277777777777801</v>
      </c>
      <c r="AM28" s="267">
        <v>0.11111111111111099</v>
      </c>
      <c r="AN28" s="267">
        <v>6.9444444444444397E-3</v>
      </c>
      <c r="AO28" s="267">
        <v>2.0833333333333301E-2</v>
      </c>
      <c r="AP28" s="267">
        <v>6.9444444444444397E-3</v>
      </c>
      <c r="AQ28" s="267">
        <v>3.125E-2</v>
      </c>
      <c r="AR28" s="271">
        <v>1</v>
      </c>
      <c r="AS28" s="292">
        <f t="shared" si="7"/>
        <v>0.41319444444444448</v>
      </c>
      <c r="AT28" s="291">
        <f t="shared" si="8"/>
        <v>396.66666666666669</v>
      </c>
      <c r="AU28" s="272">
        <f t="shared" si="9"/>
        <v>396.66666666666669</v>
      </c>
      <c r="AW28" s="273">
        <f t="shared" si="10"/>
        <v>6572.8190569999988</v>
      </c>
      <c r="AX28" s="274">
        <f t="shared" si="11"/>
        <v>396.66666666666669</v>
      </c>
      <c r="AY28" s="275">
        <v>1</v>
      </c>
      <c r="AZ28" s="276">
        <f t="shared" si="12"/>
        <v>396.66666666666669</v>
      </c>
      <c r="BA28" s="293">
        <f t="shared" si="13"/>
        <v>6969.4857236666658</v>
      </c>
      <c r="BB28" s="275">
        <v>1</v>
      </c>
      <c r="BV28" s="293">
        <v>80</v>
      </c>
      <c r="BW28" s="293">
        <f t="shared" si="14"/>
        <v>7049.4857236666658</v>
      </c>
    </row>
    <row r="29" spans="1:75" ht="27" customHeight="1" x14ac:dyDescent="0.3">
      <c r="A29" s="224" t="s">
        <v>274</v>
      </c>
      <c r="B29" s="225" t="s">
        <v>1384</v>
      </c>
      <c r="C29" s="228">
        <v>170</v>
      </c>
      <c r="D29" s="263">
        <f>C29*D5</f>
        <v>3330.3</v>
      </c>
      <c r="E29" s="228">
        <v>76.5</v>
      </c>
      <c r="F29" s="263">
        <f>E29*F5</f>
        <v>1498.635</v>
      </c>
      <c r="G29" s="227">
        <f t="shared" si="0"/>
        <v>4828.9350000000004</v>
      </c>
      <c r="H29" s="228">
        <v>10.4</v>
      </c>
      <c r="I29" s="227">
        <f>H29*PARÂMETROS!$E$22</f>
        <v>440.64799999999997</v>
      </c>
      <c r="J29" s="228">
        <v>1.079</v>
      </c>
      <c r="K29" s="227">
        <f>J29*PARÂMETROS!$E$22</f>
        <v>45.717229999999994</v>
      </c>
      <c r="L29" s="228">
        <v>2E-3</v>
      </c>
      <c r="M29" s="230">
        <f>L29*PARÂMETROS!$E$8</f>
        <v>6.1780000000000002E-2</v>
      </c>
      <c r="N29" s="228">
        <f t="shared" si="1"/>
        <v>0.10400000000000001</v>
      </c>
      <c r="O29" s="230">
        <f>N29*PARÂMETROS!$E$8</f>
        <v>3.2125600000000003</v>
      </c>
      <c r="P29" s="228">
        <f t="shared" si="2"/>
        <v>0.1079</v>
      </c>
      <c r="Q29" s="230">
        <f>P29*PARÂMETROS!$E$8</f>
        <v>3.3330310000000001</v>
      </c>
      <c r="R29" s="228">
        <f t="shared" si="3"/>
        <v>1.0400000000000001E-2</v>
      </c>
      <c r="S29" s="230">
        <f>R29*PARÂMETROS!$E$8</f>
        <v>0.32125600000000004</v>
      </c>
      <c r="T29" s="231">
        <v>2.6</v>
      </c>
      <c r="U29" s="230">
        <f>T29*PARÂMETROS!$E$27</f>
        <v>7.8000000000000007</v>
      </c>
      <c r="V29" s="299">
        <v>10.84</v>
      </c>
      <c r="W29" s="230">
        <f>V29*PARÂMETROS!$E$29</f>
        <v>1944.0455999999999</v>
      </c>
      <c r="X29" s="299">
        <v>2.488</v>
      </c>
      <c r="Y29" s="230">
        <f>X29*PARÂMETROS!$E$31</f>
        <v>37.693199999999997</v>
      </c>
      <c r="Z29" s="228">
        <f t="shared" si="4"/>
        <v>0.10400000000000001</v>
      </c>
      <c r="AA29" s="230">
        <f>Z29*PARÂMETROS!$E$8</f>
        <v>3.2125600000000003</v>
      </c>
      <c r="AB29" s="228">
        <f t="shared" si="5"/>
        <v>1.0789999999999999E-2</v>
      </c>
      <c r="AC29" s="230">
        <f>AB29*PARÂMETROS!$E$8</f>
        <v>0.33330309999999996</v>
      </c>
      <c r="AD29" s="23"/>
      <c r="AE29" s="23"/>
      <c r="AF29" s="232" t="s">
        <v>1407</v>
      </c>
      <c r="AG29" s="264">
        <f t="shared" si="6"/>
        <v>7315.3135201000005</v>
      </c>
      <c r="AH29" s="23"/>
      <c r="AI29" s="224" t="s">
        <v>274</v>
      </c>
      <c r="AJ29" s="291">
        <f>PARÂMETROS!$H$3</f>
        <v>40</v>
      </c>
      <c r="AK29" s="267">
        <v>8.3333333333333301E-2</v>
      </c>
      <c r="AL29" s="267">
        <v>0.15277777777777801</v>
      </c>
      <c r="AM29" s="267">
        <v>0.11111111111111099</v>
      </c>
      <c r="AN29" s="267">
        <v>6.9444444444444397E-3</v>
      </c>
      <c r="AO29" s="267">
        <v>2.0833333333333301E-2</v>
      </c>
      <c r="AP29" s="267">
        <v>6.9444444444444397E-3</v>
      </c>
      <c r="AQ29" s="267">
        <v>3.125E-2</v>
      </c>
      <c r="AR29" s="271">
        <v>1</v>
      </c>
      <c r="AS29" s="292">
        <f t="shared" si="7"/>
        <v>0.41319444444444448</v>
      </c>
      <c r="AT29" s="291">
        <f t="shared" si="8"/>
        <v>396.66666666666669</v>
      </c>
      <c r="AU29" s="272">
        <f t="shared" si="9"/>
        <v>396.66666666666669</v>
      </c>
      <c r="AW29" s="273">
        <f t="shared" si="10"/>
        <v>7315.3135201000005</v>
      </c>
      <c r="AX29" s="274">
        <f t="shared" si="11"/>
        <v>396.66666666666669</v>
      </c>
      <c r="AY29" s="275">
        <v>1</v>
      </c>
      <c r="AZ29" s="276">
        <f t="shared" si="12"/>
        <v>396.66666666666669</v>
      </c>
      <c r="BA29" s="293">
        <f t="shared" si="13"/>
        <v>7711.9801867666674</v>
      </c>
      <c r="BB29" s="275">
        <v>1</v>
      </c>
      <c r="BV29" s="293">
        <v>80</v>
      </c>
      <c r="BW29" s="293">
        <f t="shared" si="14"/>
        <v>7791.9801867666674</v>
      </c>
    </row>
    <row r="30" spans="1:75" ht="25.5" customHeight="1" x14ac:dyDescent="0.3">
      <c r="A30" s="224" t="s">
        <v>278</v>
      </c>
      <c r="B30" s="225" t="s">
        <v>1384</v>
      </c>
      <c r="C30" s="228">
        <v>200</v>
      </c>
      <c r="D30" s="263">
        <f>C30*D5</f>
        <v>3918</v>
      </c>
      <c r="E30" s="228">
        <v>90</v>
      </c>
      <c r="F30" s="263">
        <f>E30*F5</f>
        <v>1763.1</v>
      </c>
      <c r="G30" s="227">
        <f t="shared" si="0"/>
        <v>5681.1</v>
      </c>
      <c r="H30" s="228">
        <v>11.7</v>
      </c>
      <c r="I30" s="227">
        <f>H30*PARÂMETROS!$E$22</f>
        <v>495.72899999999993</v>
      </c>
      <c r="J30" s="228">
        <v>1.1599999999999999</v>
      </c>
      <c r="K30" s="227">
        <f>J30*PARÂMETROS!$E$22</f>
        <v>49.149199999999993</v>
      </c>
      <c r="L30" s="228">
        <v>2E-3</v>
      </c>
      <c r="M30" s="230">
        <f>L30*PARÂMETROS!$E$8</f>
        <v>6.1780000000000002E-2</v>
      </c>
      <c r="N30" s="228">
        <f t="shared" si="1"/>
        <v>0.11699999999999999</v>
      </c>
      <c r="O30" s="230">
        <f>N30*PARÂMETROS!$E$8</f>
        <v>3.6141299999999998</v>
      </c>
      <c r="P30" s="228">
        <f t="shared" si="2"/>
        <v>0.11599999999999999</v>
      </c>
      <c r="Q30" s="230">
        <f>P30*PARÂMETROS!$E$8</f>
        <v>3.58324</v>
      </c>
      <c r="R30" s="228">
        <f t="shared" si="3"/>
        <v>1.17E-2</v>
      </c>
      <c r="S30" s="230">
        <f>R30*PARÂMETROS!$E$8</f>
        <v>0.36141300000000004</v>
      </c>
      <c r="T30" s="231">
        <v>2.7</v>
      </c>
      <c r="U30" s="230">
        <f>T30*PARÂMETROS!$E$27</f>
        <v>8.1000000000000014</v>
      </c>
      <c r="V30" s="299">
        <v>12.44</v>
      </c>
      <c r="W30" s="230">
        <f>V30*PARÂMETROS!$E$29</f>
        <v>2230.9895999999999</v>
      </c>
      <c r="X30" s="299">
        <v>2.7509999999999999</v>
      </c>
      <c r="Y30" s="230">
        <f>X30*PARÂMETROS!$E$31</f>
        <v>41.67765</v>
      </c>
      <c r="Z30" s="228">
        <f t="shared" si="4"/>
        <v>0.11699999999999999</v>
      </c>
      <c r="AA30" s="230">
        <f>Z30*PARÂMETROS!$E$8</f>
        <v>3.6141299999999998</v>
      </c>
      <c r="AB30" s="228">
        <f t="shared" si="5"/>
        <v>1.1599999999999999E-2</v>
      </c>
      <c r="AC30" s="230">
        <f>AB30*PARÂMETROS!$E$8</f>
        <v>0.35832399999999998</v>
      </c>
      <c r="AF30" s="232" t="s">
        <v>1408</v>
      </c>
      <c r="AG30" s="264">
        <f t="shared" si="6"/>
        <v>8518.3384670000014</v>
      </c>
      <c r="AH30" s="23"/>
      <c r="AI30" s="224" t="s">
        <v>278</v>
      </c>
      <c r="AJ30" s="291">
        <f>PARÂMETROS!$H$3</f>
        <v>40</v>
      </c>
      <c r="AK30" s="267">
        <v>8.3333333333333301E-2</v>
      </c>
      <c r="AL30" s="267">
        <v>0.15277777777777801</v>
      </c>
      <c r="AM30" s="267">
        <v>0.11111111111111099</v>
      </c>
      <c r="AN30" s="267">
        <v>6.9444444444444397E-3</v>
      </c>
      <c r="AO30" s="267">
        <v>2.0833333333333301E-2</v>
      </c>
      <c r="AP30" s="267">
        <v>6.9444444444444397E-3</v>
      </c>
      <c r="AQ30" s="267">
        <v>3.125E-2</v>
      </c>
      <c r="AR30" s="271">
        <v>1</v>
      </c>
      <c r="AS30" s="292">
        <f t="shared" si="7"/>
        <v>0.41319444444444448</v>
      </c>
      <c r="AT30" s="291">
        <f t="shared" si="8"/>
        <v>396.66666666666669</v>
      </c>
      <c r="AU30" s="272">
        <f t="shared" si="9"/>
        <v>396.66666666666669</v>
      </c>
      <c r="AW30" s="273">
        <f t="shared" si="10"/>
        <v>8518.3384670000014</v>
      </c>
      <c r="AX30" s="274">
        <f t="shared" si="11"/>
        <v>396.66666666666669</v>
      </c>
      <c r="AY30" s="275">
        <v>1</v>
      </c>
      <c r="AZ30" s="276">
        <f t="shared" si="12"/>
        <v>396.66666666666669</v>
      </c>
      <c r="BA30" s="293">
        <f t="shared" si="13"/>
        <v>8915.0051336666675</v>
      </c>
      <c r="BB30" s="275">
        <v>1</v>
      </c>
      <c r="BV30" s="293">
        <v>80</v>
      </c>
      <c r="BW30" s="293">
        <f t="shared" si="14"/>
        <v>8995.0051336666675</v>
      </c>
    </row>
    <row r="31" spans="1:75" ht="25.5" customHeight="1" x14ac:dyDescent="0.3">
      <c r="A31" s="224" t="s">
        <v>196</v>
      </c>
      <c r="B31" s="225" t="s">
        <v>1409</v>
      </c>
      <c r="C31" s="228">
        <v>0.06</v>
      </c>
      <c r="D31" s="263">
        <f>C31*C5</f>
        <v>1.1754</v>
      </c>
      <c r="E31" s="228">
        <v>0.03</v>
      </c>
      <c r="F31" s="263">
        <f>E31*F5</f>
        <v>0.5877</v>
      </c>
      <c r="G31" s="227">
        <f t="shared" si="0"/>
        <v>1.7631000000000001</v>
      </c>
      <c r="H31" s="228">
        <v>0.1</v>
      </c>
      <c r="I31" s="227">
        <f>H31*PARÂMETROS!$E$22</f>
        <v>4.2370000000000001</v>
      </c>
      <c r="J31" s="228">
        <v>3.0000000000000001E-3</v>
      </c>
      <c r="K31" s="227">
        <f>J31*PARÂMETROS!$E$22</f>
        <v>0.12711</v>
      </c>
      <c r="L31" s="228">
        <v>2E-3</v>
      </c>
      <c r="M31" s="230">
        <f>L31*PARÂMETROS!$E$8</f>
        <v>6.1780000000000002E-2</v>
      </c>
      <c r="N31" s="228">
        <f t="shared" si="1"/>
        <v>1E-3</v>
      </c>
      <c r="O31" s="230">
        <f>N31*PARÂMETROS!$E$8</f>
        <v>3.0890000000000001E-2</v>
      </c>
      <c r="P31" s="228">
        <f t="shared" si="2"/>
        <v>3.0000000000000003E-4</v>
      </c>
      <c r="Q31" s="230">
        <f>P31*PARÂMETROS!$E$8</f>
        <v>9.2670000000000009E-3</v>
      </c>
      <c r="R31" s="228">
        <f t="shared" si="3"/>
        <v>1E-4</v>
      </c>
      <c r="S31" s="230">
        <f>R31*PARÂMETROS!$E$8</f>
        <v>3.0890000000000002E-3</v>
      </c>
      <c r="T31" s="231">
        <v>0.3</v>
      </c>
      <c r="U31" s="230">
        <f>T31*PARÂMETROS!$E$27</f>
        <v>0.89999999999999991</v>
      </c>
      <c r="V31" s="299">
        <v>0.129</v>
      </c>
      <c r="W31" s="230">
        <f>V31*PARÂMETROS!$E$28</f>
        <v>18.431519999999999</v>
      </c>
      <c r="X31" s="299">
        <v>2.5999999999999999E-2</v>
      </c>
      <c r="Y31" s="230">
        <f>X31*PARÂMETROS!$E$31</f>
        <v>0.39389999999999997</v>
      </c>
      <c r="Z31" s="228">
        <f t="shared" si="4"/>
        <v>1E-3</v>
      </c>
      <c r="AA31" s="230">
        <f>Z31*PARÂMETROS!$E$8</f>
        <v>3.0890000000000001E-2</v>
      </c>
      <c r="AB31" s="229">
        <f t="shared" si="5"/>
        <v>3.0000000000000001E-5</v>
      </c>
      <c r="AC31" s="230">
        <f>AB31*PARÂMETROS!$E$8</f>
        <v>9.2670000000000003E-4</v>
      </c>
      <c r="AD31" s="23"/>
      <c r="AE31" s="23"/>
      <c r="AF31" s="232" t="s">
        <v>1410</v>
      </c>
      <c r="AG31" s="264">
        <f t="shared" si="6"/>
        <v>25.989472699999997</v>
      </c>
      <c r="AH31" s="23"/>
      <c r="AI31" s="224" t="s">
        <v>196</v>
      </c>
      <c r="AJ31" s="291">
        <f>PARÂMETROS!$H$3</f>
        <v>40</v>
      </c>
      <c r="AK31" s="267">
        <v>2.1527777777777798E-2</v>
      </c>
      <c r="AL31" s="267">
        <v>1.7361111111111101E-2</v>
      </c>
      <c r="AM31" s="267">
        <v>3.4722222222222203E-2</v>
      </c>
      <c r="AN31" s="300"/>
      <c r="AO31" s="267">
        <v>2.0833333333333301E-2</v>
      </c>
      <c r="AP31" s="267">
        <v>6.9444444444444397E-3</v>
      </c>
      <c r="AQ31" s="267">
        <v>3.125E-2</v>
      </c>
      <c r="AR31" s="271">
        <v>4</v>
      </c>
      <c r="AS31" s="292">
        <f t="shared" si="7"/>
        <v>0.13263888888888886</v>
      </c>
      <c r="AT31" s="291">
        <f t="shared" si="8"/>
        <v>127.33333333333331</v>
      </c>
      <c r="AU31" s="272">
        <f t="shared" si="9"/>
        <v>31.833333333333329</v>
      </c>
      <c r="AW31" s="273">
        <f t="shared" si="10"/>
        <v>25.989472699999997</v>
      </c>
      <c r="AX31" s="274">
        <f t="shared" si="11"/>
        <v>127.33333333333331</v>
      </c>
      <c r="AY31" s="275">
        <v>4</v>
      </c>
      <c r="AZ31" s="276">
        <f t="shared" si="12"/>
        <v>31.833333333333329</v>
      </c>
      <c r="BA31" s="293">
        <f t="shared" si="13"/>
        <v>57.822806033333322</v>
      </c>
      <c r="BB31" s="275">
        <v>4</v>
      </c>
      <c r="BV31" s="293">
        <v>80</v>
      </c>
      <c r="BW31" s="293">
        <f t="shared" si="14"/>
        <v>137.82280603333334</v>
      </c>
    </row>
    <row r="32" spans="1:75" ht="25.5" customHeight="1" x14ac:dyDescent="0.3">
      <c r="A32" s="224" t="s">
        <v>200</v>
      </c>
      <c r="B32" s="225" t="s">
        <v>1409</v>
      </c>
      <c r="C32" s="228">
        <v>0.11</v>
      </c>
      <c r="D32" s="263">
        <f>C32*C5</f>
        <v>2.1549</v>
      </c>
      <c r="E32" s="228">
        <v>5.5E-2</v>
      </c>
      <c r="F32" s="263">
        <f>E32*F5</f>
        <v>1.07745</v>
      </c>
      <c r="G32" s="227">
        <f t="shared" si="0"/>
        <v>3.2323500000000003</v>
      </c>
      <c r="H32" s="228">
        <v>0.14000000000000001</v>
      </c>
      <c r="I32" s="227">
        <f>H32*PARÂMETROS!$E$22</f>
        <v>5.9318</v>
      </c>
      <c r="J32" s="228">
        <v>6.0000000000000001E-3</v>
      </c>
      <c r="K32" s="227">
        <f>J32*PARÂMETROS!$E$22</f>
        <v>0.25422</v>
      </c>
      <c r="L32" s="228">
        <v>2E-3</v>
      </c>
      <c r="M32" s="230">
        <f>L32*PARÂMETROS!$E$8</f>
        <v>6.1780000000000002E-2</v>
      </c>
      <c r="N32" s="228">
        <f t="shared" si="1"/>
        <v>1.4000000000000002E-3</v>
      </c>
      <c r="O32" s="230">
        <f>N32*PARÂMETROS!$E$8</f>
        <v>4.3246000000000007E-2</v>
      </c>
      <c r="P32" s="228">
        <f t="shared" si="2"/>
        <v>6.0000000000000006E-4</v>
      </c>
      <c r="Q32" s="230">
        <f>P32*PARÂMETROS!$E$8</f>
        <v>1.8534000000000002E-2</v>
      </c>
      <c r="R32" s="228">
        <f t="shared" si="3"/>
        <v>1.4000000000000001E-4</v>
      </c>
      <c r="S32" s="230">
        <f>R32*PARÂMETROS!$E$8</f>
        <v>4.3246000000000005E-3</v>
      </c>
      <c r="T32" s="231">
        <v>0.36</v>
      </c>
      <c r="U32" s="230">
        <f>T32*PARÂMETROS!$E$27</f>
        <v>1.08</v>
      </c>
      <c r="V32" s="299">
        <v>0.255</v>
      </c>
      <c r="W32" s="230">
        <f>V32*PARÂMETROS!$E$28</f>
        <v>36.434399999999997</v>
      </c>
      <c r="X32" s="299">
        <v>5.0999999999999997E-2</v>
      </c>
      <c r="Y32" s="230">
        <f>X32*PARÂMETROS!$E$31</f>
        <v>0.77264999999999995</v>
      </c>
      <c r="Z32" s="228">
        <f t="shared" si="4"/>
        <v>1.4000000000000002E-3</v>
      </c>
      <c r="AA32" s="230">
        <f>Z32*PARÂMETROS!$E$8</f>
        <v>4.3246000000000007E-2</v>
      </c>
      <c r="AB32" s="229">
        <f t="shared" si="5"/>
        <v>6.0000000000000002E-5</v>
      </c>
      <c r="AC32" s="230">
        <f>AB32*PARÂMETROS!$E$8</f>
        <v>1.8534000000000001E-3</v>
      </c>
      <c r="AF32" s="232" t="s">
        <v>1411</v>
      </c>
      <c r="AG32" s="264">
        <f t="shared" si="6"/>
        <v>47.878403999999996</v>
      </c>
      <c r="AH32" s="23"/>
      <c r="AI32" s="224" t="s">
        <v>200</v>
      </c>
      <c r="AJ32" s="291">
        <f>PARÂMETROS!$H$3</f>
        <v>40</v>
      </c>
      <c r="AK32" s="267">
        <v>2.1527777777777798E-2</v>
      </c>
      <c r="AL32" s="267">
        <v>1.7361111111111101E-2</v>
      </c>
      <c r="AM32" s="267">
        <v>3.4722222222222203E-2</v>
      </c>
      <c r="AN32" s="300"/>
      <c r="AO32" s="267">
        <v>2.0833333333333301E-2</v>
      </c>
      <c r="AP32" s="267">
        <v>6.9444444444444397E-3</v>
      </c>
      <c r="AQ32" s="267">
        <v>3.125E-2</v>
      </c>
      <c r="AR32" s="271">
        <v>4</v>
      </c>
      <c r="AS32" s="292">
        <f t="shared" si="7"/>
        <v>0.13263888888888886</v>
      </c>
      <c r="AT32" s="291">
        <f t="shared" si="8"/>
        <v>127.33333333333331</v>
      </c>
      <c r="AU32" s="272">
        <f t="shared" si="9"/>
        <v>31.833333333333329</v>
      </c>
      <c r="AW32" s="273">
        <f t="shared" si="10"/>
        <v>47.878403999999996</v>
      </c>
      <c r="AX32" s="274">
        <f t="shared" si="11"/>
        <v>127.33333333333331</v>
      </c>
      <c r="AY32" s="275">
        <v>4</v>
      </c>
      <c r="AZ32" s="276">
        <f t="shared" si="12"/>
        <v>31.833333333333329</v>
      </c>
      <c r="BA32" s="293">
        <f t="shared" si="13"/>
        <v>79.711737333333332</v>
      </c>
      <c r="BB32" s="275">
        <v>4</v>
      </c>
      <c r="BV32" s="293">
        <v>80</v>
      </c>
      <c r="BW32" s="293">
        <f t="shared" si="14"/>
        <v>159.71173733333333</v>
      </c>
    </row>
    <row r="33" spans="1:75" ht="25.5" customHeight="1" x14ac:dyDescent="0.3">
      <c r="A33" s="224" t="s">
        <v>185</v>
      </c>
      <c r="B33" s="225" t="s">
        <v>1409</v>
      </c>
      <c r="C33" s="228">
        <v>0.2</v>
      </c>
      <c r="D33" s="263">
        <f>C33*C5</f>
        <v>3.9180000000000001</v>
      </c>
      <c r="E33" s="228">
        <v>0.1</v>
      </c>
      <c r="F33" s="263">
        <f>E33*F5</f>
        <v>1.9590000000000001</v>
      </c>
      <c r="G33" s="227">
        <f t="shared" si="0"/>
        <v>5.8770000000000007</v>
      </c>
      <c r="H33" s="228">
        <v>0.26</v>
      </c>
      <c r="I33" s="227">
        <f>H33*PARÂMETROS!$E$22</f>
        <v>11.0162</v>
      </c>
      <c r="J33" s="228">
        <v>1.0999999999999999E-2</v>
      </c>
      <c r="K33" s="227">
        <f>J33*PARÂMETROS!$E$22</f>
        <v>0.46606999999999993</v>
      </c>
      <c r="L33" s="228">
        <v>2E-3</v>
      </c>
      <c r="M33" s="230">
        <f>L33*PARÂMETROS!$E$8</f>
        <v>6.1780000000000002E-2</v>
      </c>
      <c r="N33" s="228">
        <f t="shared" si="1"/>
        <v>2.6000000000000003E-3</v>
      </c>
      <c r="O33" s="230">
        <f>N33*PARÂMETROS!$E$8</f>
        <v>8.031400000000001E-2</v>
      </c>
      <c r="P33" s="228">
        <f t="shared" si="2"/>
        <v>1.1000000000000001E-3</v>
      </c>
      <c r="Q33" s="230">
        <f>P33*PARÂMETROS!$E$8</f>
        <v>3.3979000000000002E-2</v>
      </c>
      <c r="R33" s="228">
        <f t="shared" si="3"/>
        <v>2.6000000000000003E-4</v>
      </c>
      <c r="S33" s="230">
        <f>R33*PARÂMETROS!$E$8</f>
        <v>8.031400000000001E-3</v>
      </c>
      <c r="T33" s="231">
        <v>0.41</v>
      </c>
      <c r="U33" s="230">
        <f>T33*PARÂMETROS!$E$27</f>
        <v>1.23</v>
      </c>
      <c r="V33" s="299">
        <v>0.47599999999999998</v>
      </c>
      <c r="W33" s="230">
        <f>V33*PARÂMETROS!$E$28</f>
        <v>68.01088</v>
      </c>
      <c r="X33" s="299">
        <v>9.5000000000000001E-2</v>
      </c>
      <c r="Y33" s="230">
        <f>X33*PARÂMETROS!$E$31</f>
        <v>1.4392500000000001</v>
      </c>
      <c r="Z33" s="228">
        <f t="shared" si="4"/>
        <v>2.6000000000000003E-3</v>
      </c>
      <c r="AA33" s="230">
        <f>Z33*PARÂMETROS!$E$8</f>
        <v>8.031400000000001E-2</v>
      </c>
      <c r="AB33" s="229">
        <f t="shared" si="5"/>
        <v>1.0999999999999999E-4</v>
      </c>
      <c r="AC33" s="230">
        <f>AB33*PARÂMETROS!$E$8</f>
        <v>3.3978999999999997E-3</v>
      </c>
      <c r="AD33" s="23"/>
      <c r="AE33" s="23"/>
      <c r="AF33" s="232" t="s">
        <v>1412</v>
      </c>
      <c r="AG33" s="264">
        <f t="shared" si="6"/>
        <v>88.307216300000007</v>
      </c>
      <c r="AH33" s="23"/>
      <c r="AI33" s="224" t="s">
        <v>185</v>
      </c>
      <c r="AJ33" s="291">
        <f>PARÂMETROS!$H$3</f>
        <v>40</v>
      </c>
      <c r="AK33" s="267">
        <v>2.1527777777777798E-2</v>
      </c>
      <c r="AL33" s="267">
        <v>1.7361111111111101E-2</v>
      </c>
      <c r="AM33" s="267">
        <v>3.4722222222222203E-2</v>
      </c>
      <c r="AN33" s="300"/>
      <c r="AO33" s="267">
        <v>2.0833333333333301E-2</v>
      </c>
      <c r="AP33" s="267">
        <v>6.9444444444444397E-3</v>
      </c>
      <c r="AQ33" s="267">
        <v>3.125E-2</v>
      </c>
      <c r="AR33" s="271">
        <v>4</v>
      </c>
      <c r="AS33" s="292">
        <f t="shared" si="7"/>
        <v>0.13263888888888886</v>
      </c>
      <c r="AT33" s="291">
        <f t="shared" si="8"/>
        <v>127.33333333333331</v>
      </c>
      <c r="AU33" s="272">
        <f t="shared" si="9"/>
        <v>31.833333333333329</v>
      </c>
      <c r="AW33" s="273">
        <f t="shared" si="10"/>
        <v>88.307216300000007</v>
      </c>
      <c r="AX33" s="274">
        <f t="shared" si="11"/>
        <v>127.33333333333331</v>
      </c>
      <c r="AY33" s="275">
        <v>3</v>
      </c>
      <c r="AZ33" s="276">
        <f t="shared" si="12"/>
        <v>42.444444444444436</v>
      </c>
      <c r="BA33" s="293">
        <f t="shared" si="13"/>
        <v>130.75166074444445</v>
      </c>
      <c r="BB33" s="275">
        <v>3</v>
      </c>
      <c r="BV33" s="293">
        <v>80</v>
      </c>
      <c r="BW33" s="293">
        <f t="shared" si="14"/>
        <v>210.75166074444445</v>
      </c>
    </row>
    <row r="34" spans="1:75" ht="25.5" customHeight="1" x14ac:dyDescent="0.3">
      <c r="A34" s="224" t="s">
        <v>39</v>
      </c>
      <c r="B34" s="225" t="s">
        <v>1409</v>
      </c>
      <c r="C34" s="228">
        <v>0.75</v>
      </c>
      <c r="D34" s="263">
        <f>C34*C5</f>
        <v>14.692499999999999</v>
      </c>
      <c r="E34" s="228">
        <v>0.375</v>
      </c>
      <c r="F34" s="263">
        <f>E34*F5</f>
        <v>7.3462499999999995</v>
      </c>
      <c r="G34" s="227">
        <f t="shared" si="0"/>
        <v>22.03875</v>
      </c>
      <c r="H34" s="228">
        <v>0.5</v>
      </c>
      <c r="I34" s="227">
        <f>H34*PARÂMETROS!$E$22</f>
        <v>21.184999999999999</v>
      </c>
      <c r="J34" s="228">
        <v>2.5000000000000001E-2</v>
      </c>
      <c r="K34" s="227">
        <f>J34*PARÂMETROS!$E$22</f>
        <v>1.05925</v>
      </c>
      <c r="L34" s="228">
        <v>2E-3</v>
      </c>
      <c r="M34" s="230">
        <f>L34*PARÂMETROS!$E$8</f>
        <v>6.1780000000000002E-2</v>
      </c>
      <c r="N34" s="228">
        <f t="shared" si="1"/>
        <v>5.0000000000000001E-3</v>
      </c>
      <c r="O34" s="230">
        <f>N34*PARÂMETROS!$E$8</f>
        <v>0.15445</v>
      </c>
      <c r="P34" s="228">
        <f t="shared" si="2"/>
        <v>2.5000000000000005E-3</v>
      </c>
      <c r="Q34" s="230">
        <f>P34*PARÂMETROS!$E$8</f>
        <v>7.7225000000000016E-2</v>
      </c>
      <c r="R34" s="228">
        <f t="shared" si="3"/>
        <v>5.0000000000000001E-4</v>
      </c>
      <c r="S34" s="230">
        <f>R34*PARÂMETROS!$E$8</f>
        <v>1.5445E-2</v>
      </c>
      <c r="T34" s="231">
        <v>0.82</v>
      </c>
      <c r="U34" s="230">
        <f>T34*PARÂMETROS!$E$27</f>
        <v>2.46</v>
      </c>
      <c r="V34" s="299">
        <v>0.78</v>
      </c>
      <c r="W34" s="230">
        <f>V34*PARÂMETROS!$E$29</f>
        <v>139.8852</v>
      </c>
      <c r="X34" s="299">
        <v>0.156</v>
      </c>
      <c r="Y34" s="230">
        <f>X34*PARÂMETROS!$E$31</f>
        <v>2.3633999999999999</v>
      </c>
      <c r="Z34" s="228">
        <f t="shared" si="4"/>
        <v>5.0000000000000001E-3</v>
      </c>
      <c r="AA34" s="230">
        <f>Z34*PARÂMETROS!$E$8</f>
        <v>0.15445</v>
      </c>
      <c r="AB34" s="229">
        <f t="shared" si="5"/>
        <v>2.5000000000000001E-4</v>
      </c>
      <c r="AC34" s="230">
        <f>AB34*PARÂMETROS!$E$8</f>
        <v>7.7225000000000002E-3</v>
      </c>
      <c r="AF34" s="232" t="s">
        <v>1413</v>
      </c>
      <c r="AG34" s="264">
        <f t="shared" si="6"/>
        <v>189.4626725</v>
      </c>
      <c r="AH34" s="23"/>
      <c r="AI34" s="224" t="s">
        <v>39</v>
      </c>
      <c r="AJ34" s="291">
        <f>PARÂMETROS!$H$3</f>
        <v>40</v>
      </c>
      <c r="AK34" s="267">
        <v>2.1527777777777798E-2</v>
      </c>
      <c r="AL34" s="267">
        <v>1.7361111111111101E-2</v>
      </c>
      <c r="AM34" s="267">
        <v>3.4722222222222203E-2</v>
      </c>
      <c r="AN34" s="300"/>
      <c r="AO34" s="267">
        <v>2.0833333333333301E-2</v>
      </c>
      <c r="AP34" s="267">
        <v>6.9444444444444397E-3</v>
      </c>
      <c r="AQ34" s="267">
        <v>3.125E-2</v>
      </c>
      <c r="AR34" s="271">
        <v>4</v>
      </c>
      <c r="AS34" s="292">
        <f t="shared" si="7"/>
        <v>0.13263888888888886</v>
      </c>
      <c r="AT34" s="291">
        <f t="shared" si="8"/>
        <v>127.33333333333331</v>
      </c>
      <c r="AU34" s="272">
        <f t="shared" si="9"/>
        <v>31.833333333333329</v>
      </c>
      <c r="AW34" s="273">
        <f t="shared" si="10"/>
        <v>189.4626725</v>
      </c>
      <c r="AX34" s="274">
        <f t="shared" si="11"/>
        <v>127.33333333333331</v>
      </c>
      <c r="AY34" s="275">
        <v>3</v>
      </c>
      <c r="AZ34" s="276">
        <f t="shared" si="12"/>
        <v>42.444444444444436</v>
      </c>
      <c r="BA34" s="293">
        <f t="shared" si="13"/>
        <v>231.90711694444443</v>
      </c>
      <c r="BB34" s="275">
        <v>3</v>
      </c>
      <c r="BV34" s="293">
        <v>80</v>
      </c>
      <c r="BW34" s="293">
        <f t="shared" si="14"/>
        <v>311.9071169444444</v>
      </c>
    </row>
    <row r="35" spans="1:75" ht="25.5" customHeight="1" x14ac:dyDescent="0.3">
      <c r="A35" s="224" t="s">
        <v>300</v>
      </c>
      <c r="B35" s="225" t="s">
        <v>1409</v>
      </c>
      <c r="C35" s="228">
        <v>1.1100000000000001</v>
      </c>
      <c r="D35" s="263">
        <f>C35*C5</f>
        <v>21.744900000000001</v>
      </c>
      <c r="E35" s="228">
        <v>0.55000000000000004</v>
      </c>
      <c r="F35" s="263">
        <f>E35*F5</f>
        <v>10.774500000000002</v>
      </c>
      <c r="G35" s="227">
        <f t="shared" si="0"/>
        <v>32.519400000000005</v>
      </c>
      <c r="H35" s="228">
        <v>0.65</v>
      </c>
      <c r="I35" s="227">
        <f>H35*PARÂMETROS!$E$22</f>
        <v>27.540499999999998</v>
      </c>
      <c r="J35" s="228">
        <v>3.2000000000000001E-2</v>
      </c>
      <c r="K35" s="227">
        <f>J35*PARÂMETROS!$E$22</f>
        <v>1.3558399999999999</v>
      </c>
      <c r="L35" s="228">
        <v>2E-3</v>
      </c>
      <c r="M35" s="230">
        <f>L35*PARÂMETROS!$E$8</f>
        <v>6.1780000000000002E-2</v>
      </c>
      <c r="N35" s="228">
        <f t="shared" si="1"/>
        <v>6.5000000000000006E-3</v>
      </c>
      <c r="O35" s="230">
        <f>N35*PARÂMETROS!$E$8</f>
        <v>0.20078500000000002</v>
      </c>
      <c r="P35" s="228">
        <f t="shared" si="2"/>
        <v>3.2000000000000002E-3</v>
      </c>
      <c r="Q35" s="230">
        <f>P35*PARÂMETROS!$E$8</f>
        <v>9.8848000000000005E-2</v>
      </c>
      <c r="R35" s="228">
        <f t="shared" si="3"/>
        <v>6.5000000000000008E-4</v>
      </c>
      <c r="S35" s="230">
        <f>R35*PARÂMETROS!$E$8</f>
        <v>2.0078500000000003E-2</v>
      </c>
      <c r="T35" s="231">
        <v>0.86</v>
      </c>
      <c r="U35" s="230">
        <f>T35*PARÂMETROS!$E$27</f>
        <v>2.58</v>
      </c>
      <c r="V35" s="299">
        <v>1.24</v>
      </c>
      <c r="W35" s="230">
        <f>V35*PARÂMETROS!$E$29</f>
        <v>222.38159999999999</v>
      </c>
      <c r="X35" s="299">
        <v>0.248</v>
      </c>
      <c r="Y35" s="230">
        <f>X35*PARÂMETROS!$E$31</f>
        <v>3.7572000000000001</v>
      </c>
      <c r="Z35" s="228">
        <f t="shared" si="4"/>
        <v>6.5000000000000006E-3</v>
      </c>
      <c r="AA35" s="230">
        <f>Z35*PARÂMETROS!$E$8</f>
        <v>0.20078500000000002</v>
      </c>
      <c r="AB35" s="229">
        <f t="shared" si="5"/>
        <v>3.2000000000000003E-4</v>
      </c>
      <c r="AC35" s="230">
        <f>AB35*PARÂMETROS!$E$8</f>
        <v>9.8848000000000009E-3</v>
      </c>
      <c r="AD35" s="23"/>
      <c r="AE35" s="23"/>
      <c r="AF35" s="232" t="s">
        <v>1414</v>
      </c>
      <c r="AG35" s="264">
        <f t="shared" si="6"/>
        <v>290.7267013</v>
      </c>
      <c r="AH35" s="23"/>
      <c r="AI35" s="224" t="s">
        <v>300</v>
      </c>
      <c r="AJ35" s="291">
        <f>PARÂMETROS!$H$3</f>
        <v>40</v>
      </c>
      <c r="AK35" s="267">
        <v>2.1527777777777798E-2</v>
      </c>
      <c r="AL35" s="267">
        <v>1.7361111111111101E-2</v>
      </c>
      <c r="AM35" s="267">
        <v>1.7361111111111101E-2</v>
      </c>
      <c r="AN35" s="300"/>
      <c r="AO35" s="267">
        <v>2.0833333333333301E-2</v>
      </c>
      <c r="AP35" s="267">
        <v>6.9444444444444397E-3</v>
      </c>
      <c r="AQ35" s="267">
        <v>3.125E-2</v>
      </c>
      <c r="AR35" s="271">
        <v>2</v>
      </c>
      <c r="AS35" s="292">
        <f t="shared" si="7"/>
        <v>0.11527777777777774</v>
      </c>
      <c r="AT35" s="291">
        <f t="shared" si="8"/>
        <v>110.66666666666663</v>
      </c>
      <c r="AU35" s="272">
        <f t="shared" si="9"/>
        <v>55.333333333333314</v>
      </c>
      <c r="AW35" s="273">
        <f t="shared" si="10"/>
        <v>290.7267013</v>
      </c>
      <c r="AX35" s="274">
        <f t="shared" si="11"/>
        <v>110.66666666666663</v>
      </c>
      <c r="AY35" s="275">
        <v>3</v>
      </c>
      <c r="AZ35" s="276">
        <f t="shared" si="12"/>
        <v>36.888888888888879</v>
      </c>
      <c r="BA35" s="293">
        <f t="shared" si="13"/>
        <v>327.61559018888886</v>
      </c>
      <c r="BB35" s="275">
        <v>3</v>
      </c>
      <c r="BV35" s="293">
        <v>80</v>
      </c>
      <c r="BW35" s="293">
        <f t="shared" si="14"/>
        <v>407.61559018888886</v>
      </c>
    </row>
    <row r="36" spans="1:75" ht="25.5" customHeight="1" x14ac:dyDescent="0.3">
      <c r="A36" s="224" t="s">
        <v>41</v>
      </c>
      <c r="B36" s="225" t="s">
        <v>1409</v>
      </c>
      <c r="C36" s="228">
        <v>1.55</v>
      </c>
      <c r="D36" s="263">
        <f>C36*C5</f>
        <v>30.3645</v>
      </c>
      <c r="E36" s="228">
        <v>0.77500000000000002</v>
      </c>
      <c r="F36" s="263">
        <f>E36*F5</f>
        <v>15.18225</v>
      </c>
      <c r="G36" s="227">
        <f t="shared" si="0"/>
        <v>45.546750000000003</v>
      </c>
      <c r="H36" s="228">
        <v>0.8</v>
      </c>
      <c r="I36" s="227">
        <f>H36*PARÂMETROS!$E$22</f>
        <v>33.896000000000001</v>
      </c>
      <c r="J36" s="228">
        <v>4.2000000000000003E-2</v>
      </c>
      <c r="K36" s="227">
        <f>J36*PARÂMETROS!$E$22</f>
        <v>1.7795399999999999</v>
      </c>
      <c r="L36" s="228">
        <v>2E-3</v>
      </c>
      <c r="M36" s="230">
        <f>L36*PARÂMETROS!$E$8</f>
        <v>6.1780000000000002E-2</v>
      </c>
      <c r="N36" s="228">
        <f t="shared" si="1"/>
        <v>8.0000000000000002E-3</v>
      </c>
      <c r="O36" s="230">
        <f>N36*PARÂMETROS!$E$8</f>
        <v>0.24712000000000001</v>
      </c>
      <c r="P36" s="228">
        <f t="shared" si="2"/>
        <v>4.2000000000000006E-3</v>
      </c>
      <c r="Q36" s="230">
        <f>P36*PARÂMETROS!$E$8</f>
        <v>0.12973800000000002</v>
      </c>
      <c r="R36" s="228">
        <f t="shared" si="3"/>
        <v>8.0000000000000004E-4</v>
      </c>
      <c r="S36" s="230">
        <f>R36*PARÂMETROS!$E$8</f>
        <v>2.4712000000000001E-2</v>
      </c>
      <c r="T36" s="231">
        <v>0.92</v>
      </c>
      <c r="U36" s="230">
        <f>T36*PARÂMETROS!$E$27</f>
        <v>2.7600000000000002</v>
      </c>
      <c r="V36" s="299">
        <v>1.35</v>
      </c>
      <c r="W36" s="230">
        <f>V36*PARÂMETROS!$E$29</f>
        <v>242.10900000000001</v>
      </c>
      <c r="X36" s="299">
        <v>0.27</v>
      </c>
      <c r="Y36" s="230">
        <f>X36*PARÂMETROS!$E$31</f>
        <v>4.0905000000000005</v>
      </c>
      <c r="Z36" s="228">
        <f t="shared" si="4"/>
        <v>8.0000000000000002E-3</v>
      </c>
      <c r="AA36" s="230">
        <f>Z36*PARÂMETROS!$E$8</f>
        <v>0.24712000000000001</v>
      </c>
      <c r="AB36" s="229">
        <f t="shared" si="5"/>
        <v>4.2000000000000002E-4</v>
      </c>
      <c r="AC36" s="230">
        <f>AB36*PARÂMETROS!$E$8</f>
        <v>1.2973800000000001E-2</v>
      </c>
      <c r="AF36" s="232" t="s">
        <v>1415</v>
      </c>
      <c r="AG36" s="264">
        <f t="shared" si="6"/>
        <v>330.90523380000002</v>
      </c>
      <c r="AH36" s="23"/>
      <c r="AI36" s="224" t="s">
        <v>41</v>
      </c>
      <c r="AJ36" s="291">
        <f>PARÂMETROS!$H$3</f>
        <v>40</v>
      </c>
      <c r="AK36" s="267">
        <v>2.1527777777777798E-2</v>
      </c>
      <c r="AL36" s="267">
        <v>1.7361111111111101E-2</v>
      </c>
      <c r="AM36" s="267">
        <v>1.7361111111111101E-2</v>
      </c>
      <c r="AN36" s="300"/>
      <c r="AO36" s="267">
        <v>2.0833333333333301E-2</v>
      </c>
      <c r="AP36" s="267">
        <v>6.9444444444444397E-3</v>
      </c>
      <c r="AQ36" s="267">
        <v>3.125E-2</v>
      </c>
      <c r="AR36" s="271">
        <v>2</v>
      </c>
      <c r="AS36" s="292">
        <f t="shared" si="7"/>
        <v>0.11527777777777774</v>
      </c>
      <c r="AT36" s="291">
        <f t="shared" si="8"/>
        <v>110.66666666666663</v>
      </c>
      <c r="AU36" s="272">
        <f t="shared" si="9"/>
        <v>55.333333333333314</v>
      </c>
      <c r="AW36" s="273">
        <f t="shared" si="10"/>
        <v>330.90523380000002</v>
      </c>
      <c r="AX36" s="274">
        <f t="shared" si="11"/>
        <v>110.66666666666663</v>
      </c>
      <c r="AY36" s="275">
        <v>2</v>
      </c>
      <c r="AZ36" s="276">
        <f t="shared" si="12"/>
        <v>55.333333333333314</v>
      </c>
      <c r="BA36" s="293">
        <f t="shared" si="13"/>
        <v>386.23856713333333</v>
      </c>
      <c r="BB36" s="275">
        <v>2</v>
      </c>
      <c r="BV36" s="293">
        <v>80</v>
      </c>
      <c r="BW36" s="293">
        <f t="shared" si="14"/>
        <v>466.23856713333333</v>
      </c>
    </row>
    <row r="37" spans="1:75" ht="25.5" customHeight="1" x14ac:dyDescent="0.3">
      <c r="A37" s="224" t="s">
        <v>43</v>
      </c>
      <c r="B37" s="225" t="s">
        <v>1409</v>
      </c>
      <c r="C37" s="228">
        <v>3.22</v>
      </c>
      <c r="D37" s="263">
        <f>C37*C5</f>
        <v>63.079800000000006</v>
      </c>
      <c r="E37" s="228">
        <v>1.61</v>
      </c>
      <c r="F37" s="263">
        <f>E37*F5</f>
        <v>31.539900000000003</v>
      </c>
      <c r="G37" s="227">
        <f t="shared" si="0"/>
        <v>94.619700000000009</v>
      </c>
      <c r="H37" s="228">
        <v>1</v>
      </c>
      <c r="I37" s="227">
        <f>H37*PARÂMETROS!$E$22</f>
        <v>42.37</v>
      </c>
      <c r="J37" s="228">
        <v>6.5000000000000002E-2</v>
      </c>
      <c r="K37" s="227">
        <f>J37*PARÂMETROS!$E$22</f>
        <v>2.7540499999999999</v>
      </c>
      <c r="L37" s="228">
        <v>2E-3</v>
      </c>
      <c r="M37" s="230">
        <f>L37*PARÂMETROS!$E$8</f>
        <v>6.1780000000000002E-2</v>
      </c>
      <c r="N37" s="228">
        <f t="shared" si="1"/>
        <v>0.01</v>
      </c>
      <c r="O37" s="230">
        <f>N37*PARÂMETROS!$E$8</f>
        <v>0.30890000000000001</v>
      </c>
      <c r="P37" s="228">
        <f t="shared" si="2"/>
        <v>6.5000000000000006E-3</v>
      </c>
      <c r="Q37" s="230">
        <f>P37*PARÂMETROS!$E$8</f>
        <v>0.20078500000000002</v>
      </c>
      <c r="R37" s="228">
        <f t="shared" si="3"/>
        <v>1E-3</v>
      </c>
      <c r="S37" s="230">
        <f>R37*PARÂMETROS!$E$8</f>
        <v>3.0890000000000001E-2</v>
      </c>
      <c r="T37" s="231">
        <v>1.02</v>
      </c>
      <c r="U37" s="230">
        <f>T37*PARÂMETROS!$E$27</f>
        <v>3.06</v>
      </c>
      <c r="V37" s="299">
        <v>1.7250000000000001</v>
      </c>
      <c r="W37" s="230">
        <f>V37*PARÂMETROS!$E$29</f>
        <v>309.36150000000004</v>
      </c>
      <c r="X37" s="299">
        <v>0.34499999999999997</v>
      </c>
      <c r="Y37" s="230">
        <f>X37*PARÂMETROS!$E$31</f>
        <v>5.22675</v>
      </c>
      <c r="Z37" s="228">
        <f t="shared" si="4"/>
        <v>0.01</v>
      </c>
      <c r="AA37" s="230">
        <f>Z37*PARÂMETROS!$E$8</f>
        <v>0.30890000000000001</v>
      </c>
      <c r="AB37" s="228">
        <f t="shared" si="5"/>
        <v>6.5000000000000008E-4</v>
      </c>
      <c r="AC37" s="230">
        <f>AB37*PARÂMETROS!$E$8</f>
        <v>2.0078500000000003E-2</v>
      </c>
      <c r="AD37" s="23"/>
      <c r="AE37" s="23"/>
      <c r="AF37" s="232" t="s">
        <v>1416</v>
      </c>
      <c r="AG37" s="264">
        <f t="shared" si="6"/>
        <v>458.32333349999999</v>
      </c>
      <c r="AH37" s="23"/>
      <c r="AI37" s="224" t="s">
        <v>43</v>
      </c>
      <c r="AJ37" s="291">
        <f>PARÂMETROS!$H$3</f>
        <v>40</v>
      </c>
      <c r="AK37" s="267">
        <v>2.1527777777777798E-2</v>
      </c>
      <c r="AL37" s="267">
        <v>1.7361111111111101E-2</v>
      </c>
      <c r="AM37" s="267">
        <v>1.7361111111111101E-2</v>
      </c>
      <c r="AN37" s="267">
        <v>6.9444444444444397E-3</v>
      </c>
      <c r="AO37" s="267">
        <v>2.0833333333333301E-2</v>
      </c>
      <c r="AP37" s="267">
        <v>6.9444444444444397E-3</v>
      </c>
      <c r="AQ37" s="267">
        <v>3.125E-2</v>
      </c>
      <c r="AR37" s="271">
        <v>2</v>
      </c>
      <c r="AS37" s="292">
        <f t="shared" si="7"/>
        <v>0.12222222222222219</v>
      </c>
      <c r="AT37" s="291">
        <f t="shared" si="8"/>
        <v>117.3333333333333</v>
      </c>
      <c r="AU37" s="272">
        <f t="shared" si="9"/>
        <v>58.66666666666665</v>
      </c>
      <c r="AW37" s="273">
        <f t="shared" si="10"/>
        <v>458.32333349999999</v>
      </c>
      <c r="AX37" s="274">
        <f t="shared" si="11"/>
        <v>117.3333333333333</v>
      </c>
      <c r="AY37" s="275">
        <v>2</v>
      </c>
      <c r="AZ37" s="276">
        <f t="shared" si="12"/>
        <v>58.66666666666665</v>
      </c>
      <c r="BA37" s="293">
        <f t="shared" si="13"/>
        <v>516.99000016666662</v>
      </c>
      <c r="BB37" s="275">
        <v>2</v>
      </c>
      <c r="BV37" s="293">
        <v>80</v>
      </c>
      <c r="BW37" s="293">
        <f t="shared" si="14"/>
        <v>596.99000016666662</v>
      </c>
    </row>
    <row r="38" spans="1:75" ht="25.5" customHeight="1" x14ac:dyDescent="0.3">
      <c r="A38" s="224" t="s">
        <v>45</v>
      </c>
      <c r="B38" s="225" t="s">
        <v>1409</v>
      </c>
      <c r="C38" s="228">
        <v>5.3140000000000001</v>
      </c>
      <c r="D38" s="263">
        <f>C38*C5</f>
        <v>104.10126</v>
      </c>
      <c r="E38" s="228">
        <v>2.657</v>
      </c>
      <c r="F38" s="263">
        <f>E38*F5</f>
        <v>52.050629999999998</v>
      </c>
      <c r="G38" s="227">
        <f t="shared" si="0"/>
        <v>156.15188999999998</v>
      </c>
      <c r="H38" s="228">
        <v>1.4</v>
      </c>
      <c r="I38" s="227">
        <f>H38*PARÂMETROS!$E$22</f>
        <v>59.317999999999991</v>
      </c>
      <c r="J38" s="228">
        <v>9.1999999999999998E-2</v>
      </c>
      <c r="K38" s="227">
        <f>J38*PARÂMETROS!$E$22</f>
        <v>3.8980399999999995</v>
      </c>
      <c r="L38" s="228">
        <v>2E-3</v>
      </c>
      <c r="M38" s="230">
        <f>L38*PARÂMETROS!$E$8</f>
        <v>6.1780000000000002E-2</v>
      </c>
      <c r="N38" s="228">
        <f t="shared" si="1"/>
        <v>1.3999999999999999E-2</v>
      </c>
      <c r="O38" s="230">
        <f>N38*PARÂMETROS!$E$8</f>
        <v>0.43245999999999996</v>
      </c>
      <c r="P38" s="228">
        <f t="shared" si="2"/>
        <v>9.1999999999999998E-3</v>
      </c>
      <c r="Q38" s="230">
        <f>P38*PARÂMETROS!$E$8</f>
        <v>0.284188</v>
      </c>
      <c r="R38" s="228">
        <f t="shared" si="3"/>
        <v>1.4E-3</v>
      </c>
      <c r="S38" s="230">
        <f>R38*PARÂMETROS!$E$8</f>
        <v>4.3246E-2</v>
      </c>
      <c r="T38" s="231">
        <v>1.1200000000000001</v>
      </c>
      <c r="U38" s="230">
        <f>T38*PARÂMETROS!$E$27</f>
        <v>3.3600000000000003</v>
      </c>
      <c r="V38" s="299">
        <v>2.3250000000000002</v>
      </c>
      <c r="W38" s="230">
        <f>V38*PARÂMETROS!$E$29</f>
        <v>416.96550000000002</v>
      </c>
      <c r="X38" s="299">
        <v>0.46500000000000002</v>
      </c>
      <c r="Y38" s="230">
        <f>X38*PARÂMETROS!$E$31</f>
        <v>7.0447500000000005</v>
      </c>
      <c r="Z38" s="228">
        <f t="shared" si="4"/>
        <v>1.3999999999999999E-2</v>
      </c>
      <c r="AA38" s="230">
        <f>Z38*PARÂMETROS!$E$8</f>
        <v>0.43245999999999996</v>
      </c>
      <c r="AB38" s="228">
        <f t="shared" si="5"/>
        <v>9.2000000000000003E-4</v>
      </c>
      <c r="AC38" s="230">
        <f>AB38*PARÂMETROS!$E$8</f>
        <v>2.8418800000000001E-2</v>
      </c>
      <c r="AF38" s="232" t="s">
        <v>1417</v>
      </c>
      <c r="AG38" s="264">
        <f t="shared" si="6"/>
        <v>648.02073280000013</v>
      </c>
      <c r="AH38" s="23"/>
      <c r="AI38" s="224" t="s">
        <v>45</v>
      </c>
      <c r="AJ38" s="291">
        <f>PARÂMETROS!$H$3</f>
        <v>40</v>
      </c>
      <c r="AK38" s="267">
        <v>2.1527777777777798E-2</v>
      </c>
      <c r="AL38" s="267">
        <v>1.7361111111111101E-2</v>
      </c>
      <c r="AM38" s="267">
        <v>1.7361111111111101E-2</v>
      </c>
      <c r="AN38" s="267">
        <v>6.9444444444444397E-3</v>
      </c>
      <c r="AO38" s="267">
        <v>2.0833333333333301E-2</v>
      </c>
      <c r="AP38" s="267">
        <v>6.9444444444444397E-3</v>
      </c>
      <c r="AQ38" s="267">
        <v>3.125E-2</v>
      </c>
      <c r="AR38" s="271">
        <v>2</v>
      </c>
      <c r="AS38" s="292">
        <f t="shared" si="7"/>
        <v>0.12222222222222219</v>
      </c>
      <c r="AT38" s="291">
        <f t="shared" si="8"/>
        <v>117.3333333333333</v>
      </c>
      <c r="AU38" s="272">
        <f t="shared" si="9"/>
        <v>58.66666666666665</v>
      </c>
      <c r="AW38" s="273">
        <f t="shared" si="10"/>
        <v>648.02073280000013</v>
      </c>
      <c r="AX38" s="274">
        <f t="shared" si="11"/>
        <v>117.3333333333333</v>
      </c>
      <c r="AY38" s="275">
        <v>2</v>
      </c>
      <c r="AZ38" s="276">
        <f t="shared" si="12"/>
        <v>58.66666666666665</v>
      </c>
      <c r="BA38" s="293">
        <f t="shared" si="13"/>
        <v>706.68739946666676</v>
      </c>
      <c r="BB38" s="275">
        <v>2</v>
      </c>
      <c r="BV38" s="293">
        <v>80</v>
      </c>
      <c r="BW38" s="293">
        <f t="shared" si="14"/>
        <v>786.68739946666676</v>
      </c>
    </row>
    <row r="39" spans="1:75" ht="25.5" customHeight="1" x14ac:dyDescent="0.3">
      <c r="A39" s="224" t="s">
        <v>47</v>
      </c>
      <c r="B39" s="225" t="s">
        <v>1409</v>
      </c>
      <c r="C39" s="228">
        <v>7.8</v>
      </c>
      <c r="D39" s="263">
        <f>C39*C5</f>
        <v>152.80199999999999</v>
      </c>
      <c r="E39" s="228">
        <v>3.9</v>
      </c>
      <c r="F39" s="263">
        <f>E39*F5</f>
        <v>76.400999999999996</v>
      </c>
      <c r="G39" s="227">
        <f t="shared" si="0"/>
        <v>229.20299999999997</v>
      </c>
      <c r="H39" s="228">
        <v>1.8</v>
      </c>
      <c r="I39" s="227">
        <f>H39*PARÂMETROS!$E$22</f>
        <v>76.265999999999991</v>
      </c>
      <c r="J39" s="228">
        <v>0.124</v>
      </c>
      <c r="K39" s="227">
        <f>J39*PARÂMETROS!$E$22</f>
        <v>5.2538799999999997</v>
      </c>
      <c r="L39" s="228">
        <v>2E-3</v>
      </c>
      <c r="M39" s="230">
        <f>L39*PARÂMETROS!$E$8</f>
        <v>6.1780000000000002E-2</v>
      </c>
      <c r="N39" s="228">
        <f t="shared" si="1"/>
        <v>1.8000000000000002E-2</v>
      </c>
      <c r="O39" s="230">
        <f>N39*PARÂMETROS!$E$8</f>
        <v>0.55602000000000007</v>
      </c>
      <c r="P39" s="228">
        <f t="shared" si="2"/>
        <v>1.2400000000000001E-2</v>
      </c>
      <c r="Q39" s="230">
        <f>P39*PARÂMETROS!$E$8</f>
        <v>0.38303600000000004</v>
      </c>
      <c r="R39" s="228">
        <f t="shared" si="3"/>
        <v>1.8000000000000004E-3</v>
      </c>
      <c r="S39" s="230">
        <f>R39*PARÂMETROS!$E$8</f>
        <v>5.5602000000000013E-2</v>
      </c>
      <c r="T39" s="231">
        <v>1.22</v>
      </c>
      <c r="U39" s="230">
        <f>T39*PARÂMETROS!$E$27</f>
        <v>3.66</v>
      </c>
      <c r="V39" s="299">
        <v>3.03</v>
      </c>
      <c r="W39" s="230">
        <f>V39*PARÂMETROS!$E$29</f>
        <v>543.40019999999993</v>
      </c>
      <c r="X39" s="299">
        <v>0.60599999999999998</v>
      </c>
      <c r="Y39" s="230">
        <f>X39*PARÂMETROS!$E$31</f>
        <v>9.1808999999999994</v>
      </c>
      <c r="Z39" s="228">
        <f t="shared" si="4"/>
        <v>1.8000000000000002E-2</v>
      </c>
      <c r="AA39" s="230">
        <f>Z39*PARÂMETROS!$E$8</f>
        <v>0.55602000000000007</v>
      </c>
      <c r="AB39" s="228">
        <f t="shared" si="5"/>
        <v>1.24E-3</v>
      </c>
      <c r="AC39" s="230">
        <f>AB39*PARÂMETROS!$E$8</f>
        <v>3.83036E-2</v>
      </c>
      <c r="AD39" s="23"/>
      <c r="AE39" s="23"/>
      <c r="AF39" s="232" t="s">
        <v>1418</v>
      </c>
      <c r="AG39" s="264">
        <f t="shared" si="6"/>
        <v>868.61474159999977</v>
      </c>
      <c r="AH39" s="23"/>
      <c r="AI39" s="224" t="s">
        <v>47</v>
      </c>
      <c r="AJ39" s="291">
        <f>PARÂMETROS!$H$3</f>
        <v>40</v>
      </c>
      <c r="AK39" s="267">
        <v>2.1527777777777798E-2</v>
      </c>
      <c r="AL39" s="267">
        <v>2.7777777777777801E-2</v>
      </c>
      <c r="AM39" s="267">
        <v>2.7777777777777801E-2</v>
      </c>
      <c r="AN39" s="267">
        <v>6.9444444444444397E-3</v>
      </c>
      <c r="AO39" s="267">
        <v>2.0833333333333301E-2</v>
      </c>
      <c r="AP39" s="267">
        <v>6.9444444444444397E-3</v>
      </c>
      <c r="AQ39" s="267">
        <v>3.125E-2</v>
      </c>
      <c r="AR39" s="271">
        <v>1</v>
      </c>
      <c r="AS39" s="292">
        <f t="shared" si="7"/>
        <v>0.1430555555555556</v>
      </c>
      <c r="AT39" s="291">
        <f t="shared" si="8"/>
        <v>137.33333333333337</v>
      </c>
      <c r="AU39" s="272">
        <f t="shared" si="9"/>
        <v>137.33333333333337</v>
      </c>
      <c r="AW39" s="273">
        <f t="shared" si="10"/>
        <v>868.61474159999977</v>
      </c>
      <c r="AX39" s="274">
        <f t="shared" si="11"/>
        <v>137.33333333333337</v>
      </c>
      <c r="AY39" s="275">
        <v>1</v>
      </c>
      <c r="AZ39" s="276">
        <f t="shared" si="12"/>
        <v>137.33333333333337</v>
      </c>
      <c r="BA39" s="293">
        <f t="shared" si="13"/>
        <v>1005.9480749333331</v>
      </c>
      <c r="BB39" s="275">
        <v>1</v>
      </c>
      <c r="BV39" s="293">
        <v>80</v>
      </c>
      <c r="BW39" s="293">
        <f t="shared" si="14"/>
        <v>1085.9480749333331</v>
      </c>
    </row>
    <row r="40" spans="1:75" ht="25.5" customHeight="1" x14ac:dyDescent="0.3">
      <c r="A40" s="224" t="s">
        <v>222</v>
      </c>
      <c r="B40" s="225" t="s">
        <v>1409</v>
      </c>
      <c r="C40" s="228">
        <v>10.4</v>
      </c>
      <c r="D40" s="263">
        <f>C40*C5</f>
        <v>203.73600000000002</v>
      </c>
      <c r="E40" s="228">
        <v>5.2</v>
      </c>
      <c r="F40" s="263">
        <f>E40*F5</f>
        <v>101.86800000000001</v>
      </c>
      <c r="G40" s="227">
        <f t="shared" si="0"/>
        <v>305.60400000000004</v>
      </c>
      <c r="H40" s="228">
        <v>2.5</v>
      </c>
      <c r="I40" s="227">
        <f>H40*PARÂMETROS!$E$22</f>
        <v>105.925</v>
      </c>
      <c r="J40" s="228">
        <v>0.161</v>
      </c>
      <c r="K40" s="227">
        <f>J40*PARÂMETROS!$E$22</f>
        <v>6.8215699999999995</v>
      </c>
      <c r="L40" s="228">
        <v>2E-3</v>
      </c>
      <c r="M40" s="230">
        <f>L40*PARÂMETROS!$E$8</f>
        <v>6.1780000000000002E-2</v>
      </c>
      <c r="N40" s="228">
        <f t="shared" si="1"/>
        <v>2.5000000000000001E-2</v>
      </c>
      <c r="O40" s="230">
        <f>N40*PARÂMETROS!$E$8</f>
        <v>0.7722500000000001</v>
      </c>
      <c r="P40" s="228">
        <f t="shared" si="2"/>
        <v>1.61E-2</v>
      </c>
      <c r="Q40" s="230">
        <f>P40*PARÂMETROS!$E$8</f>
        <v>0.49732900000000002</v>
      </c>
      <c r="R40" s="228">
        <f t="shared" si="3"/>
        <v>2.5000000000000005E-3</v>
      </c>
      <c r="S40" s="230">
        <f>R40*PARÂMETROS!$E$8</f>
        <v>7.7225000000000016E-2</v>
      </c>
      <c r="T40" s="231">
        <v>1.31</v>
      </c>
      <c r="U40" s="230">
        <f>T40*PARÂMETROS!$E$27</f>
        <v>3.93</v>
      </c>
      <c r="V40" s="299">
        <v>3.21</v>
      </c>
      <c r="W40" s="230">
        <f>V40*PARÂMETROS!$E$29</f>
        <v>575.68140000000005</v>
      </c>
      <c r="X40" s="299">
        <v>0.64200000000000002</v>
      </c>
      <c r="Y40" s="230">
        <f>X40*PARÂMETROS!$E$31</f>
        <v>9.7263000000000002</v>
      </c>
      <c r="Z40" s="228">
        <f t="shared" si="4"/>
        <v>2.5000000000000001E-2</v>
      </c>
      <c r="AA40" s="230">
        <f>Z40*PARÂMETROS!$E$8</f>
        <v>0.7722500000000001</v>
      </c>
      <c r="AB40" s="228">
        <f t="shared" si="5"/>
        <v>1.6100000000000001E-3</v>
      </c>
      <c r="AC40" s="230">
        <f>AB40*PARÂMETROS!$E$8</f>
        <v>4.9732900000000003E-2</v>
      </c>
      <c r="AF40" s="232" t="s">
        <v>1419</v>
      </c>
      <c r="AG40" s="264">
        <f t="shared" si="6"/>
        <v>1009.9188369000001</v>
      </c>
      <c r="AH40" s="23"/>
      <c r="AI40" s="224" t="s">
        <v>222</v>
      </c>
      <c r="AJ40" s="291">
        <f>PARÂMETROS!$H$3</f>
        <v>40</v>
      </c>
      <c r="AK40" s="267">
        <v>2.1527777777777798E-2</v>
      </c>
      <c r="AL40" s="267">
        <v>2.7777777777777801E-2</v>
      </c>
      <c r="AM40" s="267">
        <v>2.7777777777777801E-2</v>
      </c>
      <c r="AN40" s="267">
        <v>6.9444444444444397E-3</v>
      </c>
      <c r="AO40" s="267">
        <v>2.0833333333333301E-2</v>
      </c>
      <c r="AP40" s="267">
        <v>6.9444444444444397E-3</v>
      </c>
      <c r="AQ40" s="267">
        <v>3.125E-2</v>
      </c>
      <c r="AR40" s="271">
        <v>1</v>
      </c>
      <c r="AS40" s="292">
        <f t="shared" si="7"/>
        <v>0.1430555555555556</v>
      </c>
      <c r="AT40" s="291">
        <f t="shared" si="8"/>
        <v>137.33333333333337</v>
      </c>
      <c r="AU40" s="272">
        <f t="shared" si="9"/>
        <v>137.33333333333337</v>
      </c>
      <c r="AW40" s="273">
        <f t="shared" si="10"/>
        <v>1009.9188369000001</v>
      </c>
      <c r="AX40" s="274">
        <f t="shared" si="11"/>
        <v>137.33333333333337</v>
      </c>
      <c r="AY40" s="275">
        <v>1</v>
      </c>
      <c r="AZ40" s="276">
        <f t="shared" si="12"/>
        <v>137.33333333333337</v>
      </c>
      <c r="BA40" s="293">
        <f t="shared" si="13"/>
        <v>1147.2521702333333</v>
      </c>
      <c r="BB40" s="275">
        <v>1</v>
      </c>
      <c r="BV40" s="293">
        <v>80</v>
      </c>
      <c r="BW40" s="293">
        <f t="shared" si="14"/>
        <v>1227.2521702333333</v>
      </c>
    </row>
    <row r="41" spans="1:75" ht="25.5" customHeight="1" x14ac:dyDescent="0.3">
      <c r="A41" s="224" t="s">
        <v>226</v>
      </c>
      <c r="B41" s="225" t="s">
        <v>1409</v>
      </c>
      <c r="C41" s="228">
        <v>18</v>
      </c>
      <c r="D41" s="263">
        <f>C41*C5</f>
        <v>352.62</v>
      </c>
      <c r="E41" s="228">
        <v>9</v>
      </c>
      <c r="F41" s="263">
        <f>E41*F5</f>
        <v>176.31</v>
      </c>
      <c r="G41" s="227">
        <f t="shared" si="0"/>
        <v>528.93000000000006</v>
      </c>
      <c r="H41" s="228">
        <v>3</v>
      </c>
      <c r="I41" s="227">
        <f>H41*PARÂMETROS!$E$22</f>
        <v>127.10999999999999</v>
      </c>
      <c r="J41" s="228">
        <v>0.19400000000000001</v>
      </c>
      <c r="K41" s="227">
        <f>J41*PARÂMETROS!$E$22</f>
        <v>8.2197800000000001</v>
      </c>
      <c r="L41" s="228">
        <v>2E-3</v>
      </c>
      <c r="M41" s="230">
        <f>L41*PARÂMETROS!$E$8</f>
        <v>6.1780000000000002E-2</v>
      </c>
      <c r="N41" s="228">
        <f t="shared" si="1"/>
        <v>0.03</v>
      </c>
      <c r="O41" s="230">
        <f>N41*PARÂMETROS!$E$8</f>
        <v>0.92669999999999997</v>
      </c>
      <c r="P41" s="228">
        <f t="shared" si="2"/>
        <v>1.9400000000000001E-2</v>
      </c>
      <c r="Q41" s="230">
        <f>P41*PARÂMETROS!$E$8</f>
        <v>0.59926600000000008</v>
      </c>
      <c r="R41" s="228">
        <f t="shared" si="3"/>
        <v>3.0000000000000001E-3</v>
      </c>
      <c r="S41" s="230">
        <f>R41*PARÂMETROS!$E$8</f>
        <v>9.2670000000000002E-2</v>
      </c>
      <c r="T41" s="231">
        <v>1.4</v>
      </c>
      <c r="U41" s="230">
        <f>T41*PARÂMETROS!$E$27</f>
        <v>4.1999999999999993</v>
      </c>
      <c r="V41" s="299">
        <v>4.3049999999999997</v>
      </c>
      <c r="W41" s="230">
        <f>V41*PARÂMETROS!$E$29</f>
        <v>772.05869999999993</v>
      </c>
      <c r="X41" s="299">
        <v>0.86099999999999999</v>
      </c>
      <c r="Y41" s="230">
        <f>X41*PARÂMETROS!$E$31</f>
        <v>13.04415</v>
      </c>
      <c r="Z41" s="228">
        <f t="shared" si="4"/>
        <v>0.03</v>
      </c>
      <c r="AA41" s="230">
        <f>Z41*PARÂMETROS!$E$8</f>
        <v>0.92669999999999997</v>
      </c>
      <c r="AB41" s="228">
        <f t="shared" si="5"/>
        <v>1.9400000000000001E-3</v>
      </c>
      <c r="AC41" s="230">
        <f>AB41*PARÂMETROS!$E$8</f>
        <v>5.9926600000000003E-2</v>
      </c>
      <c r="AD41" s="23"/>
      <c r="AE41" s="23"/>
      <c r="AF41" s="232" t="s">
        <v>1420</v>
      </c>
      <c r="AG41" s="264">
        <f t="shared" si="6"/>
        <v>1456.2296725999997</v>
      </c>
      <c r="AH41" s="23"/>
      <c r="AI41" s="224" t="s">
        <v>226</v>
      </c>
      <c r="AJ41" s="291">
        <f>PARÂMETROS!$H$3</f>
        <v>40</v>
      </c>
      <c r="AK41" s="267">
        <v>2.1527777777777798E-2</v>
      </c>
      <c r="AL41" s="267">
        <v>2.7777777777777801E-2</v>
      </c>
      <c r="AM41" s="267">
        <v>2.7777777777777801E-2</v>
      </c>
      <c r="AN41" s="267">
        <v>6.9444444444444397E-3</v>
      </c>
      <c r="AO41" s="267">
        <v>2.0833333333333301E-2</v>
      </c>
      <c r="AP41" s="267">
        <v>6.9444444444444397E-3</v>
      </c>
      <c r="AQ41" s="267">
        <v>3.125E-2</v>
      </c>
      <c r="AR41" s="271">
        <v>1</v>
      </c>
      <c r="AS41" s="292">
        <f t="shared" si="7"/>
        <v>0.1430555555555556</v>
      </c>
      <c r="AT41" s="291">
        <f t="shared" si="8"/>
        <v>137.33333333333337</v>
      </c>
      <c r="AU41" s="272">
        <f t="shared" si="9"/>
        <v>137.33333333333337</v>
      </c>
      <c r="AW41" s="273">
        <f t="shared" si="10"/>
        <v>1456.2296725999997</v>
      </c>
      <c r="AX41" s="274">
        <f t="shared" si="11"/>
        <v>137.33333333333337</v>
      </c>
      <c r="AY41" s="275">
        <v>1</v>
      </c>
      <c r="AZ41" s="276">
        <f t="shared" si="12"/>
        <v>137.33333333333337</v>
      </c>
      <c r="BA41" s="293">
        <f t="shared" si="13"/>
        <v>1593.563005933333</v>
      </c>
      <c r="BB41" s="275">
        <v>1</v>
      </c>
      <c r="BV41" s="293">
        <v>80</v>
      </c>
      <c r="BW41" s="293">
        <f t="shared" si="14"/>
        <v>1673.563005933333</v>
      </c>
    </row>
    <row r="42" spans="1:75" ht="25.5" customHeight="1" x14ac:dyDescent="0.3">
      <c r="A42" s="224" t="s">
        <v>230</v>
      </c>
      <c r="B42" s="225" t="s">
        <v>1409</v>
      </c>
      <c r="C42" s="228">
        <v>24</v>
      </c>
      <c r="D42" s="263">
        <f>C42*C5</f>
        <v>470.15999999999997</v>
      </c>
      <c r="E42" s="228">
        <v>12</v>
      </c>
      <c r="F42" s="263">
        <f>E42*F5</f>
        <v>235.07999999999998</v>
      </c>
      <c r="G42" s="227">
        <f t="shared" si="0"/>
        <v>705.24</v>
      </c>
      <c r="H42" s="228">
        <v>3.4</v>
      </c>
      <c r="I42" s="227">
        <f>H42*PARÂMETROS!$E$22</f>
        <v>144.05799999999999</v>
      </c>
      <c r="J42" s="228">
        <v>0.25</v>
      </c>
      <c r="K42" s="227">
        <f>J42*PARÂMETROS!$E$22</f>
        <v>10.592499999999999</v>
      </c>
      <c r="L42" s="228">
        <v>2E-3</v>
      </c>
      <c r="M42" s="230">
        <f>L42*PARÂMETROS!$E$8</f>
        <v>6.1780000000000002E-2</v>
      </c>
      <c r="N42" s="228">
        <f t="shared" si="1"/>
        <v>3.4000000000000002E-2</v>
      </c>
      <c r="O42" s="230">
        <f>N42*PARÂMETROS!$E$8</f>
        <v>1.0502600000000002</v>
      </c>
      <c r="P42" s="228">
        <f t="shared" si="2"/>
        <v>2.5000000000000001E-2</v>
      </c>
      <c r="Q42" s="230">
        <f>P42*PARÂMETROS!$E$8</f>
        <v>0.7722500000000001</v>
      </c>
      <c r="R42" s="228">
        <f t="shared" si="3"/>
        <v>3.4000000000000002E-3</v>
      </c>
      <c r="S42" s="230">
        <f>R42*PARÂMETROS!$E$8</f>
        <v>0.10502600000000001</v>
      </c>
      <c r="T42" s="231">
        <v>1.52</v>
      </c>
      <c r="U42" s="230">
        <f>T42*PARÂMETROS!$E$27</f>
        <v>4.5600000000000005</v>
      </c>
      <c r="V42" s="299">
        <v>5.48</v>
      </c>
      <c r="W42" s="230">
        <f>V42*PARÂMETROS!$E$29</f>
        <v>982.78320000000008</v>
      </c>
      <c r="X42" s="299">
        <v>1.0960000000000001</v>
      </c>
      <c r="Y42" s="230">
        <f>X42*PARÂMETROS!$E$31</f>
        <v>16.604400000000002</v>
      </c>
      <c r="Z42" s="228">
        <f t="shared" si="4"/>
        <v>3.4000000000000002E-2</v>
      </c>
      <c r="AA42" s="230">
        <f>Z42*PARÂMETROS!$E$8</f>
        <v>1.0502600000000002</v>
      </c>
      <c r="AB42" s="228">
        <f t="shared" si="5"/>
        <v>2.5000000000000001E-3</v>
      </c>
      <c r="AC42" s="230">
        <f>AB42*PARÂMETROS!$E$8</f>
        <v>7.7225000000000002E-2</v>
      </c>
      <c r="AF42" s="232" t="s">
        <v>1421</v>
      </c>
      <c r="AG42" s="264">
        <f t="shared" si="6"/>
        <v>1866.9549010000001</v>
      </c>
      <c r="AH42" s="23"/>
      <c r="AI42" s="224" t="s">
        <v>230</v>
      </c>
      <c r="AJ42" s="291">
        <f>PARÂMETROS!$H$3</f>
        <v>40</v>
      </c>
      <c r="AK42" s="267">
        <v>2.1527777777777798E-2</v>
      </c>
      <c r="AL42" s="267">
        <v>4.1666666666666699E-2</v>
      </c>
      <c r="AM42" s="267">
        <v>3.4722222222222203E-2</v>
      </c>
      <c r="AN42" s="267">
        <v>6.9444444444444397E-3</v>
      </c>
      <c r="AO42" s="267">
        <v>2.0833333333333301E-2</v>
      </c>
      <c r="AP42" s="267">
        <v>6.9444444444444397E-3</v>
      </c>
      <c r="AQ42" s="267">
        <v>3.125E-2</v>
      </c>
      <c r="AR42" s="271">
        <v>1</v>
      </c>
      <c r="AS42" s="292">
        <f t="shared" si="7"/>
        <v>0.16388888888888892</v>
      </c>
      <c r="AT42" s="291">
        <f t="shared" si="8"/>
        <v>157.33333333333337</v>
      </c>
      <c r="AU42" s="272">
        <f t="shared" si="9"/>
        <v>157.33333333333337</v>
      </c>
      <c r="AW42" s="273">
        <f t="shared" si="10"/>
        <v>1866.9549010000001</v>
      </c>
      <c r="AX42" s="274">
        <f t="shared" si="11"/>
        <v>157.33333333333337</v>
      </c>
      <c r="AY42" s="275">
        <v>1</v>
      </c>
      <c r="AZ42" s="276">
        <f t="shared" si="12"/>
        <v>157.33333333333337</v>
      </c>
      <c r="BA42" s="293">
        <f t="shared" si="13"/>
        <v>2024.2882343333335</v>
      </c>
      <c r="BB42" s="275">
        <v>1</v>
      </c>
      <c r="BV42" s="293">
        <v>80</v>
      </c>
      <c r="BW42" s="293">
        <f t="shared" si="14"/>
        <v>2104.2882343333335</v>
      </c>
    </row>
    <row r="43" spans="1:75" ht="25.5" customHeight="1" x14ac:dyDescent="0.3">
      <c r="A43" s="224" t="s">
        <v>234</v>
      </c>
      <c r="B43" s="225" t="s">
        <v>1409</v>
      </c>
      <c r="C43" s="228">
        <v>34</v>
      </c>
      <c r="D43" s="263">
        <f>C43*C5</f>
        <v>666.06</v>
      </c>
      <c r="E43" s="228">
        <v>17</v>
      </c>
      <c r="F43" s="263">
        <f>E43*F5</f>
        <v>333.03</v>
      </c>
      <c r="G43" s="227">
        <f t="shared" si="0"/>
        <v>999.08999999999992</v>
      </c>
      <c r="H43" s="228">
        <v>3.9</v>
      </c>
      <c r="I43" s="227">
        <f>H43*PARÂMETROS!$E$22</f>
        <v>165.24299999999999</v>
      </c>
      <c r="J43" s="228">
        <v>0.30099999999999999</v>
      </c>
      <c r="K43" s="227">
        <f>J43*PARÂMETROS!$E$22</f>
        <v>12.753369999999999</v>
      </c>
      <c r="L43" s="228">
        <v>2E-3</v>
      </c>
      <c r="M43" s="230">
        <f>L43*PARÂMETROS!$E$8</f>
        <v>6.1780000000000002E-2</v>
      </c>
      <c r="N43" s="228">
        <f t="shared" si="1"/>
        <v>3.9E-2</v>
      </c>
      <c r="O43" s="230">
        <f>N43*PARÂMETROS!$E$8</f>
        <v>1.2047099999999999</v>
      </c>
      <c r="P43" s="228">
        <f t="shared" si="2"/>
        <v>3.0100000000000002E-2</v>
      </c>
      <c r="Q43" s="230">
        <f>P43*PARÂMETROS!$E$8</f>
        <v>0.92978900000000009</v>
      </c>
      <c r="R43" s="228">
        <f t="shared" si="3"/>
        <v>3.9000000000000003E-3</v>
      </c>
      <c r="S43" s="230">
        <f>R43*PARÂMETROS!$E$8</f>
        <v>0.12047100000000001</v>
      </c>
      <c r="T43" s="231">
        <v>1.62</v>
      </c>
      <c r="U43" s="230">
        <f>T43*PARÂMETROS!$E$27</f>
        <v>4.8600000000000003</v>
      </c>
      <c r="V43" s="299">
        <v>4.2</v>
      </c>
      <c r="W43" s="230">
        <f>V43*PARÂMETROS!$E$29</f>
        <v>753.22800000000007</v>
      </c>
      <c r="X43" s="299">
        <v>0.84</v>
      </c>
      <c r="Y43" s="230">
        <f>X43*PARÂMETROS!$E$31</f>
        <v>12.725999999999999</v>
      </c>
      <c r="Z43" s="228">
        <f t="shared" si="4"/>
        <v>3.9E-2</v>
      </c>
      <c r="AA43" s="230">
        <f>Z43*PARÂMETROS!$E$8</f>
        <v>1.2047099999999999</v>
      </c>
      <c r="AB43" s="228">
        <f t="shared" si="5"/>
        <v>3.0100000000000001E-3</v>
      </c>
      <c r="AC43" s="230">
        <f>AB43*PARÂMETROS!$E$8</f>
        <v>9.2978900000000003E-2</v>
      </c>
      <c r="AD43" s="23"/>
      <c r="AE43" s="23"/>
      <c r="AF43" s="232" t="s">
        <v>1422</v>
      </c>
      <c r="AG43" s="264">
        <f t="shared" si="6"/>
        <v>1951.5148088999997</v>
      </c>
      <c r="AH43" s="23"/>
      <c r="AI43" s="224" t="s">
        <v>234</v>
      </c>
      <c r="AJ43" s="291">
        <f>PARÂMETROS!$H$3</f>
        <v>40</v>
      </c>
      <c r="AK43" s="267">
        <v>2.1527777777777798E-2</v>
      </c>
      <c r="AL43" s="267">
        <v>4.1666666666666699E-2</v>
      </c>
      <c r="AM43" s="267">
        <v>8.3333333333333301E-2</v>
      </c>
      <c r="AN43" s="267">
        <v>6.9444444444444397E-3</v>
      </c>
      <c r="AO43" s="267">
        <v>2.0833333333333301E-2</v>
      </c>
      <c r="AP43" s="267">
        <v>6.9444444444444397E-3</v>
      </c>
      <c r="AQ43" s="267">
        <v>3.125E-2</v>
      </c>
      <c r="AR43" s="271">
        <v>1</v>
      </c>
      <c r="AS43" s="292">
        <f t="shared" si="7"/>
        <v>0.21249999999999997</v>
      </c>
      <c r="AT43" s="291">
        <f t="shared" si="8"/>
        <v>203.99999999999994</v>
      </c>
      <c r="AU43" s="272">
        <f t="shared" si="9"/>
        <v>203.99999999999994</v>
      </c>
      <c r="AW43" s="273">
        <f t="shared" si="10"/>
        <v>1951.5148088999997</v>
      </c>
      <c r="AX43" s="274">
        <f t="shared" si="11"/>
        <v>203.99999999999994</v>
      </c>
      <c r="AY43" s="275">
        <v>1</v>
      </c>
      <c r="AZ43" s="276">
        <f t="shared" si="12"/>
        <v>203.99999999999994</v>
      </c>
      <c r="BA43" s="293">
        <f t="shared" si="13"/>
        <v>2155.5148088999995</v>
      </c>
      <c r="BB43" s="275">
        <v>1</v>
      </c>
      <c r="BV43" s="293">
        <v>80</v>
      </c>
      <c r="BW43" s="293">
        <f t="shared" si="14"/>
        <v>2235.5148088999995</v>
      </c>
    </row>
    <row r="44" spans="1:75" ht="25.5" customHeight="1" x14ac:dyDescent="0.3">
      <c r="A44" s="224" t="s">
        <v>238</v>
      </c>
      <c r="B44" s="225" t="s">
        <v>1409</v>
      </c>
      <c r="C44" s="228">
        <v>40</v>
      </c>
      <c r="D44" s="263">
        <f>C44*C5</f>
        <v>783.6</v>
      </c>
      <c r="E44" s="228">
        <v>20</v>
      </c>
      <c r="F44" s="263">
        <f>E44*F5</f>
        <v>391.8</v>
      </c>
      <c r="G44" s="227">
        <f t="shared" si="0"/>
        <v>1175.4000000000001</v>
      </c>
      <c r="H44" s="228">
        <v>4.5</v>
      </c>
      <c r="I44" s="227">
        <f>H44*PARÂMETROS!$E$22</f>
        <v>190.66499999999999</v>
      </c>
      <c r="J44" s="228">
        <v>0.35699999999999998</v>
      </c>
      <c r="K44" s="227">
        <f>J44*PARÂMETROS!$E$22</f>
        <v>15.126089999999998</v>
      </c>
      <c r="L44" s="228">
        <v>2E-3</v>
      </c>
      <c r="M44" s="230">
        <f>L44*PARÂMETROS!$E$8</f>
        <v>6.1780000000000002E-2</v>
      </c>
      <c r="N44" s="228">
        <f t="shared" si="1"/>
        <v>4.4999999999999998E-2</v>
      </c>
      <c r="O44" s="230">
        <f>N44*PARÂMETROS!$E$8</f>
        <v>1.39005</v>
      </c>
      <c r="P44" s="228">
        <f t="shared" si="2"/>
        <v>3.5700000000000003E-2</v>
      </c>
      <c r="Q44" s="230">
        <f>P44*PARÂMETROS!$E$8</f>
        <v>1.102773</v>
      </c>
      <c r="R44" s="228">
        <f t="shared" si="3"/>
        <v>4.4999999999999997E-3</v>
      </c>
      <c r="S44" s="230">
        <f>R44*PARÂMETROS!$E$8</f>
        <v>0.13900499999999999</v>
      </c>
      <c r="T44" s="231">
        <v>1.72</v>
      </c>
      <c r="U44" s="230">
        <f>T44*PARÂMETROS!$E$27</f>
        <v>5.16</v>
      </c>
      <c r="V44" s="299">
        <v>6.84</v>
      </c>
      <c r="W44" s="230">
        <f>V44*PARÂMETROS!$E$29</f>
        <v>1226.6856</v>
      </c>
      <c r="X44" s="299">
        <v>1.3680000000000001</v>
      </c>
      <c r="Y44" s="230">
        <f>X44*PARÂMETROS!$E$31</f>
        <v>20.725200000000001</v>
      </c>
      <c r="Z44" s="228">
        <f t="shared" si="4"/>
        <v>4.4999999999999998E-2</v>
      </c>
      <c r="AA44" s="230">
        <f>Z44*PARÂMETROS!$E$8</f>
        <v>1.39005</v>
      </c>
      <c r="AB44" s="228">
        <f t="shared" si="5"/>
        <v>3.5699999999999998E-3</v>
      </c>
      <c r="AC44" s="230">
        <f>AB44*PARÂMETROS!$E$8</f>
        <v>0.11027729999999999</v>
      </c>
      <c r="AF44" s="232" t="s">
        <v>1423</v>
      </c>
      <c r="AG44" s="264">
        <f t="shared" si="6"/>
        <v>2637.9558253</v>
      </c>
      <c r="AH44" s="23"/>
      <c r="AI44" s="224" t="s">
        <v>238</v>
      </c>
      <c r="AJ44" s="291">
        <f>PARÂMETROS!$H$3</f>
        <v>40</v>
      </c>
      <c r="AK44" s="267">
        <v>4.1666666666666699E-2</v>
      </c>
      <c r="AL44" s="267">
        <v>0.125</v>
      </c>
      <c r="AM44" s="267">
        <v>8.3333333333333301E-2</v>
      </c>
      <c r="AN44" s="267">
        <v>6.9444444444444397E-3</v>
      </c>
      <c r="AO44" s="267">
        <v>2.0833333333333301E-2</v>
      </c>
      <c r="AP44" s="267">
        <v>6.9444444444444397E-3</v>
      </c>
      <c r="AQ44" s="267">
        <v>3.125E-2</v>
      </c>
      <c r="AR44" s="271">
        <v>1</v>
      </c>
      <c r="AS44" s="292">
        <f t="shared" si="7"/>
        <v>0.31597222222222215</v>
      </c>
      <c r="AT44" s="291">
        <f t="shared" si="8"/>
        <v>303.33333333333326</v>
      </c>
      <c r="AU44" s="272">
        <f t="shared" si="9"/>
        <v>303.33333333333326</v>
      </c>
      <c r="AW44" s="273">
        <f t="shared" si="10"/>
        <v>2637.9558253</v>
      </c>
      <c r="AX44" s="274">
        <f t="shared" si="11"/>
        <v>303.33333333333326</v>
      </c>
      <c r="AY44" s="275">
        <v>1</v>
      </c>
      <c r="AZ44" s="276">
        <f t="shared" si="12"/>
        <v>303.33333333333326</v>
      </c>
      <c r="BA44" s="293">
        <f t="shared" si="13"/>
        <v>2941.2891586333335</v>
      </c>
      <c r="BB44" s="275">
        <v>1</v>
      </c>
      <c r="BV44" s="293">
        <v>80</v>
      </c>
      <c r="BW44" s="293">
        <f t="shared" si="14"/>
        <v>3021.2891586333335</v>
      </c>
    </row>
    <row r="45" spans="1:75" ht="25.5" customHeight="1" x14ac:dyDescent="0.3">
      <c r="A45" s="224" t="s">
        <v>242</v>
      </c>
      <c r="B45" s="225" t="s">
        <v>1409</v>
      </c>
      <c r="C45" s="228">
        <v>52</v>
      </c>
      <c r="D45" s="263">
        <f>C45*C5</f>
        <v>1018.68</v>
      </c>
      <c r="E45" s="228">
        <v>26</v>
      </c>
      <c r="F45" s="263">
        <f>E45*F5</f>
        <v>509.34</v>
      </c>
      <c r="G45" s="227">
        <f t="shared" si="0"/>
        <v>1528.02</v>
      </c>
      <c r="H45" s="228">
        <v>5</v>
      </c>
      <c r="I45" s="227">
        <f>H45*PARÂMETROS!$E$22</f>
        <v>211.85</v>
      </c>
      <c r="J45" s="228">
        <v>0.41799999999999998</v>
      </c>
      <c r="K45" s="227">
        <f>J45*PARÂMETROS!$E$22</f>
        <v>17.710659999999997</v>
      </c>
      <c r="L45" s="228">
        <v>2E-3</v>
      </c>
      <c r="M45" s="230">
        <f>L45*PARÂMETROS!$E$8</f>
        <v>6.1780000000000002E-2</v>
      </c>
      <c r="N45" s="228">
        <f t="shared" si="1"/>
        <v>0.05</v>
      </c>
      <c r="O45" s="230">
        <f>N45*PARÂMETROS!$E$8</f>
        <v>1.5445000000000002</v>
      </c>
      <c r="P45" s="228">
        <f t="shared" si="2"/>
        <v>4.1800000000000004E-2</v>
      </c>
      <c r="Q45" s="230">
        <f>P45*PARÂMETROS!$E$8</f>
        <v>1.2912020000000002</v>
      </c>
      <c r="R45" s="228">
        <f t="shared" si="3"/>
        <v>5.000000000000001E-3</v>
      </c>
      <c r="S45" s="230">
        <f>R45*PARÂMETROS!$E$8</f>
        <v>0.15445000000000003</v>
      </c>
      <c r="T45" s="231">
        <v>1.82</v>
      </c>
      <c r="U45" s="230">
        <f>T45*PARÂMETROS!$E$27</f>
        <v>5.46</v>
      </c>
      <c r="V45" s="299">
        <v>6.88</v>
      </c>
      <c r="W45" s="230">
        <f>V45*PARÂMETROS!$E$29</f>
        <v>1233.8592000000001</v>
      </c>
      <c r="X45" s="299">
        <v>1.766</v>
      </c>
      <c r="Y45" s="230">
        <f>X45*PARÂMETROS!$E$31</f>
        <v>26.754899999999999</v>
      </c>
      <c r="Z45" s="228">
        <f t="shared" si="4"/>
        <v>0.05</v>
      </c>
      <c r="AA45" s="230">
        <f>Z45*PARÂMETROS!$E$8</f>
        <v>1.5445000000000002</v>
      </c>
      <c r="AB45" s="228">
        <f t="shared" si="5"/>
        <v>4.1799999999999997E-3</v>
      </c>
      <c r="AC45" s="230">
        <f>AB45*PARÂMETROS!$E$8</f>
        <v>0.12912019999999999</v>
      </c>
      <c r="AD45" s="23"/>
      <c r="AE45" s="23"/>
      <c r="AF45" s="232" t="s">
        <v>1424</v>
      </c>
      <c r="AG45" s="264">
        <f t="shared" si="6"/>
        <v>3028.3803121999999</v>
      </c>
      <c r="AH45" s="23"/>
      <c r="AI45" s="224" t="s">
        <v>242</v>
      </c>
      <c r="AJ45" s="291">
        <f>PARÂMETROS!$H$3</f>
        <v>40</v>
      </c>
      <c r="AK45" s="267">
        <v>4.1666666666666699E-2</v>
      </c>
      <c r="AL45" s="267">
        <v>0.125</v>
      </c>
      <c r="AM45" s="267">
        <v>8.3333333333333301E-2</v>
      </c>
      <c r="AN45" s="267">
        <v>6.9444444444444397E-3</v>
      </c>
      <c r="AO45" s="267">
        <v>2.0833333333333301E-2</v>
      </c>
      <c r="AP45" s="267">
        <v>6.9444444444444397E-3</v>
      </c>
      <c r="AQ45" s="267">
        <v>3.125E-2</v>
      </c>
      <c r="AR45" s="271">
        <v>1</v>
      </c>
      <c r="AS45" s="292">
        <f t="shared" si="7"/>
        <v>0.31597222222222215</v>
      </c>
      <c r="AT45" s="291">
        <f t="shared" si="8"/>
        <v>303.33333333333326</v>
      </c>
      <c r="AU45" s="272">
        <f t="shared" si="9"/>
        <v>303.33333333333326</v>
      </c>
      <c r="AW45" s="273">
        <f t="shared" si="10"/>
        <v>3028.3803121999999</v>
      </c>
      <c r="AX45" s="274">
        <f t="shared" si="11"/>
        <v>303.33333333333326</v>
      </c>
      <c r="AY45" s="275">
        <v>1</v>
      </c>
      <c r="AZ45" s="276">
        <f t="shared" si="12"/>
        <v>303.33333333333326</v>
      </c>
      <c r="BA45" s="293">
        <f t="shared" si="13"/>
        <v>3331.713645533333</v>
      </c>
      <c r="BB45" s="275">
        <v>1</v>
      </c>
      <c r="BV45" s="293">
        <v>80</v>
      </c>
      <c r="BW45" s="293">
        <f t="shared" si="14"/>
        <v>3411.713645533333</v>
      </c>
    </row>
    <row r="46" spans="1:75" ht="25.5" customHeight="1" x14ac:dyDescent="0.3">
      <c r="A46" s="224" t="s">
        <v>246</v>
      </c>
      <c r="B46" s="225" t="s">
        <v>1409</v>
      </c>
      <c r="C46" s="228">
        <v>66</v>
      </c>
      <c r="D46" s="263">
        <f>C46*C5</f>
        <v>1292.94</v>
      </c>
      <c r="E46" s="228">
        <v>33</v>
      </c>
      <c r="F46" s="263">
        <f>E46*F5</f>
        <v>646.47</v>
      </c>
      <c r="G46" s="227">
        <f t="shared" si="0"/>
        <v>1939.41</v>
      </c>
      <c r="H46" s="228">
        <v>5.4</v>
      </c>
      <c r="I46" s="227">
        <f>H46*PARÂMETROS!$E$22</f>
        <v>228.798</v>
      </c>
      <c r="J46" s="228">
        <v>0.498</v>
      </c>
      <c r="K46" s="227">
        <f>J46*PARÂMETROS!$E$22</f>
        <v>21.100259999999999</v>
      </c>
      <c r="L46" s="228">
        <v>2E-3</v>
      </c>
      <c r="M46" s="230">
        <f>L46*PARÂMETROS!$E$8</f>
        <v>6.1780000000000002E-2</v>
      </c>
      <c r="N46" s="228">
        <f t="shared" si="1"/>
        <v>5.4000000000000006E-2</v>
      </c>
      <c r="O46" s="230">
        <f>N46*PARÂMETROS!$E$8</f>
        <v>1.6680600000000003</v>
      </c>
      <c r="P46" s="228">
        <f t="shared" si="2"/>
        <v>4.9800000000000004E-2</v>
      </c>
      <c r="Q46" s="230">
        <f>P46*PARÂMETROS!$E$8</f>
        <v>1.5383220000000002</v>
      </c>
      <c r="R46" s="228">
        <f t="shared" si="3"/>
        <v>5.4000000000000012E-3</v>
      </c>
      <c r="S46" s="230">
        <f>R46*PARÂMETROS!$E$8</f>
        <v>0.16680600000000004</v>
      </c>
      <c r="T46" s="231">
        <v>1.92</v>
      </c>
      <c r="U46" s="230">
        <f>T46*PARÂMETROS!$E$27</f>
        <v>5.76</v>
      </c>
      <c r="V46" s="299">
        <v>6.76</v>
      </c>
      <c r="W46" s="230">
        <f>V46*PARÂMETROS!$E$29</f>
        <v>1212.3384000000001</v>
      </c>
      <c r="X46" s="299">
        <v>1.3560000000000001</v>
      </c>
      <c r="Y46" s="230">
        <f>X46*PARÂMETROS!$E$31</f>
        <v>20.543400000000002</v>
      </c>
      <c r="Z46" s="228">
        <f t="shared" si="4"/>
        <v>5.4000000000000006E-2</v>
      </c>
      <c r="AA46" s="230">
        <f>Z46*PARÂMETROS!$E$8</f>
        <v>1.6680600000000003</v>
      </c>
      <c r="AB46" s="228">
        <f t="shared" si="5"/>
        <v>4.9800000000000001E-3</v>
      </c>
      <c r="AC46" s="230">
        <f>AB46*PARÂMETROS!$E$8</f>
        <v>0.1538322</v>
      </c>
      <c r="AF46" s="232" t="s">
        <v>1425</v>
      </c>
      <c r="AG46" s="264">
        <f t="shared" si="6"/>
        <v>3433.2069202000002</v>
      </c>
      <c r="AH46" s="23"/>
      <c r="AI46" s="224" t="s">
        <v>246</v>
      </c>
      <c r="AJ46" s="291">
        <f>PARÂMETROS!$H$3</f>
        <v>40</v>
      </c>
      <c r="AK46" s="267">
        <v>4.1666666666666699E-2</v>
      </c>
      <c r="AL46" s="267">
        <v>0.125</v>
      </c>
      <c r="AM46" s="267">
        <v>8.3333333333333301E-2</v>
      </c>
      <c r="AN46" s="267">
        <v>6.9444444444444397E-3</v>
      </c>
      <c r="AO46" s="267">
        <v>2.0833333333333301E-2</v>
      </c>
      <c r="AP46" s="267">
        <v>6.9444444444444397E-3</v>
      </c>
      <c r="AQ46" s="267">
        <v>3.125E-2</v>
      </c>
      <c r="AR46" s="271">
        <v>1</v>
      </c>
      <c r="AS46" s="292">
        <f t="shared" si="7"/>
        <v>0.31597222222222215</v>
      </c>
      <c r="AT46" s="291">
        <f t="shared" si="8"/>
        <v>303.33333333333326</v>
      </c>
      <c r="AU46" s="272">
        <f t="shared" si="9"/>
        <v>303.33333333333326</v>
      </c>
      <c r="AW46" s="273">
        <f t="shared" si="10"/>
        <v>3433.2069202000002</v>
      </c>
      <c r="AX46" s="274">
        <f t="shared" si="11"/>
        <v>303.33333333333326</v>
      </c>
      <c r="AY46" s="275">
        <v>1</v>
      </c>
      <c r="AZ46" s="276">
        <f t="shared" si="12"/>
        <v>303.33333333333326</v>
      </c>
      <c r="BA46" s="293">
        <f t="shared" si="13"/>
        <v>3736.5402535333333</v>
      </c>
      <c r="BB46" s="275">
        <v>1</v>
      </c>
      <c r="BV46" s="293">
        <v>80</v>
      </c>
      <c r="BW46" s="293">
        <f t="shared" si="14"/>
        <v>3816.5402535333333</v>
      </c>
    </row>
    <row r="47" spans="1:75" ht="25.5" customHeight="1" x14ac:dyDescent="0.3">
      <c r="A47" s="224" t="s">
        <v>250</v>
      </c>
      <c r="B47" s="225" t="s">
        <v>1409</v>
      </c>
      <c r="C47" s="228">
        <v>86</v>
      </c>
      <c r="D47" s="263">
        <f>C47*C5</f>
        <v>1684.74</v>
      </c>
      <c r="E47" s="228">
        <v>43</v>
      </c>
      <c r="F47" s="263">
        <f>E47*F5</f>
        <v>842.37</v>
      </c>
      <c r="G47" s="227">
        <f t="shared" si="0"/>
        <v>2527.11</v>
      </c>
      <c r="H47" s="228">
        <v>6</v>
      </c>
      <c r="I47" s="227">
        <f>H47*PARÂMETROS!$E$22</f>
        <v>254.21999999999997</v>
      </c>
      <c r="J47" s="228">
        <v>0.54</v>
      </c>
      <c r="K47" s="227">
        <f>J47*PARÂMETROS!$E$22</f>
        <v>22.879799999999999</v>
      </c>
      <c r="L47" s="228">
        <v>2E-3</v>
      </c>
      <c r="M47" s="230">
        <f>L47*PARÂMETROS!$E$8</f>
        <v>6.1780000000000002E-2</v>
      </c>
      <c r="N47" s="228">
        <f t="shared" si="1"/>
        <v>0.06</v>
      </c>
      <c r="O47" s="230">
        <f>N47*PARÂMETROS!$E$8</f>
        <v>1.8533999999999999</v>
      </c>
      <c r="P47" s="228">
        <f t="shared" si="2"/>
        <v>5.4000000000000006E-2</v>
      </c>
      <c r="Q47" s="230">
        <f>P47*PARÂMETROS!$E$8</f>
        <v>1.6680600000000003</v>
      </c>
      <c r="R47" s="228">
        <f t="shared" si="3"/>
        <v>6.0000000000000001E-3</v>
      </c>
      <c r="S47" s="230">
        <f>R47*PARÂMETROS!$E$8</f>
        <v>0.18534</v>
      </c>
      <c r="T47" s="231">
        <v>2</v>
      </c>
      <c r="U47" s="230">
        <f>T47*PARÂMETROS!$E$27</f>
        <v>6</v>
      </c>
      <c r="V47" s="299">
        <v>7.84</v>
      </c>
      <c r="W47" s="230">
        <f>V47*PARÂMETROS!$E$29</f>
        <v>1406.0255999999999</v>
      </c>
      <c r="X47" s="299">
        <v>1.5680000000000001</v>
      </c>
      <c r="Y47" s="230">
        <f>X47*PARÂMETROS!$E$31</f>
        <v>23.755200000000002</v>
      </c>
      <c r="Z47" s="228">
        <f t="shared" si="4"/>
        <v>0.06</v>
      </c>
      <c r="AA47" s="230">
        <f>Z47*PARÂMETROS!$E$8</f>
        <v>1.8533999999999999</v>
      </c>
      <c r="AB47" s="228">
        <f t="shared" si="5"/>
        <v>5.4000000000000003E-3</v>
      </c>
      <c r="AC47" s="230">
        <f>AB47*PARÂMETROS!$E$8</f>
        <v>0.16680600000000001</v>
      </c>
      <c r="AD47" s="23"/>
      <c r="AE47" s="23"/>
      <c r="AF47" s="232" t="s">
        <v>1426</v>
      </c>
      <c r="AG47" s="264">
        <f t="shared" si="6"/>
        <v>4245.7793859999992</v>
      </c>
      <c r="AH47" s="23"/>
      <c r="AI47" s="224" t="s">
        <v>250</v>
      </c>
      <c r="AJ47" s="291">
        <f>PARÂMETROS!$H$3</f>
        <v>40</v>
      </c>
      <c r="AK47" s="267">
        <v>4.1666666666666699E-2</v>
      </c>
      <c r="AL47" s="267">
        <v>0.125</v>
      </c>
      <c r="AM47" s="267">
        <v>8.3333333333333301E-2</v>
      </c>
      <c r="AN47" s="267">
        <v>6.9444444444444397E-3</v>
      </c>
      <c r="AO47" s="267">
        <v>2.0833333333333301E-2</v>
      </c>
      <c r="AP47" s="267">
        <v>6.9444444444444397E-3</v>
      </c>
      <c r="AQ47" s="267">
        <v>3.125E-2</v>
      </c>
      <c r="AR47" s="271">
        <v>1</v>
      </c>
      <c r="AS47" s="292">
        <f t="shared" si="7"/>
        <v>0.31597222222222215</v>
      </c>
      <c r="AT47" s="291">
        <f t="shared" si="8"/>
        <v>303.33333333333326</v>
      </c>
      <c r="AU47" s="272">
        <f t="shared" si="9"/>
        <v>303.33333333333326</v>
      </c>
      <c r="AW47" s="273">
        <f t="shared" si="10"/>
        <v>4245.7793859999992</v>
      </c>
      <c r="AX47" s="274">
        <f t="shared" si="11"/>
        <v>303.33333333333326</v>
      </c>
      <c r="AY47" s="275">
        <v>1</v>
      </c>
      <c r="AZ47" s="276">
        <f t="shared" si="12"/>
        <v>303.33333333333326</v>
      </c>
      <c r="BA47" s="293">
        <f t="shared" si="13"/>
        <v>4549.1127193333323</v>
      </c>
      <c r="BB47" s="275">
        <v>1</v>
      </c>
      <c r="BV47" s="293">
        <v>80</v>
      </c>
      <c r="BW47" s="293">
        <f t="shared" si="14"/>
        <v>4629.1127193333323</v>
      </c>
    </row>
    <row r="48" spans="1:75" ht="25.5" customHeight="1" x14ac:dyDescent="0.3">
      <c r="A48" s="224" t="s">
        <v>254</v>
      </c>
      <c r="B48" s="225" t="s">
        <v>1409</v>
      </c>
      <c r="C48" s="228">
        <v>90</v>
      </c>
      <c r="D48" s="263">
        <f>C48*C5</f>
        <v>1763.1</v>
      </c>
      <c r="E48" s="228">
        <v>45</v>
      </c>
      <c r="F48" s="263">
        <f>E48*F5</f>
        <v>881.55</v>
      </c>
      <c r="G48" s="227">
        <f t="shared" si="0"/>
        <v>2644.6499999999996</v>
      </c>
      <c r="H48" s="228">
        <v>6.4</v>
      </c>
      <c r="I48" s="227">
        <f>H48*PARÂMETROS!$E$22</f>
        <v>271.16800000000001</v>
      </c>
      <c r="J48" s="228">
        <v>0.61499999999999999</v>
      </c>
      <c r="K48" s="227">
        <f>J48*PARÂMETROS!$E$22</f>
        <v>26.057549999999999</v>
      </c>
      <c r="L48" s="228">
        <v>2E-3</v>
      </c>
      <c r="M48" s="230">
        <f>L48*PARÂMETROS!$E$8</f>
        <v>6.1780000000000002E-2</v>
      </c>
      <c r="N48" s="228">
        <f t="shared" si="1"/>
        <v>6.4000000000000001E-2</v>
      </c>
      <c r="O48" s="230">
        <f>N48*PARÂMETROS!$E$8</f>
        <v>1.9769600000000001</v>
      </c>
      <c r="P48" s="228">
        <f t="shared" si="2"/>
        <v>6.1499999999999999E-2</v>
      </c>
      <c r="Q48" s="230">
        <f>P48*PARÂMETROS!$E$8</f>
        <v>1.899735</v>
      </c>
      <c r="R48" s="228">
        <f t="shared" si="3"/>
        <v>6.4000000000000003E-3</v>
      </c>
      <c r="S48" s="230">
        <f>R48*PARÂMETROS!$E$8</f>
        <v>0.19769600000000001</v>
      </c>
      <c r="T48" s="231">
        <v>2.1</v>
      </c>
      <c r="U48" s="230">
        <f>T48*PARÂMETROS!$E$27</f>
        <v>6.3000000000000007</v>
      </c>
      <c r="V48" s="299">
        <v>9.48</v>
      </c>
      <c r="W48" s="230">
        <f>V48*PARÂMETROS!$E$29</f>
        <v>1700.1432000000002</v>
      </c>
      <c r="X48" s="299">
        <v>1.9279999999999999</v>
      </c>
      <c r="Y48" s="230">
        <f>X48*PARÂMETROS!$E$31</f>
        <v>29.209199999999999</v>
      </c>
      <c r="Z48" s="228">
        <f t="shared" si="4"/>
        <v>6.4000000000000001E-2</v>
      </c>
      <c r="AA48" s="230">
        <f>Z48*PARÂMETROS!$E$8</f>
        <v>1.9769600000000001</v>
      </c>
      <c r="AB48" s="228">
        <f t="shared" si="5"/>
        <v>6.1500000000000001E-3</v>
      </c>
      <c r="AC48" s="230">
        <f>AB48*PARÂMETROS!$E$8</f>
        <v>0.18997350000000002</v>
      </c>
      <c r="AF48" s="232" t="s">
        <v>1427</v>
      </c>
      <c r="AG48" s="264">
        <f t="shared" si="6"/>
        <v>4683.8310544999995</v>
      </c>
      <c r="AH48" s="23"/>
      <c r="AI48" s="224" t="s">
        <v>254</v>
      </c>
      <c r="AJ48" s="291">
        <f>PARÂMETROS!$H$3</f>
        <v>40</v>
      </c>
      <c r="AK48" s="267">
        <v>4.1666666666666699E-2</v>
      </c>
      <c r="AL48" s="267">
        <v>0.125</v>
      </c>
      <c r="AM48" s="267">
        <v>8.3333333333333301E-2</v>
      </c>
      <c r="AN48" s="267">
        <v>6.9444444444444397E-3</v>
      </c>
      <c r="AO48" s="267">
        <v>2.0833333333333301E-2</v>
      </c>
      <c r="AP48" s="267">
        <v>6.9444444444444397E-3</v>
      </c>
      <c r="AQ48" s="267">
        <v>3.125E-2</v>
      </c>
      <c r="AR48" s="271">
        <v>1</v>
      </c>
      <c r="AS48" s="292">
        <f t="shared" si="7"/>
        <v>0.31597222222222215</v>
      </c>
      <c r="AT48" s="291">
        <f t="shared" si="8"/>
        <v>303.33333333333326</v>
      </c>
      <c r="AU48" s="272">
        <f t="shared" si="9"/>
        <v>303.33333333333326</v>
      </c>
      <c r="AW48" s="273">
        <f t="shared" si="10"/>
        <v>4683.8310544999995</v>
      </c>
      <c r="AX48" s="274">
        <f t="shared" si="11"/>
        <v>303.33333333333326</v>
      </c>
      <c r="AY48" s="275">
        <v>1</v>
      </c>
      <c r="AZ48" s="276">
        <f t="shared" si="12"/>
        <v>303.33333333333326</v>
      </c>
      <c r="BA48" s="293">
        <f t="shared" si="13"/>
        <v>4987.1643878333325</v>
      </c>
      <c r="BB48" s="275">
        <v>1</v>
      </c>
      <c r="BV48" s="293">
        <v>80</v>
      </c>
      <c r="BW48" s="293">
        <f t="shared" si="14"/>
        <v>5067.1643878333325</v>
      </c>
    </row>
    <row r="49" spans="1:75" ht="25.5" customHeight="1" x14ac:dyDescent="0.3">
      <c r="A49" s="224" t="s">
        <v>258</v>
      </c>
      <c r="B49" s="225" t="s">
        <v>1409</v>
      </c>
      <c r="C49" s="228">
        <v>115</v>
      </c>
      <c r="D49" s="263">
        <f>C49*C5</f>
        <v>2252.85</v>
      </c>
      <c r="E49" s="228">
        <v>57</v>
      </c>
      <c r="F49" s="263">
        <f>E49*F5</f>
        <v>1116.6299999999999</v>
      </c>
      <c r="G49" s="227">
        <f t="shared" si="0"/>
        <v>3369.4799999999996</v>
      </c>
      <c r="H49" s="228">
        <v>7.7</v>
      </c>
      <c r="I49" s="227">
        <f>H49*PARÂMETROS!$E$22</f>
        <v>326.24899999999997</v>
      </c>
      <c r="J49" s="228">
        <v>0.71</v>
      </c>
      <c r="K49" s="227">
        <f>J49*PARÂMETROS!$E$22</f>
        <v>30.082699999999996</v>
      </c>
      <c r="L49" s="228">
        <v>2E-3</v>
      </c>
      <c r="M49" s="230">
        <f>L49*PARÂMETROS!$E$8</f>
        <v>6.1780000000000002E-2</v>
      </c>
      <c r="N49" s="228">
        <f t="shared" si="1"/>
        <v>7.6999999999999999E-2</v>
      </c>
      <c r="O49" s="230">
        <f>N49*PARÂMETROS!$E$8</f>
        <v>2.37853</v>
      </c>
      <c r="P49" s="228">
        <f t="shared" si="2"/>
        <v>7.0999999999999994E-2</v>
      </c>
      <c r="Q49" s="230">
        <f>P49*PARÂMETROS!$E$8</f>
        <v>2.19319</v>
      </c>
      <c r="R49" s="228">
        <f t="shared" si="3"/>
        <v>7.7000000000000002E-3</v>
      </c>
      <c r="S49" s="230">
        <f>R49*PARÂMETROS!$E$8</f>
        <v>0.23785300000000001</v>
      </c>
      <c r="T49" s="231">
        <v>2.2000000000000002</v>
      </c>
      <c r="U49" s="230">
        <f>T49*PARÂMETROS!$E$27</f>
        <v>6.6000000000000005</v>
      </c>
      <c r="V49" s="299">
        <v>9.64</v>
      </c>
      <c r="W49" s="230">
        <f>V49*PARÂMETROS!$E$29</f>
        <v>1728.8376000000001</v>
      </c>
      <c r="X49" s="299">
        <v>1.88</v>
      </c>
      <c r="Y49" s="230">
        <f>X49*PARÂMETROS!$E$31</f>
        <v>28.481999999999999</v>
      </c>
      <c r="Z49" s="228">
        <f t="shared" si="4"/>
        <v>7.6999999999999999E-2</v>
      </c>
      <c r="AA49" s="230">
        <f>Z49*PARÂMETROS!$E$8</f>
        <v>2.37853</v>
      </c>
      <c r="AB49" s="228">
        <f t="shared" si="5"/>
        <v>7.0999999999999995E-3</v>
      </c>
      <c r="AC49" s="230">
        <f>AB49*PARÂMETROS!$E$8</f>
        <v>0.21931899999999999</v>
      </c>
      <c r="AD49" s="23"/>
      <c r="AE49" s="23"/>
      <c r="AF49" s="232" t="s">
        <v>1428</v>
      </c>
      <c r="AG49" s="264">
        <f t="shared" si="6"/>
        <v>5497.2005019999997</v>
      </c>
      <c r="AH49" s="23"/>
      <c r="AI49" s="224" t="s">
        <v>258</v>
      </c>
      <c r="AJ49" s="291">
        <f>PARÂMETROS!$H$3</f>
        <v>40</v>
      </c>
      <c r="AK49" s="267">
        <v>4.1666666666666699E-2</v>
      </c>
      <c r="AL49" s="267">
        <v>0.13888888888888901</v>
      </c>
      <c r="AM49" s="267">
        <v>0.11111111111111099</v>
      </c>
      <c r="AN49" s="267">
        <v>6.9444444444444397E-3</v>
      </c>
      <c r="AO49" s="267">
        <v>2.0833333333333301E-2</v>
      </c>
      <c r="AP49" s="267">
        <v>6.9444444444444397E-3</v>
      </c>
      <c r="AQ49" s="267">
        <v>3.125E-2</v>
      </c>
      <c r="AR49" s="271">
        <v>1</v>
      </c>
      <c r="AS49" s="292">
        <f t="shared" si="7"/>
        <v>0.3576388888888889</v>
      </c>
      <c r="AT49" s="291">
        <f t="shared" si="8"/>
        <v>343.33333333333331</v>
      </c>
      <c r="AU49" s="272">
        <f t="shared" si="9"/>
        <v>343.33333333333331</v>
      </c>
      <c r="AW49" s="273">
        <f t="shared" si="10"/>
        <v>5497.2005019999997</v>
      </c>
      <c r="AX49" s="274">
        <f t="shared" si="11"/>
        <v>343.33333333333331</v>
      </c>
      <c r="AY49" s="275">
        <v>1</v>
      </c>
      <c r="AZ49" s="276">
        <f t="shared" si="12"/>
        <v>343.33333333333331</v>
      </c>
      <c r="BA49" s="293">
        <f t="shared" si="13"/>
        <v>5840.5338353333327</v>
      </c>
      <c r="BB49" s="275">
        <v>1</v>
      </c>
      <c r="BV49" s="293">
        <v>80</v>
      </c>
      <c r="BW49" s="293">
        <f t="shared" si="14"/>
        <v>5920.5338353333327</v>
      </c>
    </row>
    <row r="50" spans="1:75" ht="25.5" customHeight="1" x14ac:dyDescent="0.3">
      <c r="A50" s="224" t="s">
        <v>262</v>
      </c>
      <c r="B50" s="225" t="s">
        <v>1409</v>
      </c>
      <c r="C50" s="228">
        <v>140</v>
      </c>
      <c r="D50" s="263">
        <f>C50*C5</f>
        <v>2742.6</v>
      </c>
      <c r="E50" s="228">
        <v>70</v>
      </c>
      <c r="F50" s="263">
        <f>E50*F5</f>
        <v>1371.3</v>
      </c>
      <c r="G50" s="227">
        <f t="shared" si="0"/>
        <v>4113.8999999999996</v>
      </c>
      <c r="H50" s="228">
        <v>8.4</v>
      </c>
      <c r="I50" s="227">
        <f>H50*PARÂMETROS!$E$22</f>
        <v>355.90800000000002</v>
      </c>
      <c r="J50" s="228">
        <v>0.79500000000000004</v>
      </c>
      <c r="K50" s="227">
        <f>J50*PARÂMETROS!$E$22</f>
        <v>33.684150000000002</v>
      </c>
      <c r="L50" s="228">
        <v>2E-3</v>
      </c>
      <c r="M50" s="230">
        <f>L50*PARÂMETROS!$E$8</f>
        <v>6.1780000000000002E-2</v>
      </c>
      <c r="N50" s="228">
        <f t="shared" si="1"/>
        <v>8.4000000000000005E-2</v>
      </c>
      <c r="O50" s="230">
        <f>N50*PARÂMETROS!$E$8</f>
        <v>2.5947600000000004</v>
      </c>
      <c r="P50" s="228">
        <f t="shared" si="2"/>
        <v>7.9500000000000015E-2</v>
      </c>
      <c r="Q50" s="230">
        <f>P50*PARÂMETROS!$E$8</f>
        <v>2.4557550000000004</v>
      </c>
      <c r="R50" s="228">
        <f t="shared" si="3"/>
        <v>8.4000000000000012E-3</v>
      </c>
      <c r="S50" s="230">
        <f>R50*PARÂMETROS!$E$8</f>
        <v>0.25947600000000004</v>
      </c>
      <c r="T50" s="231">
        <v>2.2999999999999998</v>
      </c>
      <c r="U50" s="230">
        <f>T50*PARÂMETROS!$E$27</f>
        <v>6.8999999999999995</v>
      </c>
      <c r="V50" s="299">
        <v>9.4</v>
      </c>
      <c r="W50" s="230">
        <f>V50*PARÂMETROS!$E$29</f>
        <v>1685.796</v>
      </c>
      <c r="X50" s="299">
        <v>1.8560000000000001</v>
      </c>
      <c r="Y50" s="230">
        <f>X50*PARÂMETROS!$E$31</f>
        <v>28.118400000000001</v>
      </c>
      <c r="Z50" s="228">
        <f t="shared" si="4"/>
        <v>8.4000000000000005E-2</v>
      </c>
      <c r="AA50" s="230">
        <f>Z50*PARÂMETROS!$E$8</f>
        <v>2.5947600000000004</v>
      </c>
      <c r="AB50" s="228">
        <f t="shared" si="5"/>
        <v>7.9500000000000005E-3</v>
      </c>
      <c r="AC50" s="230">
        <f>AB50*PARÂMETROS!$E$8</f>
        <v>0.24557550000000003</v>
      </c>
      <c r="AF50" s="232" t="s">
        <v>1429</v>
      </c>
      <c r="AG50" s="264">
        <f t="shared" si="6"/>
        <v>6232.5186565000004</v>
      </c>
      <c r="AH50" s="23"/>
      <c r="AI50" s="224" t="s">
        <v>262</v>
      </c>
      <c r="AJ50" s="291">
        <f>PARÂMETROS!$H$3</f>
        <v>40</v>
      </c>
      <c r="AK50" s="267">
        <v>4.1666666666666699E-2</v>
      </c>
      <c r="AL50" s="267">
        <v>0.13888888888888901</v>
      </c>
      <c r="AM50" s="267">
        <v>0.11111111111111099</v>
      </c>
      <c r="AN50" s="267">
        <v>6.9444444444444397E-3</v>
      </c>
      <c r="AO50" s="267">
        <v>2.0833333333333301E-2</v>
      </c>
      <c r="AP50" s="267">
        <v>6.9444444444444397E-3</v>
      </c>
      <c r="AQ50" s="267">
        <v>3.125E-2</v>
      </c>
      <c r="AR50" s="271">
        <v>1</v>
      </c>
      <c r="AS50" s="292">
        <f t="shared" si="7"/>
        <v>0.3576388888888889</v>
      </c>
      <c r="AT50" s="291">
        <f t="shared" si="8"/>
        <v>343.33333333333331</v>
      </c>
      <c r="AU50" s="272">
        <f t="shared" si="9"/>
        <v>343.33333333333331</v>
      </c>
      <c r="AW50" s="273">
        <f t="shared" si="10"/>
        <v>6232.5186565000004</v>
      </c>
      <c r="AX50" s="274">
        <f t="shared" si="11"/>
        <v>343.33333333333331</v>
      </c>
      <c r="AY50" s="275">
        <v>1</v>
      </c>
      <c r="AZ50" s="276">
        <f t="shared" si="12"/>
        <v>343.33333333333331</v>
      </c>
      <c r="BA50" s="293">
        <f t="shared" si="13"/>
        <v>6575.8519898333334</v>
      </c>
      <c r="BB50" s="275">
        <v>1</v>
      </c>
      <c r="BV50" s="293">
        <v>80</v>
      </c>
      <c r="BW50" s="293">
        <f t="shared" si="14"/>
        <v>6655.8519898333334</v>
      </c>
    </row>
    <row r="51" spans="1:75" ht="25.5" customHeight="1" x14ac:dyDescent="0.3">
      <c r="A51" s="224" t="s">
        <v>266</v>
      </c>
      <c r="B51" s="225" t="s">
        <v>1409</v>
      </c>
      <c r="C51" s="228">
        <v>170</v>
      </c>
      <c r="D51" s="263">
        <f>C51*C5</f>
        <v>3330.3</v>
      </c>
      <c r="E51" s="228">
        <v>85</v>
      </c>
      <c r="F51" s="263">
        <f>E51*F5</f>
        <v>1665.15</v>
      </c>
      <c r="G51" s="227">
        <f t="shared" si="0"/>
        <v>4995.4500000000007</v>
      </c>
      <c r="H51" s="228">
        <v>9</v>
      </c>
      <c r="I51" s="227">
        <f>H51*PARÂMETROS!$E$22</f>
        <v>381.33</v>
      </c>
      <c r="J51" s="228">
        <v>0.88500000000000001</v>
      </c>
      <c r="K51" s="227">
        <f>J51*PARÂMETROS!$E$22</f>
        <v>37.497450000000001</v>
      </c>
      <c r="L51" s="228">
        <v>2E-3</v>
      </c>
      <c r="M51" s="230">
        <f>L51*PARÂMETROS!$E$8</f>
        <v>6.1780000000000002E-2</v>
      </c>
      <c r="N51" s="228">
        <f t="shared" si="1"/>
        <v>0.09</v>
      </c>
      <c r="O51" s="230">
        <f>N51*PARÂMETROS!$E$8</f>
        <v>2.7801</v>
      </c>
      <c r="P51" s="228">
        <f t="shared" si="2"/>
        <v>8.8500000000000009E-2</v>
      </c>
      <c r="Q51" s="230">
        <f>P51*PARÂMETROS!$E$8</f>
        <v>2.7337650000000004</v>
      </c>
      <c r="R51" s="228">
        <f t="shared" si="3"/>
        <v>8.9999999999999993E-3</v>
      </c>
      <c r="S51" s="230">
        <f>R51*PARÂMETROS!$E$8</f>
        <v>0.27800999999999998</v>
      </c>
      <c r="T51" s="231">
        <v>2.4</v>
      </c>
      <c r="U51" s="230">
        <f>T51*PARÂMETROS!$E$27</f>
        <v>7.1999999999999993</v>
      </c>
      <c r="V51" s="299">
        <v>9.2799999999999994</v>
      </c>
      <c r="W51" s="230">
        <f>V51*PARÂMETROS!$E$29</f>
        <v>1664.2751999999998</v>
      </c>
      <c r="X51" s="299">
        <v>2.008</v>
      </c>
      <c r="Y51" s="230">
        <f>X51*PARÂMETROS!$E$31</f>
        <v>30.421200000000002</v>
      </c>
      <c r="Z51" s="228">
        <f t="shared" si="4"/>
        <v>0.09</v>
      </c>
      <c r="AA51" s="230">
        <f>Z51*PARÂMETROS!$E$8</f>
        <v>2.7801</v>
      </c>
      <c r="AB51" s="228">
        <f t="shared" si="5"/>
        <v>8.8500000000000002E-3</v>
      </c>
      <c r="AC51" s="230">
        <f>AB51*PARÂMETROS!$E$8</f>
        <v>0.27337650000000002</v>
      </c>
      <c r="AD51" s="23"/>
      <c r="AE51" s="23"/>
      <c r="AF51" s="232" t="s">
        <v>1430</v>
      </c>
      <c r="AG51" s="264">
        <f t="shared" si="6"/>
        <v>7125.0809815000011</v>
      </c>
      <c r="AH51" s="23"/>
      <c r="AI51" s="224" t="s">
        <v>266</v>
      </c>
      <c r="AJ51" s="291">
        <f>PARÂMETROS!$H$3</f>
        <v>40</v>
      </c>
      <c r="AK51" s="267">
        <v>8.3333333333333301E-2</v>
      </c>
      <c r="AL51" s="267">
        <v>0.13888888888888901</v>
      </c>
      <c r="AM51" s="267">
        <v>0.11111111111111099</v>
      </c>
      <c r="AN51" s="267">
        <v>6.9444444444444397E-3</v>
      </c>
      <c r="AO51" s="267">
        <v>2.0833333333333301E-2</v>
      </c>
      <c r="AP51" s="267">
        <v>6.9444444444444397E-3</v>
      </c>
      <c r="AQ51" s="267">
        <v>3.125E-2</v>
      </c>
      <c r="AR51" s="271">
        <v>1</v>
      </c>
      <c r="AS51" s="292">
        <f t="shared" si="7"/>
        <v>0.39930555555555552</v>
      </c>
      <c r="AT51" s="291">
        <f t="shared" si="8"/>
        <v>383.33333333333331</v>
      </c>
      <c r="AU51" s="272">
        <f t="shared" si="9"/>
        <v>383.33333333333331</v>
      </c>
      <c r="AW51" s="273">
        <f t="shared" si="10"/>
        <v>7125.0809815000011</v>
      </c>
      <c r="AX51" s="274">
        <f t="shared" si="11"/>
        <v>383.33333333333331</v>
      </c>
      <c r="AY51" s="275">
        <v>1</v>
      </c>
      <c r="AZ51" s="276">
        <f t="shared" si="12"/>
        <v>383.33333333333331</v>
      </c>
      <c r="BA51" s="293">
        <f t="shared" si="13"/>
        <v>7508.4143148333342</v>
      </c>
      <c r="BB51" s="275">
        <v>1</v>
      </c>
      <c r="BV51" s="293">
        <v>80</v>
      </c>
      <c r="BW51" s="293">
        <f t="shared" si="14"/>
        <v>7588.4143148333342</v>
      </c>
    </row>
    <row r="52" spans="1:75" ht="25.5" customHeight="1" x14ac:dyDescent="0.3">
      <c r="A52" s="224" t="s">
        <v>270</v>
      </c>
      <c r="B52" s="225" t="s">
        <v>1409</v>
      </c>
      <c r="C52" s="228">
        <v>180</v>
      </c>
      <c r="D52" s="263">
        <f>C52*C5</f>
        <v>3526.2</v>
      </c>
      <c r="E52" s="228">
        <v>90</v>
      </c>
      <c r="F52" s="263">
        <f>E52*F5</f>
        <v>1763.1</v>
      </c>
      <c r="G52" s="227">
        <f t="shared" si="0"/>
        <v>5289.2999999999993</v>
      </c>
      <c r="H52" s="228">
        <v>9.6999999999999993</v>
      </c>
      <c r="I52" s="227">
        <f>H52*PARÂMETROS!$E$22</f>
        <v>410.98899999999992</v>
      </c>
      <c r="J52" s="228">
        <v>0.96</v>
      </c>
      <c r="K52" s="227">
        <f>J52*PARÂMETROS!$E$22</f>
        <v>40.675199999999997</v>
      </c>
      <c r="L52" s="228">
        <v>2E-3</v>
      </c>
      <c r="M52" s="230">
        <f>L52*PARÂMETROS!$E$8</f>
        <v>6.1780000000000002E-2</v>
      </c>
      <c r="N52" s="228">
        <f t="shared" si="1"/>
        <v>9.6999999999999989E-2</v>
      </c>
      <c r="O52" s="230">
        <f>N52*PARÂMETROS!$E$8</f>
        <v>2.9963299999999995</v>
      </c>
      <c r="P52" s="228">
        <f t="shared" si="2"/>
        <v>9.6000000000000002E-2</v>
      </c>
      <c r="Q52" s="230">
        <f>P52*PARÂMETROS!$E$8</f>
        <v>2.9654400000000001</v>
      </c>
      <c r="R52" s="228">
        <f t="shared" si="3"/>
        <v>9.7000000000000003E-3</v>
      </c>
      <c r="S52" s="230">
        <f>R52*PARÂMETROS!$E$8</f>
        <v>0.29963300000000004</v>
      </c>
      <c r="T52" s="231">
        <v>2.5</v>
      </c>
      <c r="U52" s="230">
        <f>T52*PARÂMETROS!$E$27</f>
        <v>7.5</v>
      </c>
      <c r="V52" s="299">
        <v>10.039999999999999</v>
      </c>
      <c r="W52" s="230">
        <f>V52*PARÂMETROS!$E$29</f>
        <v>1800.5735999999999</v>
      </c>
      <c r="X52" s="299">
        <v>2.1680000000000001</v>
      </c>
      <c r="Y52" s="230">
        <f>X52*PARÂMETROS!$E$31</f>
        <v>32.845200000000006</v>
      </c>
      <c r="Z52" s="228">
        <f t="shared" si="4"/>
        <v>9.6999999999999989E-2</v>
      </c>
      <c r="AA52" s="230">
        <f>Z52*PARÂMETROS!$E$8</f>
        <v>2.9963299999999995</v>
      </c>
      <c r="AB52" s="228">
        <f t="shared" si="5"/>
        <v>9.5999999999999992E-3</v>
      </c>
      <c r="AC52" s="230">
        <f>AB52*PARÂMETROS!$E$8</f>
        <v>0.29654399999999997</v>
      </c>
      <c r="AF52" s="232" t="s">
        <v>1431</v>
      </c>
      <c r="AG52" s="264">
        <f t="shared" si="6"/>
        <v>7591.4990569999982</v>
      </c>
      <c r="AH52" s="23"/>
      <c r="AI52" s="224" t="s">
        <v>270</v>
      </c>
      <c r="AJ52" s="291">
        <f>PARÂMETROS!$H$3</f>
        <v>40</v>
      </c>
      <c r="AK52" s="267">
        <v>8.3333333333333301E-2</v>
      </c>
      <c r="AL52" s="267">
        <v>0.15277777777777801</v>
      </c>
      <c r="AM52" s="267">
        <v>0.11111111111111099</v>
      </c>
      <c r="AN52" s="267">
        <v>6.9444444444444397E-3</v>
      </c>
      <c r="AO52" s="267">
        <v>2.0833333333333301E-2</v>
      </c>
      <c r="AP52" s="267">
        <v>6.9444444444444397E-3</v>
      </c>
      <c r="AQ52" s="267">
        <v>3.125E-2</v>
      </c>
      <c r="AR52" s="271">
        <v>1</v>
      </c>
      <c r="AS52" s="292">
        <f t="shared" si="7"/>
        <v>0.41319444444444448</v>
      </c>
      <c r="AT52" s="291">
        <f t="shared" si="8"/>
        <v>396.66666666666669</v>
      </c>
      <c r="AU52" s="272">
        <f t="shared" si="9"/>
        <v>396.66666666666669</v>
      </c>
      <c r="AW52" s="273">
        <f t="shared" si="10"/>
        <v>7591.4990569999982</v>
      </c>
      <c r="AX52" s="274">
        <f t="shared" si="11"/>
        <v>396.66666666666669</v>
      </c>
      <c r="AY52" s="275">
        <v>1</v>
      </c>
      <c r="AZ52" s="276">
        <f t="shared" si="12"/>
        <v>396.66666666666669</v>
      </c>
      <c r="BA52" s="293">
        <f t="shared" si="13"/>
        <v>7988.1657236666651</v>
      </c>
      <c r="BB52" s="275">
        <v>1</v>
      </c>
      <c r="BV52" s="293">
        <v>80</v>
      </c>
      <c r="BW52" s="293">
        <f t="shared" si="14"/>
        <v>8068.1657236666651</v>
      </c>
    </row>
    <row r="53" spans="1:75" ht="25.5" customHeight="1" x14ac:dyDescent="0.3">
      <c r="A53" s="224" t="s">
        <v>274</v>
      </c>
      <c r="B53" s="225" t="s">
        <v>1409</v>
      </c>
      <c r="C53" s="228">
        <v>200</v>
      </c>
      <c r="D53" s="263">
        <f>C53*C5</f>
        <v>3918</v>
      </c>
      <c r="E53" s="228">
        <v>100</v>
      </c>
      <c r="F53" s="263">
        <f>E53*F5</f>
        <v>1959</v>
      </c>
      <c r="G53" s="227">
        <f t="shared" si="0"/>
        <v>5877</v>
      </c>
      <c r="H53" s="228">
        <v>10.4</v>
      </c>
      <c r="I53" s="227">
        <f>H53*PARÂMETROS!$E$22</f>
        <v>440.64799999999997</v>
      </c>
      <c r="J53" s="228">
        <v>1.079</v>
      </c>
      <c r="K53" s="227">
        <f>J53*PARÂMETROS!$E$22</f>
        <v>45.717229999999994</v>
      </c>
      <c r="L53" s="228">
        <v>2E-3</v>
      </c>
      <c r="M53" s="230">
        <f>L53*PARÂMETROS!$E$8</f>
        <v>6.1780000000000002E-2</v>
      </c>
      <c r="N53" s="228">
        <f t="shared" si="1"/>
        <v>0.10400000000000001</v>
      </c>
      <c r="O53" s="230">
        <f>N53*PARÂMETROS!$E$8</f>
        <v>3.2125600000000003</v>
      </c>
      <c r="P53" s="228">
        <f t="shared" si="2"/>
        <v>0.1079</v>
      </c>
      <c r="Q53" s="230">
        <f>P53*PARÂMETROS!$E$8</f>
        <v>3.3330310000000001</v>
      </c>
      <c r="R53" s="228">
        <f t="shared" si="3"/>
        <v>1.0400000000000001E-2</v>
      </c>
      <c r="S53" s="230">
        <f>R53*PARÂMETROS!$E$8</f>
        <v>0.32125600000000004</v>
      </c>
      <c r="T53" s="231">
        <v>2.6</v>
      </c>
      <c r="U53" s="230">
        <f>T53*PARÂMETROS!$E$27</f>
        <v>7.8000000000000007</v>
      </c>
      <c r="V53" s="299">
        <v>10.84</v>
      </c>
      <c r="W53" s="230">
        <f>V53*PARÂMETROS!$E$29</f>
        <v>1944.0455999999999</v>
      </c>
      <c r="X53" s="299">
        <v>2.488</v>
      </c>
      <c r="Y53" s="230">
        <f>X53*PARÂMETROS!$E$31</f>
        <v>37.693199999999997</v>
      </c>
      <c r="Z53" s="228">
        <f t="shared" si="4"/>
        <v>0.10400000000000001</v>
      </c>
      <c r="AA53" s="230">
        <f>Z53*PARÂMETROS!$E$8</f>
        <v>3.2125600000000003</v>
      </c>
      <c r="AB53" s="228">
        <f t="shared" si="5"/>
        <v>1.0789999999999999E-2</v>
      </c>
      <c r="AC53" s="230">
        <f>AB53*PARÂMETROS!$E$8</f>
        <v>0.33330309999999996</v>
      </c>
      <c r="AD53" s="23"/>
      <c r="AE53" s="23"/>
      <c r="AF53" s="232" t="s">
        <v>1432</v>
      </c>
      <c r="AG53" s="264">
        <f t="shared" si="6"/>
        <v>8363.3785200999992</v>
      </c>
      <c r="AH53" s="23"/>
      <c r="AI53" s="224" t="s">
        <v>274</v>
      </c>
      <c r="AJ53" s="291">
        <f>PARÂMETROS!$H$3</f>
        <v>40</v>
      </c>
      <c r="AK53" s="267">
        <v>8.3333333333333301E-2</v>
      </c>
      <c r="AL53" s="267">
        <v>0.15277777777777801</v>
      </c>
      <c r="AM53" s="267">
        <v>0.11111111111111099</v>
      </c>
      <c r="AN53" s="267">
        <v>6.9444444444444397E-3</v>
      </c>
      <c r="AO53" s="267">
        <v>2.0833333333333301E-2</v>
      </c>
      <c r="AP53" s="267">
        <v>6.9444444444444397E-3</v>
      </c>
      <c r="AQ53" s="267">
        <v>3.125E-2</v>
      </c>
      <c r="AR53" s="271">
        <v>1</v>
      </c>
      <c r="AS53" s="292">
        <f t="shared" si="7"/>
        <v>0.41319444444444448</v>
      </c>
      <c r="AT53" s="291">
        <f t="shared" si="8"/>
        <v>396.66666666666669</v>
      </c>
      <c r="AU53" s="272">
        <f t="shared" si="9"/>
        <v>396.66666666666669</v>
      </c>
      <c r="AW53" s="273">
        <f t="shared" si="10"/>
        <v>8363.3785200999992</v>
      </c>
      <c r="AX53" s="274">
        <f t="shared" si="11"/>
        <v>396.66666666666669</v>
      </c>
      <c r="AY53" s="275">
        <v>1</v>
      </c>
      <c r="AZ53" s="276">
        <f t="shared" si="12"/>
        <v>396.66666666666669</v>
      </c>
      <c r="BA53" s="293">
        <f t="shared" si="13"/>
        <v>8760.0451867666652</v>
      </c>
      <c r="BB53" s="275">
        <v>1</v>
      </c>
      <c r="BV53" s="293">
        <v>80</v>
      </c>
      <c r="BW53" s="293">
        <f t="shared" si="14"/>
        <v>8840.0451867666652</v>
      </c>
    </row>
    <row r="54" spans="1:75" ht="25.5" customHeight="1" x14ac:dyDescent="0.3">
      <c r="A54" s="224" t="s">
        <v>278</v>
      </c>
      <c r="B54" s="225" t="s">
        <v>1409</v>
      </c>
      <c r="C54" s="228">
        <v>235</v>
      </c>
      <c r="D54" s="263">
        <f>C54*C5</f>
        <v>4603.6499999999996</v>
      </c>
      <c r="E54" s="228">
        <v>117.5</v>
      </c>
      <c r="F54" s="263">
        <f>E54*F5</f>
        <v>2301.8249999999998</v>
      </c>
      <c r="G54" s="227">
        <f t="shared" si="0"/>
        <v>6905.4749999999995</v>
      </c>
      <c r="H54" s="228">
        <v>11.7</v>
      </c>
      <c r="I54" s="227">
        <f>H54*PARÂMETROS!$E$22</f>
        <v>495.72899999999993</v>
      </c>
      <c r="J54" s="228">
        <v>1.1599999999999999</v>
      </c>
      <c r="K54" s="227">
        <f>J54*PARÂMETROS!$E$22</f>
        <v>49.149199999999993</v>
      </c>
      <c r="L54" s="228">
        <v>2E-3</v>
      </c>
      <c r="M54" s="230">
        <f>L54*PARÂMETROS!$E$8</f>
        <v>6.1780000000000002E-2</v>
      </c>
      <c r="N54" s="228">
        <f t="shared" si="1"/>
        <v>0.11699999999999999</v>
      </c>
      <c r="O54" s="230">
        <f>N54*PARÂMETROS!$E$8</f>
        <v>3.6141299999999998</v>
      </c>
      <c r="P54" s="228">
        <f t="shared" si="2"/>
        <v>0.11599999999999999</v>
      </c>
      <c r="Q54" s="230">
        <f>P54*PARÂMETROS!$E$8</f>
        <v>3.58324</v>
      </c>
      <c r="R54" s="228">
        <f t="shared" si="3"/>
        <v>1.17E-2</v>
      </c>
      <c r="S54" s="230">
        <f>R54*PARÂMETROS!$E$8</f>
        <v>0.36141300000000004</v>
      </c>
      <c r="T54" s="231">
        <v>2.7</v>
      </c>
      <c r="U54" s="230">
        <f>T54*PARÂMETROS!$E$27</f>
        <v>8.1000000000000014</v>
      </c>
      <c r="V54" s="299">
        <v>12.44</v>
      </c>
      <c r="W54" s="230">
        <f>V54*PARÂMETROS!$E$29</f>
        <v>2230.9895999999999</v>
      </c>
      <c r="X54" s="299">
        <v>2.7509999999999999</v>
      </c>
      <c r="Y54" s="230">
        <f>X54*PARÂMETROS!$E$31</f>
        <v>41.67765</v>
      </c>
      <c r="Z54" s="228">
        <f t="shared" si="4"/>
        <v>0.11699999999999999</v>
      </c>
      <c r="AA54" s="230">
        <f>Z54*PARÂMETROS!$E$8</f>
        <v>3.6141299999999998</v>
      </c>
      <c r="AB54" s="228">
        <f t="shared" si="5"/>
        <v>1.1599999999999999E-2</v>
      </c>
      <c r="AC54" s="230">
        <f>AB54*PARÂMETROS!$E$8</f>
        <v>0.35832399999999998</v>
      </c>
      <c r="AF54" s="232" t="s">
        <v>1433</v>
      </c>
      <c r="AG54" s="264">
        <f t="shared" si="6"/>
        <v>9742.7134669999996</v>
      </c>
      <c r="AH54" s="23"/>
      <c r="AI54" s="224" t="s">
        <v>278</v>
      </c>
      <c r="AJ54" s="291">
        <f>PARÂMETROS!$H$3</f>
        <v>40</v>
      </c>
      <c r="AK54" s="267">
        <v>8.3333333333333301E-2</v>
      </c>
      <c r="AL54" s="267">
        <v>0.15277777777777801</v>
      </c>
      <c r="AM54" s="267">
        <v>0.11111111111111099</v>
      </c>
      <c r="AN54" s="267">
        <v>6.9444444444444397E-3</v>
      </c>
      <c r="AO54" s="267">
        <v>2.0833333333333301E-2</v>
      </c>
      <c r="AP54" s="267">
        <v>6.9444444444444397E-3</v>
      </c>
      <c r="AQ54" s="267">
        <v>3.125E-2</v>
      </c>
      <c r="AR54" s="271">
        <v>1</v>
      </c>
      <c r="AS54" s="292">
        <f t="shared" si="7"/>
        <v>0.41319444444444448</v>
      </c>
      <c r="AT54" s="291">
        <f t="shared" si="8"/>
        <v>396.66666666666669</v>
      </c>
      <c r="AU54" s="272">
        <f t="shared" si="9"/>
        <v>396.66666666666669</v>
      </c>
      <c r="AW54" s="273">
        <f t="shared" si="10"/>
        <v>9742.7134669999996</v>
      </c>
      <c r="AX54" s="274">
        <f t="shared" si="11"/>
        <v>396.66666666666669</v>
      </c>
      <c r="AY54" s="275">
        <v>1</v>
      </c>
      <c r="AZ54" s="276">
        <f t="shared" si="12"/>
        <v>396.66666666666669</v>
      </c>
      <c r="BA54" s="293">
        <f t="shared" si="13"/>
        <v>10139.380133666666</v>
      </c>
      <c r="BB54" s="275">
        <v>1</v>
      </c>
      <c r="BV54" s="293">
        <v>80</v>
      </c>
      <c r="BW54" s="293">
        <f t="shared" si="14"/>
        <v>10219.380133666666</v>
      </c>
    </row>
    <row r="55" spans="1:75" s="223" customFormat="1" ht="14.25" customHeight="1" x14ac:dyDescent="0.3">
      <c r="A55" s="43"/>
      <c r="B55" s="43"/>
      <c r="C55" s="43"/>
      <c r="D55" s="246"/>
      <c r="E55" s="43"/>
      <c r="F55" s="246"/>
      <c r="G55" s="246"/>
      <c r="H55" s="43"/>
      <c r="I55" s="43"/>
      <c r="J55" s="246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280"/>
      <c r="AW55" s="280"/>
      <c r="AX55" s="280"/>
      <c r="BA55" s="280"/>
      <c r="BB55" s="280"/>
      <c r="BC55" s="280"/>
      <c r="BD55" s="280"/>
      <c r="BE55" s="280"/>
      <c r="BF55" s="280"/>
      <c r="BG55" s="280"/>
      <c r="BH55" s="280"/>
      <c r="BI55" s="280"/>
      <c r="BJ55" s="280"/>
      <c r="BK55" s="280"/>
      <c r="BL55" s="280"/>
      <c r="BM55" s="280"/>
      <c r="BN55" s="280"/>
      <c r="BO55" s="280"/>
      <c r="BP55" s="280"/>
      <c r="BQ55" s="280"/>
      <c r="BR55" s="280"/>
      <c r="BS55" s="280"/>
      <c r="BT55" s="280"/>
    </row>
    <row r="56" spans="1:75" s="223" customFormat="1" ht="14.25" customHeight="1" x14ac:dyDescent="0.3">
      <c r="A56" s="43"/>
      <c r="B56" s="43"/>
      <c r="C56" s="43"/>
      <c r="D56" s="246"/>
      <c r="E56" s="43"/>
      <c r="F56" s="246"/>
      <c r="G56" s="246"/>
      <c r="H56" s="43"/>
      <c r="I56" s="43"/>
      <c r="J56" s="246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280"/>
      <c r="AW56" s="280"/>
      <c r="AX56" s="280"/>
      <c r="BA56" s="280"/>
      <c r="BB56" s="280"/>
      <c r="BC56" s="280"/>
      <c r="BD56" s="280"/>
      <c r="BE56" s="280"/>
      <c r="BF56" s="280"/>
      <c r="BG56" s="280"/>
      <c r="BH56" s="280"/>
      <c r="BI56" s="280"/>
      <c r="BJ56" s="280"/>
      <c r="BK56" s="280"/>
      <c r="BL56" s="280"/>
      <c r="BM56" s="280"/>
      <c r="BN56" s="280"/>
      <c r="BO56" s="280"/>
      <c r="BP56" s="280"/>
      <c r="BQ56" s="280"/>
      <c r="BR56" s="280"/>
      <c r="BS56" s="280"/>
      <c r="BT56" s="280"/>
    </row>
    <row r="57" spans="1:75" s="223" customFormat="1" ht="14.25" customHeight="1" x14ac:dyDescent="0.3">
      <c r="A57" s="43"/>
      <c r="B57" s="43"/>
      <c r="C57" s="43"/>
      <c r="D57" s="246"/>
      <c r="E57" s="43"/>
      <c r="F57" s="246"/>
      <c r="G57" s="246"/>
      <c r="H57" s="43"/>
      <c r="I57" s="43"/>
      <c r="J57" s="246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280"/>
      <c r="AW57" s="280"/>
      <c r="AX57" s="280"/>
      <c r="BA57" s="280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  <c r="BR57" s="280"/>
      <c r="BS57" s="280"/>
      <c r="BT57" s="280"/>
    </row>
    <row r="58" spans="1:75" s="223" customFormat="1" ht="14.25" customHeight="1" x14ac:dyDescent="0.3">
      <c r="A58" s="43"/>
      <c r="B58" s="43"/>
      <c r="C58" s="43"/>
      <c r="D58" s="246"/>
      <c r="E58" s="43"/>
      <c r="F58" s="246"/>
      <c r="G58" s="246"/>
      <c r="H58" s="43"/>
      <c r="I58" s="43"/>
      <c r="J58" s="246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280"/>
      <c r="AW58" s="280"/>
      <c r="AX58" s="280"/>
      <c r="BA58" s="280"/>
      <c r="BB58" s="280"/>
      <c r="BC58" s="280"/>
      <c r="BD58" s="280"/>
      <c r="BE58" s="280"/>
      <c r="BF58" s="280"/>
      <c r="BG58" s="280"/>
      <c r="BH58" s="280"/>
      <c r="BI58" s="280"/>
      <c r="BJ58" s="280"/>
      <c r="BK58" s="280"/>
      <c r="BL58" s="280"/>
      <c r="BM58" s="280"/>
      <c r="BN58" s="280"/>
      <c r="BO58" s="280"/>
      <c r="BP58" s="280"/>
      <c r="BQ58" s="280"/>
      <c r="BR58" s="280"/>
      <c r="BS58" s="280"/>
      <c r="BT58" s="280"/>
    </row>
    <row r="59" spans="1:75" ht="14.25" customHeight="1" x14ac:dyDescent="0.3">
      <c r="A59" s="43"/>
      <c r="B59" s="43"/>
      <c r="C59" s="43"/>
      <c r="D59" s="246"/>
      <c r="E59" s="43"/>
      <c r="F59" s="246"/>
      <c r="G59" s="246"/>
      <c r="H59" s="43"/>
      <c r="I59" s="43"/>
      <c r="J59" s="246"/>
      <c r="K59" s="43"/>
      <c r="L59" s="43"/>
      <c r="M59" s="43"/>
      <c r="N59" s="43"/>
    </row>
  </sheetData>
  <autoFilter ref="A6:BR54" xr:uid="{00000000-0009-0000-0000-00000F000000}"/>
  <mergeCells count="28">
    <mergeCell ref="AX4:AZ5"/>
    <mergeCell ref="D5:E5"/>
    <mergeCell ref="F5:G5"/>
    <mergeCell ref="AX2:AZ3"/>
    <mergeCell ref="BB2:BF2"/>
    <mergeCell ref="A3:G3"/>
    <mergeCell ref="H3:M3"/>
    <mergeCell ref="N3:S3"/>
    <mergeCell ref="T3:U3"/>
    <mergeCell ref="V3:W3"/>
    <mergeCell ref="X3:Y3"/>
    <mergeCell ref="Z3:AC3"/>
    <mergeCell ref="AF4:AG5"/>
    <mergeCell ref="AI4:AT5"/>
    <mergeCell ref="H4:J5"/>
    <mergeCell ref="A2:Y2"/>
    <mergeCell ref="AF2:AG2"/>
    <mergeCell ref="K4:M5"/>
    <mergeCell ref="U4:U5"/>
    <mergeCell ref="X4:X5"/>
    <mergeCell ref="Y4:Y5"/>
    <mergeCell ref="Z4:AA5"/>
    <mergeCell ref="AB4:AC5"/>
    <mergeCell ref="D4:E4"/>
    <mergeCell ref="F4:G4"/>
    <mergeCell ref="N4:P5"/>
    <mergeCell ref="Q4:S5"/>
    <mergeCell ref="T4:T5"/>
  </mergeCells>
  <hyperlinks>
    <hyperlink ref="A5" location="PAINEL!A1" tooltip="Voltar ao Painel de Navegação" display="⬅ PAINEL" xr:uid="{FC0626AA-F8A8-4C05-BFF9-D47A98AE935D}"/>
    <hyperlink ref="C2" location="PAINEL!A1" tooltip="Voltar ao Painel de Navegação" display="⬅ PAINEL" xr:uid="{489BB07B-A021-404A-96B7-1980D7078CA4}"/>
    <hyperlink ref="A1" location="PAINEL!A1" tooltip="Voltar ao Painel de Navegação" display="⬅ PAINEL" xr:uid="{38F93950-FF48-4E03-B08C-6F3AEB8894DE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A1:BV59"/>
  <sheetViews>
    <sheetView topLeftCell="AH1" zoomScale="85" zoomScaleNormal="85" workbookViewId="0">
      <pane ySplit="5" topLeftCell="A6" activePane="bottomLeft" state="frozen"/>
      <selection activeCell="Q1" sqref="Q1"/>
      <selection pane="bottomLeft" activeCell="BB31" sqref="BB31:BB54"/>
    </sheetView>
  </sheetViews>
  <sheetFormatPr defaultColWidth="8.5546875" defaultRowHeight="14.4" x14ac:dyDescent="0.3"/>
  <cols>
    <col min="1" max="1" width="42.77734375" style="184" bestFit="1" customWidth="1"/>
    <col min="2" max="2" width="31.33203125" style="185" customWidth="1"/>
    <col min="3" max="3" width="15.6640625" style="185" customWidth="1"/>
    <col min="4" max="4" width="16.109375" style="186" customWidth="1"/>
    <col min="5" max="5" width="14.6640625" style="185" customWidth="1"/>
    <col min="6" max="6" width="19.109375" style="186" customWidth="1"/>
    <col min="7" max="7" width="20.33203125" style="186" customWidth="1"/>
    <col min="8" max="9" width="23.6640625" style="185" customWidth="1"/>
    <col min="10" max="10" width="23" style="186" customWidth="1"/>
    <col min="11" max="11" width="24" style="185" customWidth="1"/>
    <col min="12" max="12" width="20.33203125" style="187" customWidth="1"/>
    <col min="13" max="13" width="19.109375" style="188" customWidth="1"/>
    <col min="14" max="14" width="21.88671875" style="188" customWidth="1"/>
    <col min="15" max="15" width="20" style="43" customWidth="1"/>
    <col min="16" max="16" width="21.109375" style="43" customWidth="1"/>
    <col min="17" max="17" width="24.88671875" style="43" customWidth="1"/>
    <col min="18" max="18" width="17.5546875" style="43" customWidth="1"/>
    <col min="19" max="19" width="17" style="43" customWidth="1"/>
    <col min="20" max="20" width="21.88671875" style="43" customWidth="1"/>
    <col min="21" max="21" width="13.44140625" style="43" customWidth="1"/>
    <col min="22" max="22" width="41.88671875" style="43" customWidth="1"/>
    <col min="23" max="23" width="27.44140625" style="43" customWidth="1"/>
    <col min="24" max="24" width="25" style="43" customWidth="1"/>
    <col min="25" max="25" width="18.6640625" style="43" customWidth="1"/>
    <col min="26" max="28" width="27.6640625" style="43" customWidth="1"/>
    <col min="29" max="29" width="21.109375" style="43" customWidth="1"/>
    <col min="30" max="31" width="13.44140625" style="43" customWidth="1"/>
    <col min="32" max="32" width="17.6640625" style="43" customWidth="1"/>
    <col min="33" max="33" width="20.5546875" style="43" customWidth="1"/>
    <col min="34" max="35" width="7.88671875" style="43" customWidth="1"/>
    <col min="36" max="37" width="7.88671875" style="23" customWidth="1"/>
    <col min="38" max="45" width="8.88671875" style="23" customWidth="1"/>
    <col min="46" max="46" width="22.6640625" style="23" customWidth="1"/>
    <col min="47" max="47" width="13.88671875" style="23" customWidth="1"/>
    <col min="48" max="48" width="21.6640625" style="23" customWidth="1"/>
    <col min="49" max="50" width="14" style="23" customWidth="1"/>
    <col min="51" max="51" width="8" style="23" customWidth="1"/>
    <col min="52" max="53" width="14" style="23" customWidth="1"/>
    <col min="54" max="54" width="9.6640625" style="23" customWidth="1"/>
    <col min="55" max="69" width="14" style="23" customWidth="1"/>
  </cols>
  <sheetData>
    <row r="1" spans="1:74" ht="19.95" customHeight="1" x14ac:dyDescent="0.3">
      <c r="A1" s="357" t="s">
        <v>1757</v>
      </c>
    </row>
    <row r="2" spans="1:74" ht="75" customHeight="1" x14ac:dyDescent="0.3">
      <c r="A2" s="485" t="s">
        <v>1471</v>
      </c>
      <c r="B2" s="485"/>
      <c r="C2" s="496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  <c r="AA2" s="485"/>
      <c r="AB2" s="485"/>
      <c r="AC2" s="485"/>
      <c r="AX2" s="466" t="s">
        <v>1217</v>
      </c>
      <c r="AY2" s="466"/>
      <c r="AZ2" s="466"/>
      <c r="BB2" s="497"/>
      <c r="BC2" s="497"/>
      <c r="BD2" s="497"/>
      <c r="BE2" s="497"/>
      <c r="BF2" s="497"/>
    </row>
    <row r="3" spans="1:74" ht="78" customHeight="1" x14ac:dyDescent="0.3">
      <c r="A3" s="498" t="s">
        <v>1359</v>
      </c>
      <c r="B3" s="498"/>
      <c r="C3" s="498"/>
      <c r="D3" s="498"/>
      <c r="E3" s="498"/>
      <c r="F3" s="498"/>
      <c r="G3" s="498"/>
      <c r="H3" s="485" t="s">
        <v>1435</v>
      </c>
      <c r="I3" s="485"/>
      <c r="J3" s="485"/>
      <c r="K3" s="485"/>
      <c r="L3" s="485"/>
      <c r="M3" s="485"/>
      <c r="N3" s="485" t="s">
        <v>1361</v>
      </c>
      <c r="O3" s="485"/>
      <c r="P3" s="485"/>
      <c r="Q3" s="485"/>
      <c r="R3" s="485"/>
      <c r="S3" s="485"/>
      <c r="T3" s="485" t="s">
        <v>1362</v>
      </c>
      <c r="U3" s="485"/>
      <c r="V3" s="485" t="s">
        <v>1472</v>
      </c>
      <c r="W3" s="485"/>
      <c r="X3" s="485" t="s">
        <v>1473</v>
      </c>
      <c r="Y3" s="485"/>
      <c r="Z3" s="485" t="s">
        <v>1436</v>
      </c>
      <c r="AA3" s="485"/>
      <c r="AB3" s="485"/>
      <c r="AC3" s="485"/>
      <c r="AD3" s="23"/>
      <c r="AE3" s="23"/>
      <c r="AF3" s="23"/>
      <c r="AG3" s="23"/>
      <c r="AH3" s="23"/>
      <c r="AI3" s="23"/>
      <c r="AX3" s="466"/>
      <c r="AY3" s="466"/>
      <c r="AZ3" s="466"/>
    </row>
    <row r="4" spans="1:74" ht="39.75" customHeight="1" x14ac:dyDescent="0.3">
      <c r="A4" s="321" t="s">
        <v>1758</v>
      </c>
      <c r="B4" s="320"/>
      <c r="C4" s="250" t="s">
        <v>1363</v>
      </c>
      <c r="D4" s="493" t="s">
        <v>1364</v>
      </c>
      <c r="E4" s="493"/>
      <c r="F4" s="494" t="s">
        <v>1365</v>
      </c>
      <c r="G4" s="494"/>
      <c r="H4" s="505" t="s">
        <v>1843</v>
      </c>
      <c r="I4" s="505"/>
      <c r="J4" s="505"/>
      <c r="K4" s="478">
        <f>PARÂMETROS!$E$22</f>
        <v>42.37</v>
      </c>
      <c r="L4" s="478"/>
      <c r="M4" s="478"/>
      <c r="N4" s="504" t="s">
        <v>1837</v>
      </c>
      <c r="O4" s="504"/>
      <c r="P4" s="504"/>
      <c r="Q4" s="492">
        <f>PARÂMETROS!$E$8</f>
        <v>30.89</v>
      </c>
      <c r="R4" s="492"/>
      <c r="S4" s="492"/>
      <c r="T4" s="479" t="s">
        <v>1833</v>
      </c>
      <c r="U4" s="480">
        <f>PARÂMETROS!$E$27</f>
        <v>3</v>
      </c>
      <c r="V4" s="504" t="s">
        <v>1848</v>
      </c>
      <c r="W4" s="492">
        <f>PARÂMETROS!$E$30</f>
        <v>5.84</v>
      </c>
      <c r="X4" s="479" t="s">
        <v>1849</v>
      </c>
      <c r="Y4" s="480">
        <f>PARÂMETROS!$E$31</f>
        <v>15.15</v>
      </c>
      <c r="Z4" s="500" t="s">
        <v>1847</v>
      </c>
      <c r="AA4" s="500"/>
      <c r="AB4" s="502">
        <f>PARÂMETROS!$E$26</f>
        <v>89.3</v>
      </c>
      <c r="AC4" s="502"/>
      <c r="AF4" s="472" t="s">
        <v>1474</v>
      </c>
      <c r="AG4" s="472"/>
      <c r="AH4" s="23"/>
      <c r="AI4" s="509" t="s">
        <v>836</v>
      </c>
      <c r="AJ4" s="509"/>
      <c r="AK4" s="509"/>
      <c r="AL4" s="509"/>
      <c r="AM4" s="509"/>
      <c r="AN4" s="509"/>
      <c r="AO4" s="509"/>
      <c r="AP4" s="509"/>
      <c r="AQ4" s="509"/>
      <c r="AR4" s="509"/>
      <c r="AS4" s="509"/>
      <c r="AT4" s="509"/>
      <c r="AU4" s="297"/>
      <c r="AX4" s="499" t="s">
        <v>1459</v>
      </c>
      <c r="AY4" s="499"/>
      <c r="AZ4" s="499"/>
    </row>
    <row r="5" spans="1:74" ht="82.5" customHeight="1" x14ac:dyDescent="0.3">
      <c r="A5" s="359"/>
      <c r="B5" s="362"/>
      <c r="C5" s="252">
        <f>PARÂMETROS!$E$23</f>
        <v>19.59</v>
      </c>
      <c r="D5" s="490">
        <f>PARÂMETROS!$E$24</f>
        <v>19.59</v>
      </c>
      <c r="E5" s="490"/>
      <c r="F5" s="491">
        <f>PARÂMETROS!$E$25</f>
        <v>19.59</v>
      </c>
      <c r="G5" s="491"/>
      <c r="H5" s="505"/>
      <c r="I5" s="505"/>
      <c r="J5" s="505"/>
      <c r="K5" s="478"/>
      <c r="L5" s="478"/>
      <c r="M5" s="478"/>
      <c r="N5" s="504"/>
      <c r="O5" s="504"/>
      <c r="P5" s="504"/>
      <c r="Q5" s="492"/>
      <c r="R5" s="492"/>
      <c r="S5" s="492"/>
      <c r="T5" s="479"/>
      <c r="U5" s="480"/>
      <c r="V5" s="504"/>
      <c r="W5" s="504"/>
      <c r="X5" s="479"/>
      <c r="Y5" s="480"/>
      <c r="Z5" s="500"/>
      <c r="AA5" s="500"/>
      <c r="AB5" s="502"/>
      <c r="AC5" s="502"/>
      <c r="AD5" s="23"/>
      <c r="AE5" s="23"/>
      <c r="AF5" s="472"/>
      <c r="AG5" s="472"/>
      <c r="AH5" s="23"/>
      <c r="AI5" s="509"/>
      <c r="AJ5" s="509"/>
      <c r="AK5" s="509"/>
      <c r="AL5" s="509"/>
      <c r="AM5" s="509"/>
      <c r="AN5" s="509"/>
      <c r="AO5" s="509"/>
      <c r="AP5" s="509"/>
      <c r="AQ5" s="509"/>
      <c r="AR5" s="509"/>
      <c r="AS5" s="509"/>
      <c r="AT5" s="509"/>
      <c r="AU5" s="298"/>
      <c r="AX5" s="499"/>
      <c r="AY5" s="499"/>
      <c r="AZ5" s="499"/>
      <c r="BB5" s="366" t="s">
        <v>1816</v>
      </c>
    </row>
    <row r="6" spans="1:74" ht="34.5" customHeight="1" x14ac:dyDescent="0.3">
      <c r="A6" s="204" t="s">
        <v>10</v>
      </c>
      <c r="B6" s="205" t="s">
        <v>1235</v>
      </c>
      <c r="C6" s="206" t="s">
        <v>1369</v>
      </c>
      <c r="D6" s="253" t="s">
        <v>1370</v>
      </c>
      <c r="E6" s="206" t="s">
        <v>1371</v>
      </c>
      <c r="F6" s="253" t="s">
        <v>1372</v>
      </c>
      <c r="G6" s="254" t="s">
        <v>1373</v>
      </c>
      <c r="H6" s="206" t="s">
        <v>1440</v>
      </c>
      <c r="I6" s="253" t="s">
        <v>1441</v>
      </c>
      <c r="J6" s="206" t="s">
        <v>1442</v>
      </c>
      <c r="K6" s="207" t="s">
        <v>1460</v>
      </c>
      <c r="L6" s="206" t="s">
        <v>1240</v>
      </c>
      <c r="M6" s="207" t="s">
        <v>1443</v>
      </c>
      <c r="N6" s="208" t="s">
        <v>1444</v>
      </c>
      <c r="O6" s="209" t="s">
        <v>1445</v>
      </c>
      <c r="P6" s="208" t="s">
        <v>1374</v>
      </c>
      <c r="Q6" s="209" t="s">
        <v>1446</v>
      </c>
      <c r="R6" s="208" t="s">
        <v>1447</v>
      </c>
      <c r="S6" s="209" t="s">
        <v>1448</v>
      </c>
      <c r="T6" s="208" t="s">
        <v>1242</v>
      </c>
      <c r="U6" s="209" t="s">
        <v>1243</v>
      </c>
      <c r="V6" s="208" t="s">
        <v>1461</v>
      </c>
      <c r="W6" s="209" t="s">
        <v>1462</v>
      </c>
      <c r="X6" s="208" t="s">
        <v>1463</v>
      </c>
      <c r="Y6" s="209" t="s">
        <v>1464</v>
      </c>
      <c r="Z6" s="208" t="s">
        <v>1449</v>
      </c>
      <c r="AA6" s="209" t="s">
        <v>1450</v>
      </c>
      <c r="AB6" s="208" t="s">
        <v>1451</v>
      </c>
      <c r="AC6" s="209" t="s">
        <v>1452</v>
      </c>
      <c r="AF6" s="210" t="s">
        <v>10</v>
      </c>
      <c r="AG6" s="211" t="s">
        <v>1120</v>
      </c>
      <c r="AH6" s="23"/>
      <c r="AI6" s="285"/>
      <c r="AJ6" s="306" t="s">
        <v>880</v>
      </c>
      <c r="AK6" s="307" t="s">
        <v>1376</v>
      </c>
      <c r="AL6" s="307" t="s">
        <v>1453</v>
      </c>
      <c r="AM6" s="307" t="s">
        <v>1454</v>
      </c>
      <c r="AN6" s="307" t="s">
        <v>1377</v>
      </c>
      <c r="AO6" s="307" t="s">
        <v>1248</v>
      </c>
      <c r="AP6" s="307" t="s">
        <v>1378</v>
      </c>
      <c r="AQ6" s="307" t="s">
        <v>1251</v>
      </c>
      <c r="AR6" s="303" t="s">
        <v>1380</v>
      </c>
      <c r="AS6" s="308" t="s">
        <v>1252</v>
      </c>
      <c r="AT6" s="301" t="s">
        <v>1253</v>
      </c>
      <c r="AU6" s="260" t="s">
        <v>1382</v>
      </c>
      <c r="AW6" s="217" t="s">
        <v>1093</v>
      </c>
      <c r="AX6" s="218" t="s">
        <v>882</v>
      </c>
      <c r="AY6" s="36" t="s">
        <v>954</v>
      </c>
      <c r="AZ6" s="220" t="s">
        <v>955</v>
      </c>
      <c r="BA6" s="48" t="s">
        <v>883</v>
      </c>
      <c r="BB6" s="36" t="s">
        <v>954</v>
      </c>
      <c r="BU6" s="48" t="s">
        <v>957</v>
      </c>
      <c r="BV6" s="48" t="s">
        <v>1383</v>
      </c>
    </row>
    <row r="7" spans="1:74" ht="27" customHeight="1" x14ac:dyDescent="0.3">
      <c r="A7" s="224" t="s">
        <v>196</v>
      </c>
      <c r="B7" s="225" t="s">
        <v>1384</v>
      </c>
      <c r="C7" s="225">
        <v>5.2999999999999999E-2</v>
      </c>
      <c r="D7" s="263">
        <f>C7*D5</f>
        <v>1.03827</v>
      </c>
      <c r="E7" s="225">
        <v>2.4E-2</v>
      </c>
      <c r="F7" s="263">
        <f>E7*F5</f>
        <v>0.47016000000000002</v>
      </c>
      <c r="G7" s="227">
        <f t="shared" ref="G7:G54" si="0">D7+F7</f>
        <v>1.5084300000000002</v>
      </c>
      <c r="H7" s="228">
        <v>0.1</v>
      </c>
      <c r="I7" s="227">
        <f>H7*PARÂMETROS!$E$22</f>
        <v>4.2370000000000001</v>
      </c>
      <c r="J7" s="228">
        <v>3.0000000000000001E-3</v>
      </c>
      <c r="K7" s="227">
        <f>J7*PARÂMETROS!$E$22</f>
        <v>0.12711</v>
      </c>
      <c r="L7" s="228">
        <v>2E-3</v>
      </c>
      <c r="M7" s="230">
        <f>L7*PARÂMETROS!$E$8</f>
        <v>6.1780000000000002E-2</v>
      </c>
      <c r="N7" s="228">
        <f t="shared" ref="N7:N54" si="1">H7*0.01</f>
        <v>1E-3</v>
      </c>
      <c r="O7" s="230">
        <f>N7*PARÂMETROS!$E$8</f>
        <v>3.0890000000000001E-2</v>
      </c>
      <c r="P7" s="228">
        <f t="shared" ref="P7:P54" si="2">0.1 * J7</f>
        <v>3.0000000000000003E-4</v>
      </c>
      <c r="Q7" s="230">
        <f>P7*PARÂMETROS!$E$8</f>
        <v>9.2670000000000009E-3</v>
      </c>
      <c r="R7" s="228">
        <f t="shared" ref="R7:R54" si="3">0.1 * N7</f>
        <v>1E-4</v>
      </c>
      <c r="S7" s="230">
        <f>R7*PARÂMETROS!$E$8</f>
        <v>3.0890000000000002E-3</v>
      </c>
      <c r="T7" s="231">
        <v>0.3</v>
      </c>
      <c r="U7" s="230">
        <f>T7*PARÂMETROS!$E$27</f>
        <v>0.89999999999999991</v>
      </c>
      <c r="V7" s="299">
        <f>0.129/2</f>
        <v>6.4500000000000002E-2</v>
      </c>
      <c r="W7" s="230">
        <f>V7*PARÂMETROS!$E$30</f>
        <v>0.37668000000000001</v>
      </c>
      <c r="X7" s="299">
        <v>2.5999999999999999E-2</v>
      </c>
      <c r="Y7" s="230">
        <f>X7*PARÂMETROS!$E$31</f>
        <v>0.39389999999999997</v>
      </c>
      <c r="Z7" s="228">
        <f t="shared" ref="Z7:Z54" si="4">H7*0.01</f>
        <v>1E-3</v>
      </c>
      <c r="AA7" s="230">
        <f>Z7*PARÂMETROS!$E$8</f>
        <v>3.0890000000000001E-2</v>
      </c>
      <c r="AB7" s="229">
        <f t="shared" ref="AB7:AB54" si="5">J7*0.01</f>
        <v>3.0000000000000001E-5</v>
      </c>
      <c r="AC7" s="230">
        <f>AB7*PARÂMETROS!$E$8</f>
        <v>9.2670000000000003E-4</v>
      </c>
      <c r="AD7" s="23"/>
      <c r="AE7" s="23"/>
      <c r="AF7" s="232" t="s">
        <v>1385</v>
      </c>
      <c r="AG7" s="264">
        <f t="shared" ref="AG7:AG54" si="6">U7+S7+Q7+O7+M7+K7+I7+G7+W7+Y7+AA7+AC7</f>
        <v>7.6799627000000008</v>
      </c>
      <c r="AH7" s="23"/>
      <c r="AI7" s="224" t="s">
        <v>196</v>
      </c>
      <c r="AJ7" s="291">
        <f>PARÂMETROS!$H$3</f>
        <v>40</v>
      </c>
      <c r="AK7" s="267">
        <v>2.1527777777777798E-2</v>
      </c>
      <c r="AL7" s="267">
        <v>2.7777777777777801E-2</v>
      </c>
      <c r="AM7" s="267">
        <v>1.38888888888889E-2</v>
      </c>
      <c r="AN7" s="267"/>
      <c r="AO7" s="267">
        <v>2.0833333333333301E-2</v>
      </c>
      <c r="AP7" s="267">
        <v>6.9444444444444397E-3</v>
      </c>
      <c r="AQ7" s="267">
        <v>3.125E-2</v>
      </c>
      <c r="AR7" s="271">
        <v>4</v>
      </c>
      <c r="AS7" s="292">
        <f t="shared" ref="AS7:AS54" si="7">AP7+AQ7+AO7+AN7+AM7+AL7+AK7</f>
        <v>0.12222222222222225</v>
      </c>
      <c r="AT7" s="291">
        <f t="shared" ref="AT7:AT54" si="8">AJ7*AS7*24</f>
        <v>117.33333333333337</v>
      </c>
      <c r="AU7" s="272">
        <f t="shared" ref="AU7:AU54" si="9">AT7/AR7</f>
        <v>29.333333333333343</v>
      </c>
      <c r="AW7" s="273">
        <f t="shared" ref="AW7:AW54" si="10">AG7</f>
        <v>7.6799627000000008</v>
      </c>
      <c r="AX7" s="274">
        <f t="shared" ref="AX7:AX54" si="11">AT7</f>
        <v>117.33333333333337</v>
      </c>
      <c r="AY7" s="275">
        <v>4</v>
      </c>
      <c r="AZ7" s="276">
        <f t="shared" ref="AZ7:AZ54" si="12">IFERROR(AX7/AY7,0)</f>
        <v>29.333333333333343</v>
      </c>
      <c r="BA7" s="293">
        <f t="shared" ref="BA7:BA54" si="13">AZ7+AW7</f>
        <v>37.013296033333347</v>
      </c>
      <c r="BB7" s="275">
        <v>4</v>
      </c>
      <c r="BU7" s="293">
        <v>80</v>
      </c>
      <c r="BV7" s="293">
        <f t="shared" ref="BV7:BV54" si="14">BA7+BU7</f>
        <v>117.01329603333335</v>
      </c>
    </row>
    <row r="8" spans="1:74" ht="27" customHeight="1" x14ac:dyDescent="0.3">
      <c r="A8" s="224" t="s">
        <v>200</v>
      </c>
      <c r="B8" s="225" t="s">
        <v>1384</v>
      </c>
      <c r="C8" s="228">
        <v>0.1</v>
      </c>
      <c r="D8" s="263">
        <f>C8*D5</f>
        <v>1.9590000000000001</v>
      </c>
      <c r="E8" s="228">
        <v>4.4999999999999998E-2</v>
      </c>
      <c r="F8" s="263">
        <f>E8*F5</f>
        <v>0.88154999999999994</v>
      </c>
      <c r="G8" s="227">
        <f t="shared" si="0"/>
        <v>2.8405499999999999</v>
      </c>
      <c r="H8" s="228">
        <v>0.14000000000000001</v>
      </c>
      <c r="I8" s="227">
        <f>H8*PARÂMETROS!$E$22</f>
        <v>5.9318</v>
      </c>
      <c r="J8" s="228">
        <v>6.0000000000000001E-3</v>
      </c>
      <c r="K8" s="227">
        <f>J8*PARÂMETROS!$E$22</f>
        <v>0.25422</v>
      </c>
      <c r="L8" s="228">
        <v>2E-3</v>
      </c>
      <c r="M8" s="230">
        <f>L8*PARÂMETROS!$E$8</f>
        <v>6.1780000000000002E-2</v>
      </c>
      <c r="N8" s="228">
        <f t="shared" si="1"/>
        <v>1.4000000000000002E-3</v>
      </c>
      <c r="O8" s="230">
        <f>N8*PARÂMETROS!$E$8</f>
        <v>4.3246000000000007E-2</v>
      </c>
      <c r="P8" s="228">
        <f t="shared" si="2"/>
        <v>6.0000000000000006E-4</v>
      </c>
      <c r="Q8" s="230">
        <f>P8*PARÂMETROS!$E$8</f>
        <v>1.8534000000000002E-2</v>
      </c>
      <c r="R8" s="228">
        <f t="shared" si="3"/>
        <v>1.4000000000000001E-4</v>
      </c>
      <c r="S8" s="230">
        <f>R8*PARÂMETROS!$E$8</f>
        <v>4.3246000000000005E-3</v>
      </c>
      <c r="T8" s="231">
        <v>0.36</v>
      </c>
      <c r="U8" s="230">
        <f>T8*PARÂMETROS!$E$27</f>
        <v>1.08</v>
      </c>
      <c r="V8" s="299">
        <f>0.255/2</f>
        <v>0.1275</v>
      </c>
      <c r="W8" s="230">
        <f>V8*PARÂMETROS!$E$30</f>
        <v>0.74460000000000004</v>
      </c>
      <c r="X8" s="299">
        <v>5.0999999999999997E-2</v>
      </c>
      <c r="Y8" s="230">
        <f>X8*PARÂMETROS!$E$31</f>
        <v>0.77264999999999995</v>
      </c>
      <c r="Z8" s="228">
        <f t="shared" si="4"/>
        <v>1.4000000000000002E-3</v>
      </c>
      <c r="AA8" s="230">
        <f>Z8*PARÂMETROS!$E$8</f>
        <v>4.3246000000000007E-2</v>
      </c>
      <c r="AB8" s="229">
        <f t="shared" si="5"/>
        <v>6.0000000000000002E-5</v>
      </c>
      <c r="AC8" s="230">
        <f>AB8*PARÂMETROS!$E$8</f>
        <v>1.8534000000000001E-3</v>
      </c>
      <c r="AF8" s="232" t="s">
        <v>1386</v>
      </c>
      <c r="AG8" s="264">
        <f t="shared" si="6"/>
        <v>11.796804</v>
      </c>
      <c r="AH8" s="23"/>
      <c r="AI8" s="224" t="s">
        <v>200</v>
      </c>
      <c r="AJ8" s="291">
        <f>PARÂMETROS!$H$3</f>
        <v>40</v>
      </c>
      <c r="AK8" s="267">
        <v>2.1527777777777798E-2</v>
      </c>
      <c r="AL8" s="267">
        <v>2.7777777777777801E-2</v>
      </c>
      <c r="AM8" s="267">
        <v>1.38888888888889E-2</v>
      </c>
      <c r="AN8" s="267"/>
      <c r="AO8" s="267">
        <v>2.0833333333333301E-2</v>
      </c>
      <c r="AP8" s="267">
        <v>6.9444444444444397E-3</v>
      </c>
      <c r="AQ8" s="267">
        <v>3.125E-2</v>
      </c>
      <c r="AR8" s="271">
        <v>4</v>
      </c>
      <c r="AS8" s="292">
        <f t="shared" si="7"/>
        <v>0.12222222222222225</v>
      </c>
      <c r="AT8" s="291">
        <f t="shared" si="8"/>
        <v>117.33333333333337</v>
      </c>
      <c r="AU8" s="272">
        <f t="shared" si="9"/>
        <v>29.333333333333343</v>
      </c>
      <c r="AW8" s="273">
        <f t="shared" si="10"/>
        <v>11.796804</v>
      </c>
      <c r="AX8" s="274">
        <f t="shared" si="11"/>
        <v>117.33333333333337</v>
      </c>
      <c r="AY8" s="275">
        <v>4</v>
      </c>
      <c r="AZ8" s="276">
        <f t="shared" si="12"/>
        <v>29.333333333333343</v>
      </c>
      <c r="BA8" s="293">
        <f t="shared" si="13"/>
        <v>41.130137333333344</v>
      </c>
      <c r="BB8" s="275">
        <v>4</v>
      </c>
      <c r="BU8" s="293">
        <v>80</v>
      </c>
      <c r="BV8" s="293">
        <f t="shared" si="14"/>
        <v>121.13013733333335</v>
      </c>
    </row>
    <row r="9" spans="1:74" ht="27" customHeight="1" x14ac:dyDescent="0.3">
      <c r="A9" s="224" t="s">
        <v>185</v>
      </c>
      <c r="B9" s="225" t="s">
        <v>1384</v>
      </c>
      <c r="C9" s="228">
        <v>0.16800000000000001</v>
      </c>
      <c r="D9" s="263">
        <f>C9*D5</f>
        <v>3.2911200000000003</v>
      </c>
      <c r="E9" s="228">
        <v>7.5999999999999998E-2</v>
      </c>
      <c r="F9" s="263">
        <f>E9*F5</f>
        <v>1.4888399999999999</v>
      </c>
      <c r="G9" s="227">
        <f t="shared" si="0"/>
        <v>4.77996</v>
      </c>
      <c r="H9" s="228">
        <v>0.26</v>
      </c>
      <c r="I9" s="227">
        <f>H9*PARÂMETROS!$E$22</f>
        <v>11.0162</v>
      </c>
      <c r="J9" s="228">
        <v>1.0999999999999999E-2</v>
      </c>
      <c r="K9" s="227">
        <f>J9*PARÂMETROS!$E$22</f>
        <v>0.46606999999999993</v>
      </c>
      <c r="L9" s="228">
        <v>2E-3</v>
      </c>
      <c r="M9" s="230">
        <f>L9*PARÂMETROS!$E$8</f>
        <v>6.1780000000000002E-2</v>
      </c>
      <c r="N9" s="228">
        <f t="shared" si="1"/>
        <v>2.6000000000000003E-3</v>
      </c>
      <c r="O9" s="230">
        <f>N9*PARÂMETROS!$E$8</f>
        <v>8.031400000000001E-2</v>
      </c>
      <c r="P9" s="228">
        <f t="shared" si="2"/>
        <v>1.1000000000000001E-3</v>
      </c>
      <c r="Q9" s="230">
        <f>P9*PARÂMETROS!$E$8</f>
        <v>3.3979000000000002E-2</v>
      </c>
      <c r="R9" s="228">
        <f t="shared" si="3"/>
        <v>2.6000000000000003E-4</v>
      </c>
      <c r="S9" s="230">
        <f>R9*PARÂMETROS!$E$8</f>
        <v>8.031400000000001E-3</v>
      </c>
      <c r="T9" s="231">
        <v>0.41</v>
      </c>
      <c r="U9" s="230">
        <f>T9*PARÂMETROS!$E$27</f>
        <v>1.23</v>
      </c>
      <c r="V9" s="299">
        <f>0.476/2</f>
        <v>0.23799999999999999</v>
      </c>
      <c r="W9" s="230">
        <f>V9*PARÂMETROS!$E$30</f>
        <v>1.3899199999999998</v>
      </c>
      <c r="X9" s="299">
        <v>9.5000000000000001E-2</v>
      </c>
      <c r="Y9" s="230">
        <f>X9*PARÂMETROS!$E$31</f>
        <v>1.4392500000000001</v>
      </c>
      <c r="Z9" s="228">
        <f t="shared" si="4"/>
        <v>2.6000000000000003E-3</v>
      </c>
      <c r="AA9" s="230">
        <f>Z9*PARÂMETROS!$E$8</f>
        <v>8.031400000000001E-2</v>
      </c>
      <c r="AB9" s="229">
        <f t="shared" si="5"/>
        <v>1.0999999999999999E-4</v>
      </c>
      <c r="AC9" s="230">
        <f>AB9*PARÂMETROS!$E$8</f>
        <v>3.3978999999999997E-3</v>
      </c>
      <c r="AD9" s="23"/>
      <c r="AE9" s="23"/>
      <c r="AF9" s="232" t="s">
        <v>1387</v>
      </c>
      <c r="AG9" s="264">
        <f t="shared" si="6"/>
        <v>20.5892163</v>
      </c>
      <c r="AH9" s="23"/>
      <c r="AI9" s="224" t="s">
        <v>185</v>
      </c>
      <c r="AJ9" s="291">
        <f>PARÂMETROS!$H$3</f>
        <v>40</v>
      </c>
      <c r="AK9" s="267">
        <v>2.1527777777777798E-2</v>
      </c>
      <c r="AL9" s="267">
        <v>2.7777777777777801E-2</v>
      </c>
      <c r="AM9" s="267">
        <v>1.38888888888889E-2</v>
      </c>
      <c r="AN9" s="267"/>
      <c r="AO9" s="267">
        <v>2.0833333333333301E-2</v>
      </c>
      <c r="AP9" s="267">
        <v>6.9444444444444397E-3</v>
      </c>
      <c r="AQ9" s="267">
        <v>3.125E-2</v>
      </c>
      <c r="AR9" s="271">
        <v>4</v>
      </c>
      <c r="AS9" s="292">
        <f t="shared" si="7"/>
        <v>0.12222222222222225</v>
      </c>
      <c r="AT9" s="291">
        <f t="shared" si="8"/>
        <v>117.33333333333337</v>
      </c>
      <c r="AU9" s="272">
        <f t="shared" si="9"/>
        <v>29.333333333333343</v>
      </c>
      <c r="AW9" s="273">
        <f t="shared" si="10"/>
        <v>20.5892163</v>
      </c>
      <c r="AX9" s="274">
        <f t="shared" si="11"/>
        <v>117.33333333333337</v>
      </c>
      <c r="AY9" s="275">
        <v>3</v>
      </c>
      <c r="AZ9" s="276">
        <f t="shared" si="12"/>
        <v>39.111111111111121</v>
      </c>
      <c r="BA9" s="293">
        <f t="shared" si="13"/>
        <v>59.700327411111118</v>
      </c>
      <c r="BB9" s="275">
        <v>3</v>
      </c>
      <c r="BU9" s="293">
        <v>80</v>
      </c>
      <c r="BV9" s="293">
        <f t="shared" si="14"/>
        <v>139.70032741111112</v>
      </c>
    </row>
    <row r="10" spans="1:74" ht="25.5" customHeight="1" x14ac:dyDescent="0.3">
      <c r="A10" s="224" t="s">
        <v>39</v>
      </c>
      <c r="B10" s="225" t="s">
        <v>1384</v>
      </c>
      <c r="C10" s="228">
        <v>0.624</v>
      </c>
      <c r="D10" s="263">
        <f>C10*D5</f>
        <v>12.224159999999999</v>
      </c>
      <c r="E10" s="228">
        <v>0.28100000000000003</v>
      </c>
      <c r="F10" s="263">
        <f>E10*F5</f>
        <v>5.5047900000000007</v>
      </c>
      <c r="G10" s="227">
        <f t="shared" si="0"/>
        <v>17.728950000000001</v>
      </c>
      <c r="H10" s="228">
        <v>0.5</v>
      </c>
      <c r="I10" s="227">
        <f>H10*PARÂMETROS!$E$22</f>
        <v>21.184999999999999</v>
      </c>
      <c r="J10" s="228">
        <v>2.5000000000000001E-2</v>
      </c>
      <c r="K10" s="227">
        <f>J10*PARÂMETROS!$E$22</f>
        <v>1.05925</v>
      </c>
      <c r="L10" s="228">
        <v>2E-3</v>
      </c>
      <c r="M10" s="230">
        <f>L10*PARÂMETROS!$E$8</f>
        <v>6.1780000000000002E-2</v>
      </c>
      <c r="N10" s="228">
        <f t="shared" si="1"/>
        <v>5.0000000000000001E-3</v>
      </c>
      <c r="O10" s="230">
        <f>N10*PARÂMETROS!$E$8</f>
        <v>0.15445</v>
      </c>
      <c r="P10" s="228">
        <f t="shared" si="2"/>
        <v>2.5000000000000005E-3</v>
      </c>
      <c r="Q10" s="230">
        <f>P10*PARÂMETROS!$E$8</f>
        <v>7.7225000000000016E-2</v>
      </c>
      <c r="R10" s="228">
        <f t="shared" si="3"/>
        <v>5.0000000000000001E-4</v>
      </c>
      <c r="S10" s="230">
        <f>R10*PARÂMETROS!$E$8</f>
        <v>1.5445E-2</v>
      </c>
      <c r="T10" s="231">
        <v>0.82</v>
      </c>
      <c r="U10" s="230">
        <f>T10*PARÂMETROS!$E$27</f>
        <v>2.46</v>
      </c>
      <c r="V10" s="299">
        <f>0.78/2</f>
        <v>0.39</v>
      </c>
      <c r="W10" s="230">
        <f>V10*PARÂMETROS!$E$30</f>
        <v>2.2776000000000001</v>
      </c>
      <c r="X10" s="299">
        <v>0.156</v>
      </c>
      <c r="Y10" s="230">
        <f>X10*PARÂMETROS!$E$31</f>
        <v>2.3633999999999999</v>
      </c>
      <c r="Z10" s="228">
        <f t="shared" si="4"/>
        <v>5.0000000000000001E-3</v>
      </c>
      <c r="AA10" s="230">
        <f>Z10*PARÂMETROS!$E$8</f>
        <v>0.15445</v>
      </c>
      <c r="AB10" s="229">
        <f t="shared" si="5"/>
        <v>2.5000000000000001E-4</v>
      </c>
      <c r="AC10" s="230">
        <f>AB10*PARÂMETROS!$E$8</f>
        <v>7.7225000000000002E-3</v>
      </c>
      <c r="AF10" s="232" t="s">
        <v>1388</v>
      </c>
      <c r="AG10" s="264">
        <f t="shared" si="6"/>
        <v>47.545272499999996</v>
      </c>
      <c r="AH10" s="23"/>
      <c r="AI10" s="224" t="s">
        <v>39</v>
      </c>
      <c r="AJ10" s="291">
        <f>PARÂMETROS!$H$3</f>
        <v>40</v>
      </c>
      <c r="AK10" s="267">
        <v>2.1527777777777798E-2</v>
      </c>
      <c r="AL10" s="267">
        <v>2.7777777777777801E-2</v>
      </c>
      <c r="AM10" s="267">
        <v>1.38888888888889E-2</v>
      </c>
      <c r="AN10" s="267"/>
      <c r="AO10" s="267">
        <v>2.0833333333333301E-2</v>
      </c>
      <c r="AP10" s="267">
        <v>6.9444444444444397E-3</v>
      </c>
      <c r="AQ10" s="267">
        <v>3.125E-2</v>
      </c>
      <c r="AR10" s="271">
        <v>4</v>
      </c>
      <c r="AS10" s="292">
        <f t="shared" si="7"/>
        <v>0.12222222222222225</v>
      </c>
      <c r="AT10" s="291">
        <f t="shared" si="8"/>
        <v>117.33333333333337</v>
      </c>
      <c r="AU10" s="272">
        <f t="shared" si="9"/>
        <v>29.333333333333343</v>
      </c>
      <c r="AW10" s="273">
        <f t="shared" si="10"/>
        <v>47.545272499999996</v>
      </c>
      <c r="AX10" s="274">
        <f t="shared" si="11"/>
        <v>117.33333333333337</v>
      </c>
      <c r="AY10" s="275">
        <v>3</v>
      </c>
      <c r="AZ10" s="276">
        <f t="shared" si="12"/>
        <v>39.111111111111121</v>
      </c>
      <c r="BA10" s="293">
        <f t="shared" si="13"/>
        <v>86.656383611111124</v>
      </c>
      <c r="BB10" s="275">
        <v>3</v>
      </c>
      <c r="BU10" s="293">
        <v>80</v>
      </c>
      <c r="BV10" s="293">
        <f t="shared" si="14"/>
        <v>166.65638361111112</v>
      </c>
    </row>
    <row r="11" spans="1:74" ht="27" customHeight="1" x14ac:dyDescent="0.3">
      <c r="A11" s="224" t="s">
        <v>300</v>
      </c>
      <c r="B11" s="225" t="s">
        <v>1384</v>
      </c>
      <c r="C11" s="228">
        <v>0.94799999999999995</v>
      </c>
      <c r="D11" s="263">
        <f>C11*D5</f>
        <v>18.57132</v>
      </c>
      <c r="E11" s="228">
        <v>0.42699999999999999</v>
      </c>
      <c r="F11" s="263">
        <f>E11*F5</f>
        <v>8.3649299999999993</v>
      </c>
      <c r="G11" s="227">
        <f t="shared" si="0"/>
        <v>26.936250000000001</v>
      </c>
      <c r="H11" s="228">
        <v>0.65</v>
      </c>
      <c r="I11" s="227">
        <f>H11*PARÂMETROS!$E$22</f>
        <v>27.540499999999998</v>
      </c>
      <c r="J11" s="228">
        <v>3.2000000000000001E-2</v>
      </c>
      <c r="K11" s="227">
        <f>J11*PARÂMETROS!$E$22</f>
        <v>1.3558399999999999</v>
      </c>
      <c r="L11" s="228">
        <v>2E-3</v>
      </c>
      <c r="M11" s="230">
        <f>L11*PARÂMETROS!$E$8</f>
        <v>6.1780000000000002E-2</v>
      </c>
      <c r="N11" s="228">
        <f t="shared" si="1"/>
        <v>6.5000000000000006E-3</v>
      </c>
      <c r="O11" s="230">
        <f>N11*PARÂMETROS!$E$8</f>
        <v>0.20078500000000002</v>
      </c>
      <c r="P11" s="228">
        <f t="shared" si="2"/>
        <v>3.2000000000000002E-3</v>
      </c>
      <c r="Q11" s="230">
        <f>P11*PARÂMETROS!$E$8</f>
        <v>9.8848000000000005E-2</v>
      </c>
      <c r="R11" s="228">
        <f t="shared" si="3"/>
        <v>6.5000000000000008E-4</v>
      </c>
      <c r="S11" s="230">
        <f>R11*PARÂMETROS!$E$8</f>
        <v>2.0078500000000003E-2</v>
      </c>
      <c r="T11" s="231">
        <v>0.86</v>
      </c>
      <c r="U11" s="230">
        <f>T11*PARÂMETROS!$E$27</f>
        <v>2.58</v>
      </c>
      <c r="V11" s="299">
        <v>1.24</v>
      </c>
      <c r="W11" s="230">
        <f>V11*PARÂMETROS!$E$30</f>
        <v>7.2416</v>
      </c>
      <c r="X11" s="299">
        <v>0.248</v>
      </c>
      <c r="Y11" s="230">
        <f>X11*PARÂMETROS!$E$31</f>
        <v>3.7572000000000001</v>
      </c>
      <c r="Z11" s="228">
        <f t="shared" si="4"/>
        <v>6.5000000000000006E-3</v>
      </c>
      <c r="AA11" s="230">
        <f>Z11*PARÂMETROS!$E$8</f>
        <v>0.20078500000000002</v>
      </c>
      <c r="AB11" s="229">
        <f t="shared" si="5"/>
        <v>3.2000000000000003E-4</v>
      </c>
      <c r="AC11" s="230">
        <f>AB11*PARÂMETROS!$E$8</f>
        <v>9.8848000000000009E-3</v>
      </c>
      <c r="AD11" s="23"/>
      <c r="AE11" s="23"/>
      <c r="AF11" s="232" t="s">
        <v>1389</v>
      </c>
      <c r="AG11" s="264">
        <f t="shared" si="6"/>
        <v>70.003551299999984</v>
      </c>
      <c r="AH11" s="23"/>
      <c r="AI11" s="224" t="s">
        <v>300</v>
      </c>
      <c r="AJ11" s="291">
        <f>PARÂMETROS!$H$3</f>
        <v>40</v>
      </c>
      <c r="AK11" s="267">
        <v>2.1527777777777798E-2</v>
      </c>
      <c r="AL11" s="267">
        <v>2.7777777777777801E-2</v>
      </c>
      <c r="AM11" s="267">
        <v>1.38888888888889E-2</v>
      </c>
      <c r="AN11" s="267"/>
      <c r="AO11" s="267">
        <v>2.0833333333333301E-2</v>
      </c>
      <c r="AP11" s="267">
        <v>6.9444444444444397E-3</v>
      </c>
      <c r="AQ11" s="267">
        <v>3.125E-2</v>
      </c>
      <c r="AR11" s="271">
        <v>4</v>
      </c>
      <c r="AS11" s="292">
        <f t="shared" si="7"/>
        <v>0.12222222222222225</v>
      </c>
      <c r="AT11" s="291">
        <f t="shared" si="8"/>
        <v>117.33333333333337</v>
      </c>
      <c r="AU11" s="272">
        <f t="shared" si="9"/>
        <v>29.333333333333343</v>
      </c>
      <c r="AW11" s="273">
        <f t="shared" si="10"/>
        <v>70.003551299999984</v>
      </c>
      <c r="AX11" s="274">
        <f t="shared" si="11"/>
        <v>117.33333333333337</v>
      </c>
      <c r="AY11" s="275">
        <v>3</v>
      </c>
      <c r="AZ11" s="276">
        <f t="shared" si="12"/>
        <v>39.111111111111121</v>
      </c>
      <c r="BA11" s="293">
        <f t="shared" si="13"/>
        <v>109.11466241111111</v>
      </c>
      <c r="BB11" s="275">
        <v>3</v>
      </c>
      <c r="BU11" s="293">
        <v>80</v>
      </c>
      <c r="BV11" s="293">
        <f t="shared" si="14"/>
        <v>189.11466241111111</v>
      </c>
    </row>
    <row r="12" spans="1:74" ht="27" customHeight="1" x14ac:dyDescent="0.3">
      <c r="A12" s="224" t="s">
        <v>41</v>
      </c>
      <c r="B12" s="225" t="s">
        <v>1384</v>
      </c>
      <c r="C12" s="228">
        <v>1.3089999999999999</v>
      </c>
      <c r="D12" s="263">
        <f>C12*D5</f>
        <v>25.64331</v>
      </c>
      <c r="E12" s="228">
        <v>0.58899999999999997</v>
      </c>
      <c r="F12" s="263">
        <f>E12*F5</f>
        <v>11.538509999999999</v>
      </c>
      <c r="G12" s="227">
        <f t="shared" si="0"/>
        <v>37.181820000000002</v>
      </c>
      <c r="H12" s="228">
        <v>0.8</v>
      </c>
      <c r="I12" s="227">
        <f>H12*PARÂMETROS!$E$22</f>
        <v>33.896000000000001</v>
      </c>
      <c r="J12" s="228">
        <v>4.2000000000000003E-2</v>
      </c>
      <c r="K12" s="227">
        <f>J12*PARÂMETROS!$E$22</f>
        <v>1.7795399999999999</v>
      </c>
      <c r="L12" s="228">
        <v>2E-3</v>
      </c>
      <c r="M12" s="230">
        <f>L12*PARÂMETROS!$E$8</f>
        <v>6.1780000000000002E-2</v>
      </c>
      <c r="N12" s="228">
        <f t="shared" si="1"/>
        <v>8.0000000000000002E-3</v>
      </c>
      <c r="O12" s="230">
        <f>N12*PARÂMETROS!$E$8</f>
        <v>0.24712000000000001</v>
      </c>
      <c r="P12" s="228">
        <f t="shared" si="2"/>
        <v>4.2000000000000006E-3</v>
      </c>
      <c r="Q12" s="230">
        <f>P12*PARÂMETROS!$E$8</f>
        <v>0.12973800000000002</v>
      </c>
      <c r="R12" s="228">
        <f t="shared" si="3"/>
        <v>8.0000000000000004E-4</v>
      </c>
      <c r="S12" s="230">
        <f>R12*PARÂMETROS!$E$8</f>
        <v>2.4712000000000001E-2</v>
      </c>
      <c r="T12" s="231">
        <v>0.92</v>
      </c>
      <c r="U12" s="230">
        <f>T12*PARÂMETROS!$E$27</f>
        <v>2.7600000000000002</v>
      </c>
      <c r="V12" s="299">
        <v>1.35</v>
      </c>
      <c r="W12" s="230">
        <f>V12*PARÂMETROS!$E$30</f>
        <v>7.8840000000000003</v>
      </c>
      <c r="X12" s="299">
        <v>0.27</v>
      </c>
      <c r="Y12" s="230">
        <f>X12*PARÂMETROS!$E$31</f>
        <v>4.0905000000000005</v>
      </c>
      <c r="Z12" s="228">
        <f t="shared" si="4"/>
        <v>8.0000000000000002E-3</v>
      </c>
      <c r="AA12" s="230">
        <f>Z12*PARÂMETROS!$E$8</f>
        <v>0.24712000000000001</v>
      </c>
      <c r="AB12" s="229">
        <f t="shared" si="5"/>
        <v>4.2000000000000002E-4</v>
      </c>
      <c r="AC12" s="230">
        <f>AB12*PARÂMETROS!$E$8</f>
        <v>1.2973800000000001E-2</v>
      </c>
      <c r="AF12" s="232" t="s">
        <v>1390</v>
      </c>
      <c r="AG12" s="264">
        <f t="shared" si="6"/>
        <v>88.315303800000009</v>
      </c>
      <c r="AH12" s="23"/>
      <c r="AI12" s="224" t="s">
        <v>41</v>
      </c>
      <c r="AJ12" s="291">
        <f>PARÂMETROS!$H$3</f>
        <v>40</v>
      </c>
      <c r="AK12" s="267">
        <v>2.1527777777777798E-2</v>
      </c>
      <c r="AL12" s="267">
        <v>1.38888888888889E-2</v>
      </c>
      <c r="AM12" s="267">
        <v>1.38888888888889E-2</v>
      </c>
      <c r="AN12" s="267"/>
      <c r="AO12" s="267">
        <v>2.0833333333333301E-2</v>
      </c>
      <c r="AP12" s="267">
        <v>6.9444444444444397E-3</v>
      </c>
      <c r="AQ12" s="267">
        <v>3.125E-2</v>
      </c>
      <c r="AR12" s="271">
        <v>2</v>
      </c>
      <c r="AS12" s="292">
        <f t="shared" si="7"/>
        <v>0.10833333333333334</v>
      </c>
      <c r="AT12" s="291">
        <f t="shared" si="8"/>
        <v>104.00000000000001</v>
      </c>
      <c r="AU12" s="272">
        <f t="shared" si="9"/>
        <v>52.000000000000007</v>
      </c>
      <c r="AW12" s="273">
        <f t="shared" si="10"/>
        <v>88.315303800000009</v>
      </c>
      <c r="AX12" s="274">
        <f t="shared" si="11"/>
        <v>104.00000000000001</v>
      </c>
      <c r="AY12" s="275">
        <v>2</v>
      </c>
      <c r="AZ12" s="276">
        <f t="shared" si="12"/>
        <v>52.000000000000007</v>
      </c>
      <c r="BA12" s="293">
        <f t="shared" si="13"/>
        <v>140.31530380000001</v>
      </c>
      <c r="BB12" s="275">
        <v>2</v>
      </c>
      <c r="BU12" s="293">
        <v>80</v>
      </c>
      <c r="BV12" s="293">
        <f t="shared" si="14"/>
        <v>220.31530380000001</v>
      </c>
    </row>
    <row r="13" spans="1:74" ht="27" customHeight="1" x14ac:dyDescent="0.3">
      <c r="A13" s="224" t="s">
        <v>43</v>
      </c>
      <c r="B13" s="225" t="s">
        <v>1384</v>
      </c>
      <c r="C13" s="228">
        <v>2.774</v>
      </c>
      <c r="D13" s="263">
        <f>C13*D5</f>
        <v>54.342660000000002</v>
      </c>
      <c r="E13" s="228">
        <v>1.248</v>
      </c>
      <c r="F13" s="263">
        <f>E13*F5</f>
        <v>24.448319999999999</v>
      </c>
      <c r="G13" s="227">
        <f t="shared" si="0"/>
        <v>78.790980000000005</v>
      </c>
      <c r="H13" s="228">
        <v>1</v>
      </c>
      <c r="I13" s="227">
        <f>H13*PARÂMETROS!$E$22</f>
        <v>42.37</v>
      </c>
      <c r="J13" s="228">
        <v>6.5000000000000002E-2</v>
      </c>
      <c r="K13" s="227">
        <f>J13*PARÂMETROS!$E$22</f>
        <v>2.7540499999999999</v>
      </c>
      <c r="L13" s="228">
        <v>2E-3</v>
      </c>
      <c r="M13" s="230">
        <f>L13*PARÂMETROS!$E$8</f>
        <v>6.1780000000000002E-2</v>
      </c>
      <c r="N13" s="228">
        <f t="shared" si="1"/>
        <v>0.01</v>
      </c>
      <c r="O13" s="230">
        <f>N13*PARÂMETROS!$E$8</f>
        <v>0.30890000000000001</v>
      </c>
      <c r="P13" s="228">
        <f t="shared" si="2"/>
        <v>6.5000000000000006E-3</v>
      </c>
      <c r="Q13" s="230">
        <f>P13*PARÂMETROS!$E$8</f>
        <v>0.20078500000000002</v>
      </c>
      <c r="R13" s="228">
        <f t="shared" si="3"/>
        <v>1E-3</v>
      </c>
      <c r="S13" s="230">
        <f>R13*PARÂMETROS!$E$8</f>
        <v>3.0890000000000001E-2</v>
      </c>
      <c r="T13" s="231">
        <v>1.02</v>
      </c>
      <c r="U13" s="230">
        <f>T13*PARÂMETROS!$E$27</f>
        <v>3.06</v>
      </c>
      <c r="V13" s="299">
        <v>1.7250000000000001</v>
      </c>
      <c r="W13" s="230">
        <f>V13*PARÂMETROS!$E$30</f>
        <v>10.074</v>
      </c>
      <c r="X13" s="299">
        <v>0.34499999999999997</v>
      </c>
      <c r="Y13" s="230">
        <f>X13*PARÂMETROS!$E$31</f>
        <v>5.22675</v>
      </c>
      <c r="Z13" s="228">
        <f t="shared" si="4"/>
        <v>0.01</v>
      </c>
      <c r="AA13" s="230">
        <f>Z13*PARÂMETROS!$E$8</f>
        <v>0.30890000000000001</v>
      </c>
      <c r="AB13" s="228">
        <f t="shared" si="5"/>
        <v>6.5000000000000008E-4</v>
      </c>
      <c r="AC13" s="230">
        <f>AB13*PARÂMETROS!$E$8</f>
        <v>2.0078500000000003E-2</v>
      </c>
      <c r="AD13" s="23"/>
      <c r="AE13" s="23"/>
      <c r="AF13" s="232" t="s">
        <v>1391</v>
      </c>
      <c r="AG13" s="264">
        <f t="shared" si="6"/>
        <v>143.20711350000002</v>
      </c>
      <c r="AH13" s="23"/>
      <c r="AI13" s="224" t="s">
        <v>43</v>
      </c>
      <c r="AJ13" s="291">
        <f>PARÂMETROS!$H$3</f>
        <v>40</v>
      </c>
      <c r="AK13" s="267">
        <v>2.1527777777777798E-2</v>
      </c>
      <c r="AL13" s="267">
        <v>1.7361111111111101E-2</v>
      </c>
      <c r="AM13" s="267">
        <v>1.7361111111111101E-2</v>
      </c>
      <c r="AN13" s="267">
        <v>6.9444444444444397E-3</v>
      </c>
      <c r="AO13" s="267">
        <v>2.0833333333333301E-2</v>
      </c>
      <c r="AP13" s="267">
        <v>6.9444444444444397E-3</v>
      </c>
      <c r="AQ13" s="267">
        <v>3.125E-2</v>
      </c>
      <c r="AR13" s="271">
        <v>2</v>
      </c>
      <c r="AS13" s="292">
        <f t="shared" si="7"/>
        <v>0.12222222222222219</v>
      </c>
      <c r="AT13" s="291">
        <f t="shared" si="8"/>
        <v>117.3333333333333</v>
      </c>
      <c r="AU13" s="272">
        <f t="shared" si="9"/>
        <v>58.66666666666665</v>
      </c>
      <c r="AW13" s="273">
        <f t="shared" si="10"/>
        <v>143.20711350000002</v>
      </c>
      <c r="AX13" s="274">
        <f t="shared" si="11"/>
        <v>117.3333333333333</v>
      </c>
      <c r="AY13" s="275">
        <v>2</v>
      </c>
      <c r="AZ13" s="276">
        <f t="shared" si="12"/>
        <v>58.66666666666665</v>
      </c>
      <c r="BA13" s="293">
        <f t="shared" si="13"/>
        <v>201.87378016666668</v>
      </c>
      <c r="BB13" s="275">
        <v>2</v>
      </c>
      <c r="BU13" s="293">
        <v>80</v>
      </c>
      <c r="BV13" s="293">
        <f t="shared" si="14"/>
        <v>281.87378016666668</v>
      </c>
    </row>
    <row r="14" spans="1:74" ht="27" customHeight="1" x14ac:dyDescent="0.3">
      <c r="A14" s="224" t="s">
        <v>45</v>
      </c>
      <c r="B14" s="225" t="s">
        <v>1384</v>
      </c>
      <c r="C14" s="228">
        <v>4.58</v>
      </c>
      <c r="D14" s="263">
        <f>C14*D5</f>
        <v>89.722200000000001</v>
      </c>
      <c r="E14" s="228">
        <v>2.0609999999999999</v>
      </c>
      <c r="F14" s="263">
        <f>E14*F5</f>
        <v>40.374989999999997</v>
      </c>
      <c r="G14" s="227">
        <f t="shared" si="0"/>
        <v>130.09719000000001</v>
      </c>
      <c r="H14" s="228">
        <v>1.4</v>
      </c>
      <c r="I14" s="227">
        <f>H14*PARÂMETROS!$E$22</f>
        <v>59.317999999999991</v>
      </c>
      <c r="J14" s="228">
        <v>9.1999999999999998E-2</v>
      </c>
      <c r="K14" s="227">
        <f>J14*PARÂMETROS!$E$22</f>
        <v>3.8980399999999995</v>
      </c>
      <c r="L14" s="228">
        <v>2E-3</v>
      </c>
      <c r="M14" s="230">
        <f>L14*PARÂMETROS!$E$8</f>
        <v>6.1780000000000002E-2</v>
      </c>
      <c r="N14" s="228">
        <f t="shared" si="1"/>
        <v>1.3999999999999999E-2</v>
      </c>
      <c r="O14" s="230">
        <f>N14*PARÂMETROS!$E$8</f>
        <v>0.43245999999999996</v>
      </c>
      <c r="P14" s="228">
        <f t="shared" si="2"/>
        <v>9.1999999999999998E-3</v>
      </c>
      <c r="Q14" s="230">
        <f>P14*PARÂMETROS!$E$8</f>
        <v>0.284188</v>
      </c>
      <c r="R14" s="228">
        <f t="shared" si="3"/>
        <v>1.4E-3</v>
      </c>
      <c r="S14" s="230">
        <f>R14*PARÂMETROS!$E$8</f>
        <v>4.3246E-2</v>
      </c>
      <c r="T14" s="231">
        <v>1.1200000000000001</v>
      </c>
      <c r="U14" s="230">
        <f>T14*PARÂMETROS!$E$27</f>
        <v>3.3600000000000003</v>
      </c>
      <c r="V14" s="299">
        <v>2.3250000000000002</v>
      </c>
      <c r="W14" s="230">
        <f>V14*PARÂMETROS!$E$30</f>
        <v>13.578000000000001</v>
      </c>
      <c r="X14" s="299">
        <v>0.46500000000000002</v>
      </c>
      <c r="Y14" s="230">
        <f>X14*PARÂMETROS!$E$31</f>
        <v>7.0447500000000005</v>
      </c>
      <c r="Z14" s="228">
        <f t="shared" si="4"/>
        <v>1.3999999999999999E-2</v>
      </c>
      <c r="AA14" s="230">
        <f>Z14*PARÂMETROS!$E$8</f>
        <v>0.43245999999999996</v>
      </c>
      <c r="AB14" s="228">
        <f t="shared" si="5"/>
        <v>9.2000000000000003E-4</v>
      </c>
      <c r="AC14" s="230">
        <f>AB14*PARÂMETROS!$E$8</f>
        <v>2.8418800000000001E-2</v>
      </c>
      <c r="AF14" s="232" t="s">
        <v>1392</v>
      </c>
      <c r="AG14" s="264">
        <f t="shared" si="6"/>
        <v>218.5785328</v>
      </c>
      <c r="AH14" s="23"/>
      <c r="AI14" s="224" t="s">
        <v>45</v>
      </c>
      <c r="AJ14" s="291">
        <f>PARÂMETROS!$H$3</f>
        <v>40</v>
      </c>
      <c r="AK14" s="267">
        <v>2.1527777777777798E-2</v>
      </c>
      <c r="AL14" s="267">
        <v>1.7361111111111101E-2</v>
      </c>
      <c r="AM14" s="267">
        <v>1.7361111111111101E-2</v>
      </c>
      <c r="AN14" s="267">
        <v>6.9444444444444397E-3</v>
      </c>
      <c r="AO14" s="267">
        <v>2.0833333333333301E-2</v>
      </c>
      <c r="AP14" s="267">
        <v>6.9444444444444397E-3</v>
      </c>
      <c r="AQ14" s="267">
        <v>3.125E-2</v>
      </c>
      <c r="AR14" s="271">
        <v>2</v>
      </c>
      <c r="AS14" s="292">
        <f t="shared" si="7"/>
        <v>0.12222222222222219</v>
      </c>
      <c r="AT14" s="291">
        <f t="shared" si="8"/>
        <v>117.3333333333333</v>
      </c>
      <c r="AU14" s="272">
        <f t="shared" si="9"/>
        <v>58.66666666666665</v>
      </c>
      <c r="AW14" s="273">
        <f t="shared" si="10"/>
        <v>218.5785328</v>
      </c>
      <c r="AX14" s="274">
        <f t="shared" si="11"/>
        <v>117.3333333333333</v>
      </c>
      <c r="AY14" s="275">
        <v>2</v>
      </c>
      <c r="AZ14" s="276">
        <f t="shared" si="12"/>
        <v>58.66666666666665</v>
      </c>
      <c r="BA14" s="293">
        <f t="shared" si="13"/>
        <v>277.24519946666663</v>
      </c>
      <c r="BB14" s="275">
        <v>2</v>
      </c>
      <c r="BU14" s="293">
        <v>80</v>
      </c>
      <c r="BV14" s="293">
        <f t="shared" si="14"/>
        <v>357.24519946666663</v>
      </c>
    </row>
    <row r="15" spans="1:74" ht="27" customHeight="1" x14ac:dyDescent="0.3">
      <c r="A15" s="224" t="s">
        <v>47</v>
      </c>
      <c r="B15" s="225" t="s">
        <v>1384</v>
      </c>
      <c r="C15" s="228">
        <v>6.7759999999999998</v>
      </c>
      <c r="D15" s="263">
        <f>C15*D5</f>
        <v>132.74184</v>
      </c>
      <c r="E15" s="228">
        <v>3.0489999999999999</v>
      </c>
      <c r="F15" s="263">
        <f>E15*F5</f>
        <v>59.729909999999997</v>
      </c>
      <c r="G15" s="227">
        <f t="shared" si="0"/>
        <v>192.47174999999999</v>
      </c>
      <c r="H15" s="228">
        <v>1.8</v>
      </c>
      <c r="I15" s="227">
        <f>H15*PARÂMETROS!$E$22</f>
        <v>76.265999999999991</v>
      </c>
      <c r="J15" s="228">
        <v>0.124</v>
      </c>
      <c r="K15" s="227">
        <f>J15*PARÂMETROS!$E$22</f>
        <v>5.2538799999999997</v>
      </c>
      <c r="L15" s="228">
        <v>2E-3</v>
      </c>
      <c r="M15" s="230">
        <f>L15*PARÂMETROS!$E$8</f>
        <v>6.1780000000000002E-2</v>
      </c>
      <c r="N15" s="228">
        <f t="shared" si="1"/>
        <v>1.8000000000000002E-2</v>
      </c>
      <c r="O15" s="230">
        <f>N15*PARÂMETROS!$E$8</f>
        <v>0.55602000000000007</v>
      </c>
      <c r="P15" s="228">
        <f t="shared" si="2"/>
        <v>1.2400000000000001E-2</v>
      </c>
      <c r="Q15" s="230">
        <f>P15*PARÂMETROS!$E$8</f>
        <v>0.38303600000000004</v>
      </c>
      <c r="R15" s="228">
        <f t="shared" si="3"/>
        <v>1.8000000000000004E-3</v>
      </c>
      <c r="S15" s="230">
        <f>R15*PARÂMETROS!$E$8</f>
        <v>5.5602000000000013E-2</v>
      </c>
      <c r="T15" s="231">
        <v>1.22</v>
      </c>
      <c r="U15" s="230">
        <f>T15*PARÂMETROS!$E$27</f>
        <v>3.66</v>
      </c>
      <c r="V15" s="299">
        <v>3.03</v>
      </c>
      <c r="W15" s="230">
        <f>V15*PARÂMETROS!$E$30</f>
        <v>17.6952</v>
      </c>
      <c r="X15" s="299">
        <v>0.60599999999999998</v>
      </c>
      <c r="Y15" s="230">
        <f>X15*PARÂMETROS!$E$31</f>
        <v>9.1808999999999994</v>
      </c>
      <c r="Z15" s="228">
        <f t="shared" si="4"/>
        <v>1.8000000000000002E-2</v>
      </c>
      <c r="AA15" s="230">
        <f>Z15*PARÂMETROS!$E$8</f>
        <v>0.55602000000000007</v>
      </c>
      <c r="AB15" s="228">
        <f t="shared" si="5"/>
        <v>1.24E-3</v>
      </c>
      <c r="AC15" s="230">
        <f>AB15*PARÂMETROS!$E$8</f>
        <v>3.83036E-2</v>
      </c>
      <c r="AD15" s="23"/>
      <c r="AE15" s="23"/>
      <c r="AF15" s="232" t="s">
        <v>1393</v>
      </c>
      <c r="AG15" s="264">
        <f t="shared" si="6"/>
        <v>306.17849159999997</v>
      </c>
      <c r="AH15" s="23"/>
      <c r="AI15" s="224" t="s">
        <v>47</v>
      </c>
      <c r="AJ15" s="291">
        <f>PARÂMETROS!$H$3</f>
        <v>40</v>
      </c>
      <c r="AK15" s="267">
        <v>2.1527777777777798E-2</v>
      </c>
      <c r="AL15" s="267">
        <v>1.7361111111111101E-2</v>
      </c>
      <c r="AM15" s="267">
        <v>1.7361111111111101E-2</v>
      </c>
      <c r="AN15" s="267">
        <v>6.9444444444444397E-3</v>
      </c>
      <c r="AO15" s="267">
        <v>2.0833333333333301E-2</v>
      </c>
      <c r="AP15" s="267">
        <v>6.9444444444444397E-3</v>
      </c>
      <c r="AQ15" s="267">
        <v>3.125E-2</v>
      </c>
      <c r="AR15" s="271">
        <v>1</v>
      </c>
      <c r="AS15" s="292">
        <f t="shared" si="7"/>
        <v>0.12222222222222219</v>
      </c>
      <c r="AT15" s="291">
        <f t="shared" si="8"/>
        <v>117.3333333333333</v>
      </c>
      <c r="AU15" s="272">
        <f t="shared" si="9"/>
        <v>117.3333333333333</v>
      </c>
      <c r="AW15" s="273">
        <f t="shared" si="10"/>
        <v>306.17849159999997</v>
      </c>
      <c r="AX15" s="274">
        <f t="shared" si="11"/>
        <v>117.3333333333333</v>
      </c>
      <c r="AY15" s="275">
        <v>1</v>
      </c>
      <c r="AZ15" s="276">
        <f t="shared" si="12"/>
        <v>117.3333333333333</v>
      </c>
      <c r="BA15" s="293">
        <f t="shared" si="13"/>
        <v>423.51182493333329</v>
      </c>
      <c r="BB15" s="275">
        <v>1</v>
      </c>
      <c r="BU15" s="293">
        <v>80</v>
      </c>
      <c r="BV15" s="293">
        <f t="shared" si="14"/>
        <v>503.51182493333329</v>
      </c>
    </row>
    <row r="16" spans="1:74" ht="27" customHeight="1" x14ac:dyDescent="0.3">
      <c r="A16" s="224" t="s">
        <v>222</v>
      </c>
      <c r="B16" s="225" t="s">
        <v>1384</v>
      </c>
      <c r="C16" s="228">
        <v>9</v>
      </c>
      <c r="D16" s="263">
        <f>C16*D5</f>
        <v>176.31</v>
      </c>
      <c r="E16" s="228">
        <v>4.05</v>
      </c>
      <c r="F16" s="263">
        <f>E16*F5</f>
        <v>79.339500000000001</v>
      </c>
      <c r="G16" s="227">
        <f t="shared" si="0"/>
        <v>255.64949999999999</v>
      </c>
      <c r="H16" s="228">
        <v>2.5</v>
      </c>
      <c r="I16" s="227">
        <f>H16*PARÂMETROS!$E$22</f>
        <v>105.925</v>
      </c>
      <c r="J16" s="228">
        <v>0.161</v>
      </c>
      <c r="K16" s="227">
        <f>J16*PARÂMETROS!$E$22</f>
        <v>6.8215699999999995</v>
      </c>
      <c r="L16" s="228">
        <v>2E-3</v>
      </c>
      <c r="M16" s="230">
        <f>L16*PARÂMETROS!$E$8</f>
        <v>6.1780000000000002E-2</v>
      </c>
      <c r="N16" s="228">
        <f t="shared" si="1"/>
        <v>2.5000000000000001E-2</v>
      </c>
      <c r="O16" s="230">
        <f>N16*PARÂMETROS!$E$8</f>
        <v>0.7722500000000001</v>
      </c>
      <c r="P16" s="228">
        <f t="shared" si="2"/>
        <v>1.61E-2</v>
      </c>
      <c r="Q16" s="230">
        <f>P16*PARÂMETROS!$E$8</f>
        <v>0.49732900000000002</v>
      </c>
      <c r="R16" s="228">
        <f t="shared" si="3"/>
        <v>2.5000000000000005E-3</v>
      </c>
      <c r="S16" s="230">
        <f>R16*PARÂMETROS!$E$8</f>
        <v>7.7225000000000016E-2</v>
      </c>
      <c r="T16" s="231">
        <v>1.31</v>
      </c>
      <c r="U16" s="230">
        <f>T16*PARÂMETROS!$E$27</f>
        <v>3.93</v>
      </c>
      <c r="V16" s="299">
        <v>3.21</v>
      </c>
      <c r="W16" s="230">
        <f>V16*PARÂMETROS!$E$30</f>
        <v>18.746399999999998</v>
      </c>
      <c r="X16" s="299">
        <v>0.64200000000000002</v>
      </c>
      <c r="Y16" s="230">
        <f>X16*PARÂMETROS!$E$31</f>
        <v>9.7263000000000002</v>
      </c>
      <c r="Z16" s="228">
        <f t="shared" si="4"/>
        <v>2.5000000000000001E-2</v>
      </c>
      <c r="AA16" s="230">
        <f>Z16*PARÂMETROS!$E$8</f>
        <v>0.7722500000000001</v>
      </c>
      <c r="AB16" s="228">
        <f t="shared" si="5"/>
        <v>1.6100000000000001E-3</v>
      </c>
      <c r="AC16" s="230">
        <f>AB16*PARÂMETROS!$E$8</f>
        <v>4.9732900000000003E-2</v>
      </c>
      <c r="AF16" s="232" t="s">
        <v>1394</v>
      </c>
      <c r="AG16" s="264">
        <f t="shared" si="6"/>
        <v>403.02933689999992</v>
      </c>
      <c r="AH16" s="23"/>
      <c r="AI16" s="224" t="s">
        <v>222</v>
      </c>
      <c r="AJ16" s="291">
        <f>PARÂMETROS!$H$3</f>
        <v>40</v>
      </c>
      <c r="AK16" s="267">
        <v>2.1527777777777798E-2</v>
      </c>
      <c r="AL16" s="267">
        <v>2.0833333333333301E-2</v>
      </c>
      <c r="AM16" s="267">
        <v>2.0833333333333301E-2</v>
      </c>
      <c r="AN16" s="267">
        <v>6.9444444444444397E-3</v>
      </c>
      <c r="AO16" s="267">
        <v>2.0833333333333301E-2</v>
      </c>
      <c r="AP16" s="267">
        <v>6.9444444444444397E-3</v>
      </c>
      <c r="AQ16" s="267">
        <v>3.125E-2</v>
      </c>
      <c r="AR16" s="271">
        <v>1</v>
      </c>
      <c r="AS16" s="292">
        <f t="shared" si="7"/>
        <v>0.1291666666666666</v>
      </c>
      <c r="AT16" s="291">
        <f t="shared" si="8"/>
        <v>123.99999999999994</v>
      </c>
      <c r="AU16" s="272">
        <f t="shared" si="9"/>
        <v>123.99999999999994</v>
      </c>
      <c r="AW16" s="273">
        <f t="shared" si="10"/>
        <v>403.02933689999992</v>
      </c>
      <c r="AX16" s="274">
        <f t="shared" si="11"/>
        <v>123.99999999999994</v>
      </c>
      <c r="AY16" s="275">
        <v>1</v>
      </c>
      <c r="AZ16" s="276">
        <f t="shared" si="12"/>
        <v>123.99999999999994</v>
      </c>
      <c r="BA16" s="293">
        <f t="shared" si="13"/>
        <v>527.02933689999986</v>
      </c>
      <c r="BB16" s="275">
        <v>1</v>
      </c>
      <c r="BU16" s="293">
        <v>80</v>
      </c>
      <c r="BV16" s="293">
        <f t="shared" si="14"/>
        <v>607.02933689999986</v>
      </c>
    </row>
    <row r="17" spans="1:74" ht="27" customHeight="1" x14ac:dyDescent="0.3">
      <c r="A17" s="224" t="s">
        <v>226</v>
      </c>
      <c r="B17" s="225" t="s">
        <v>1384</v>
      </c>
      <c r="C17" s="228">
        <v>15.164</v>
      </c>
      <c r="D17" s="263">
        <f>C17*D5</f>
        <v>297.06275999999997</v>
      </c>
      <c r="E17" s="228">
        <v>6.8239999999999998</v>
      </c>
      <c r="F17" s="263">
        <f>E17*F5</f>
        <v>133.68215999999998</v>
      </c>
      <c r="G17" s="227">
        <f t="shared" si="0"/>
        <v>430.74491999999998</v>
      </c>
      <c r="H17" s="228">
        <v>3</v>
      </c>
      <c r="I17" s="227">
        <f>H17*PARÂMETROS!$E$22</f>
        <v>127.10999999999999</v>
      </c>
      <c r="J17" s="228">
        <v>0.19400000000000001</v>
      </c>
      <c r="K17" s="227">
        <f>J17*PARÂMETROS!$E$22</f>
        <v>8.2197800000000001</v>
      </c>
      <c r="L17" s="228">
        <v>2E-3</v>
      </c>
      <c r="M17" s="230">
        <f>L17*PARÂMETROS!$E$8</f>
        <v>6.1780000000000002E-2</v>
      </c>
      <c r="N17" s="228">
        <f t="shared" si="1"/>
        <v>0.03</v>
      </c>
      <c r="O17" s="230">
        <f>N17*PARÂMETROS!$E$8</f>
        <v>0.92669999999999997</v>
      </c>
      <c r="P17" s="228">
        <f t="shared" si="2"/>
        <v>1.9400000000000001E-2</v>
      </c>
      <c r="Q17" s="230">
        <f>P17*PARÂMETROS!$E$8</f>
        <v>0.59926600000000008</v>
      </c>
      <c r="R17" s="228">
        <f t="shared" si="3"/>
        <v>3.0000000000000001E-3</v>
      </c>
      <c r="S17" s="230">
        <f>R17*PARÂMETROS!$E$8</f>
        <v>9.2670000000000002E-2</v>
      </c>
      <c r="T17" s="231">
        <v>1.4</v>
      </c>
      <c r="U17" s="230">
        <f>T17*PARÂMETROS!$E$27</f>
        <v>4.1999999999999993</v>
      </c>
      <c r="V17" s="299">
        <v>4.3049999999999997</v>
      </c>
      <c r="W17" s="230">
        <f>V17*PARÂMETROS!$E$30</f>
        <v>25.141199999999998</v>
      </c>
      <c r="X17" s="299">
        <v>0.86099999999999999</v>
      </c>
      <c r="Y17" s="230">
        <f>X17*PARÂMETROS!$E$31</f>
        <v>13.04415</v>
      </c>
      <c r="Z17" s="228">
        <f t="shared" si="4"/>
        <v>0.03</v>
      </c>
      <c r="AA17" s="230">
        <f>Z17*PARÂMETROS!$E$8</f>
        <v>0.92669999999999997</v>
      </c>
      <c r="AB17" s="228">
        <f t="shared" si="5"/>
        <v>1.9400000000000001E-3</v>
      </c>
      <c r="AC17" s="230">
        <f>AB17*PARÂMETROS!$E$8</f>
        <v>5.9926600000000003E-2</v>
      </c>
      <c r="AD17" s="23"/>
      <c r="AE17" s="23"/>
      <c r="AF17" s="232" t="s">
        <v>1395</v>
      </c>
      <c r="AG17" s="264">
        <f t="shared" si="6"/>
        <v>611.12709259999997</v>
      </c>
      <c r="AH17" s="23"/>
      <c r="AI17" s="224" t="s">
        <v>226</v>
      </c>
      <c r="AJ17" s="291">
        <f>PARÂMETROS!$H$3</f>
        <v>40</v>
      </c>
      <c r="AK17" s="267">
        <v>2.1527777777777798E-2</v>
      </c>
      <c r="AL17" s="267">
        <v>2.0833333333333301E-2</v>
      </c>
      <c r="AM17" s="267">
        <v>2.0833333333333301E-2</v>
      </c>
      <c r="AN17" s="267">
        <v>6.9444444444444397E-3</v>
      </c>
      <c r="AO17" s="267">
        <v>2.0833333333333301E-2</v>
      </c>
      <c r="AP17" s="267">
        <v>6.9444444444444397E-3</v>
      </c>
      <c r="AQ17" s="267">
        <v>3.125E-2</v>
      </c>
      <c r="AR17" s="271">
        <v>1</v>
      </c>
      <c r="AS17" s="292">
        <f t="shared" si="7"/>
        <v>0.1291666666666666</v>
      </c>
      <c r="AT17" s="291">
        <f t="shared" si="8"/>
        <v>123.99999999999994</v>
      </c>
      <c r="AU17" s="272">
        <f t="shared" si="9"/>
        <v>123.99999999999994</v>
      </c>
      <c r="AW17" s="273">
        <f t="shared" si="10"/>
        <v>611.12709259999997</v>
      </c>
      <c r="AX17" s="274">
        <f t="shared" si="11"/>
        <v>123.99999999999994</v>
      </c>
      <c r="AY17" s="275">
        <v>1</v>
      </c>
      <c r="AZ17" s="276">
        <f t="shared" si="12"/>
        <v>123.99999999999994</v>
      </c>
      <c r="BA17" s="293">
        <f t="shared" si="13"/>
        <v>735.12709259999997</v>
      </c>
      <c r="BB17" s="275">
        <v>1</v>
      </c>
      <c r="BU17" s="293">
        <v>80</v>
      </c>
      <c r="BV17" s="293">
        <f t="shared" si="14"/>
        <v>815.12709259999997</v>
      </c>
    </row>
    <row r="18" spans="1:74" ht="27" customHeight="1" x14ac:dyDescent="0.3">
      <c r="A18" s="224" t="s">
        <v>230</v>
      </c>
      <c r="B18" s="225" t="s">
        <v>1384</v>
      </c>
      <c r="C18" s="228">
        <v>21</v>
      </c>
      <c r="D18" s="263">
        <f>C18*D5</f>
        <v>411.39</v>
      </c>
      <c r="E18" s="228">
        <v>9.4</v>
      </c>
      <c r="F18" s="263">
        <f>E18*F5</f>
        <v>184.14600000000002</v>
      </c>
      <c r="G18" s="227">
        <f t="shared" si="0"/>
        <v>595.53600000000006</v>
      </c>
      <c r="H18" s="228">
        <v>3.4</v>
      </c>
      <c r="I18" s="227">
        <f>H18*PARÂMETROS!$E$22</f>
        <v>144.05799999999999</v>
      </c>
      <c r="J18" s="228">
        <v>0.25</v>
      </c>
      <c r="K18" s="227">
        <f>J18*PARÂMETROS!$E$22</f>
        <v>10.592499999999999</v>
      </c>
      <c r="L18" s="228">
        <v>2E-3</v>
      </c>
      <c r="M18" s="230">
        <f>L18*PARÂMETROS!$E$8</f>
        <v>6.1780000000000002E-2</v>
      </c>
      <c r="N18" s="228">
        <f t="shared" si="1"/>
        <v>3.4000000000000002E-2</v>
      </c>
      <c r="O18" s="230">
        <f>N18*PARÂMETROS!$E$8</f>
        <v>1.0502600000000002</v>
      </c>
      <c r="P18" s="228">
        <f t="shared" si="2"/>
        <v>2.5000000000000001E-2</v>
      </c>
      <c r="Q18" s="230">
        <f>P18*PARÂMETROS!$E$8</f>
        <v>0.7722500000000001</v>
      </c>
      <c r="R18" s="228">
        <f t="shared" si="3"/>
        <v>3.4000000000000002E-3</v>
      </c>
      <c r="S18" s="230">
        <f>R18*PARÂMETROS!$E$8</f>
        <v>0.10502600000000001</v>
      </c>
      <c r="T18" s="231">
        <v>1.52</v>
      </c>
      <c r="U18" s="230">
        <f>T18*PARÂMETROS!$E$27</f>
        <v>4.5600000000000005</v>
      </c>
      <c r="V18" s="299">
        <v>5.48</v>
      </c>
      <c r="W18" s="230">
        <f>V18*PARÂMETROS!$E$30</f>
        <v>32.0032</v>
      </c>
      <c r="X18" s="299">
        <v>1.0960000000000001</v>
      </c>
      <c r="Y18" s="230">
        <f>X18*PARÂMETROS!$E$31</f>
        <v>16.604400000000002</v>
      </c>
      <c r="Z18" s="228">
        <f t="shared" si="4"/>
        <v>3.4000000000000002E-2</v>
      </c>
      <c r="AA18" s="230">
        <f>Z18*PARÂMETROS!$E$8</f>
        <v>1.0502600000000002</v>
      </c>
      <c r="AB18" s="228">
        <f t="shared" si="5"/>
        <v>2.5000000000000001E-3</v>
      </c>
      <c r="AC18" s="230">
        <f>AB18*PARÂMETROS!$E$8</f>
        <v>7.7225000000000002E-2</v>
      </c>
      <c r="AF18" s="232" t="s">
        <v>1396</v>
      </c>
      <c r="AG18" s="264">
        <f t="shared" si="6"/>
        <v>806.47090100000014</v>
      </c>
      <c r="AH18" s="23"/>
      <c r="AI18" s="224" t="s">
        <v>230</v>
      </c>
      <c r="AJ18" s="291">
        <f>PARÂMETROS!$H$3</f>
        <v>40</v>
      </c>
      <c r="AK18" s="267">
        <v>2.1527777777777798E-2</v>
      </c>
      <c r="AL18" s="267">
        <v>2.7777777777777801E-2</v>
      </c>
      <c r="AM18" s="267">
        <v>2.7777777777777801E-2</v>
      </c>
      <c r="AN18" s="267">
        <v>6.9444444444444397E-3</v>
      </c>
      <c r="AO18" s="267">
        <v>2.0833333333333301E-2</v>
      </c>
      <c r="AP18" s="267">
        <v>6.9444444444444397E-3</v>
      </c>
      <c r="AQ18" s="267">
        <v>3.125E-2</v>
      </c>
      <c r="AR18" s="271">
        <v>1</v>
      </c>
      <c r="AS18" s="292">
        <f t="shared" si="7"/>
        <v>0.1430555555555556</v>
      </c>
      <c r="AT18" s="291">
        <f t="shared" si="8"/>
        <v>137.33333333333337</v>
      </c>
      <c r="AU18" s="272">
        <f t="shared" si="9"/>
        <v>137.33333333333337</v>
      </c>
      <c r="AW18" s="273">
        <f t="shared" si="10"/>
        <v>806.47090100000014</v>
      </c>
      <c r="AX18" s="274">
        <f t="shared" si="11"/>
        <v>137.33333333333337</v>
      </c>
      <c r="AY18" s="275">
        <v>1</v>
      </c>
      <c r="AZ18" s="276">
        <f t="shared" si="12"/>
        <v>137.33333333333337</v>
      </c>
      <c r="BA18" s="293">
        <f t="shared" si="13"/>
        <v>943.80423433333351</v>
      </c>
      <c r="BB18" s="275">
        <v>1</v>
      </c>
      <c r="BU18" s="293">
        <v>80</v>
      </c>
      <c r="BV18" s="293">
        <f t="shared" si="14"/>
        <v>1023.8042343333335</v>
      </c>
    </row>
    <row r="19" spans="1:74" ht="27" customHeight="1" x14ac:dyDescent="0.3">
      <c r="A19" s="224" t="s">
        <v>234</v>
      </c>
      <c r="B19" s="225" t="s">
        <v>1384</v>
      </c>
      <c r="C19" s="228">
        <v>30</v>
      </c>
      <c r="D19" s="263">
        <f>C19*D5</f>
        <v>587.70000000000005</v>
      </c>
      <c r="E19" s="228">
        <v>13.5</v>
      </c>
      <c r="F19" s="263">
        <f>E19*F5</f>
        <v>264.46499999999997</v>
      </c>
      <c r="G19" s="227">
        <f t="shared" si="0"/>
        <v>852.16499999999996</v>
      </c>
      <c r="H19" s="228">
        <v>3.9</v>
      </c>
      <c r="I19" s="227">
        <f>H19*PARÂMETROS!$E$22</f>
        <v>165.24299999999999</v>
      </c>
      <c r="J19" s="228">
        <v>0.30099999999999999</v>
      </c>
      <c r="K19" s="227">
        <f>J19*PARÂMETROS!$E$22</f>
        <v>12.753369999999999</v>
      </c>
      <c r="L19" s="228">
        <v>2E-3</v>
      </c>
      <c r="M19" s="230">
        <f>L19*PARÂMETROS!$E$8</f>
        <v>6.1780000000000002E-2</v>
      </c>
      <c r="N19" s="228">
        <f t="shared" si="1"/>
        <v>3.9E-2</v>
      </c>
      <c r="O19" s="230">
        <f>N19*PARÂMETROS!$E$8</f>
        <v>1.2047099999999999</v>
      </c>
      <c r="P19" s="228">
        <f t="shared" si="2"/>
        <v>3.0100000000000002E-2</v>
      </c>
      <c r="Q19" s="230">
        <f>P19*PARÂMETROS!$E$8</f>
        <v>0.92978900000000009</v>
      </c>
      <c r="R19" s="228">
        <f t="shared" si="3"/>
        <v>3.9000000000000003E-3</v>
      </c>
      <c r="S19" s="230">
        <f>R19*PARÂMETROS!$E$8</f>
        <v>0.12047100000000001</v>
      </c>
      <c r="T19" s="231">
        <v>1.62</v>
      </c>
      <c r="U19" s="230">
        <f>T19*PARÂMETROS!$E$27</f>
        <v>4.8600000000000003</v>
      </c>
      <c r="V19" s="299">
        <v>4.2</v>
      </c>
      <c r="W19" s="230">
        <f>V19*PARÂMETROS!$E$30</f>
        <v>24.527999999999999</v>
      </c>
      <c r="X19" s="299">
        <v>0.84</v>
      </c>
      <c r="Y19" s="230">
        <f>X19*PARÂMETROS!$E$31</f>
        <v>12.725999999999999</v>
      </c>
      <c r="Z19" s="228">
        <f t="shared" si="4"/>
        <v>3.9E-2</v>
      </c>
      <c r="AA19" s="230">
        <f>Z19*PARÂMETROS!$E$8</f>
        <v>1.2047099999999999</v>
      </c>
      <c r="AB19" s="228">
        <f t="shared" si="5"/>
        <v>3.0100000000000001E-3</v>
      </c>
      <c r="AC19" s="230">
        <f>AB19*PARÂMETROS!$E$8</f>
        <v>9.2978900000000003E-2</v>
      </c>
      <c r="AD19" s="23"/>
      <c r="AE19" s="23"/>
      <c r="AF19" s="232" t="s">
        <v>1397</v>
      </c>
      <c r="AG19" s="264">
        <f t="shared" si="6"/>
        <v>1075.8898088999997</v>
      </c>
      <c r="AH19" s="23"/>
      <c r="AI19" s="224" t="s">
        <v>234</v>
      </c>
      <c r="AJ19" s="291">
        <f>PARÂMETROS!$H$3</f>
        <v>40</v>
      </c>
      <c r="AK19" s="267">
        <v>2.1527777777777798E-2</v>
      </c>
      <c r="AL19" s="267">
        <v>2.7777777777777801E-2</v>
      </c>
      <c r="AM19" s="267">
        <v>2.7777777777777801E-2</v>
      </c>
      <c r="AN19" s="267">
        <v>6.9444444444444397E-3</v>
      </c>
      <c r="AO19" s="267">
        <v>2.0833333333333301E-2</v>
      </c>
      <c r="AP19" s="267">
        <v>6.9444444444444397E-3</v>
      </c>
      <c r="AQ19" s="267">
        <v>3.125E-2</v>
      </c>
      <c r="AR19" s="271">
        <v>1</v>
      </c>
      <c r="AS19" s="292">
        <f t="shared" si="7"/>
        <v>0.1430555555555556</v>
      </c>
      <c r="AT19" s="291">
        <f t="shared" si="8"/>
        <v>137.33333333333337</v>
      </c>
      <c r="AU19" s="272">
        <f t="shared" si="9"/>
        <v>137.33333333333337</v>
      </c>
      <c r="AW19" s="273">
        <f t="shared" si="10"/>
        <v>1075.8898088999997</v>
      </c>
      <c r="AX19" s="274">
        <f t="shared" si="11"/>
        <v>137.33333333333337</v>
      </c>
      <c r="AY19" s="275">
        <v>1</v>
      </c>
      <c r="AZ19" s="276">
        <f t="shared" si="12"/>
        <v>137.33333333333337</v>
      </c>
      <c r="BA19" s="293">
        <f t="shared" si="13"/>
        <v>1213.223142233333</v>
      </c>
      <c r="BB19" s="275">
        <v>1</v>
      </c>
      <c r="BU19" s="293">
        <v>80</v>
      </c>
      <c r="BV19" s="293">
        <f t="shared" si="14"/>
        <v>1293.223142233333</v>
      </c>
    </row>
    <row r="20" spans="1:74" ht="27" customHeight="1" x14ac:dyDescent="0.3">
      <c r="A20" s="224" t="s">
        <v>238</v>
      </c>
      <c r="B20" s="225" t="s">
        <v>1384</v>
      </c>
      <c r="C20" s="228">
        <v>34</v>
      </c>
      <c r="D20" s="263">
        <f>C20*D5</f>
        <v>666.06</v>
      </c>
      <c r="E20" s="228">
        <v>15.3</v>
      </c>
      <c r="F20" s="263">
        <f>E20*F5</f>
        <v>299.72700000000003</v>
      </c>
      <c r="G20" s="227">
        <f t="shared" si="0"/>
        <v>965.78700000000003</v>
      </c>
      <c r="H20" s="228">
        <v>4.5</v>
      </c>
      <c r="I20" s="227">
        <f>H20*PARÂMETROS!$E$22</f>
        <v>190.66499999999999</v>
      </c>
      <c r="J20" s="228">
        <v>0.35699999999999998</v>
      </c>
      <c r="K20" s="227">
        <f>J20*PARÂMETROS!$E$22</f>
        <v>15.126089999999998</v>
      </c>
      <c r="L20" s="228">
        <v>2E-3</v>
      </c>
      <c r="M20" s="230">
        <f>L20*PARÂMETROS!$E$8</f>
        <v>6.1780000000000002E-2</v>
      </c>
      <c r="N20" s="228">
        <f t="shared" si="1"/>
        <v>4.4999999999999998E-2</v>
      </c>
      <c r="O20" s="230">
        <f>N20*PARÂMETROS!$E$8</f>
        <v>1.39005</v>
      </c>
      <c r="P20" s="228">
        <f t="shared" si="2"/>
        <v>3.5700000000000003E-2</v>
      </c>
      <c r="Q20" s="230">
        <f>P20*PARÂMETROS!$E$8</f>
        <v>1.102773</v>
      </c>
      <c r="R20" s="228">
        <f t="shared" si="3"/>
        <v>4.4999999999999997E-3</v>
      </c>
      <c r="S20" s="230">
        <f>R20*PARÂMETROS!$E$8</f>
        <v>0.13900499999999999</v>
      </c>
      <c r="T20" s="231">
        <v>1.72</v>
      </c>
      <c r="U20" s="230">
        <f>T20*PARÂMETROS!$E$27</f>
        <v>5.16</v>
      </c>
      <c r="V20" s="299">
        <v>6.84</v>
      </c>
      <c r="W20" s="230">
        <f>V20*PARÂMETROS!$E$30</f>
        <v>39.945599999999999</v>
      </c>
      <c r="X20" s="299">
        <v>1.3680000000000001</v>
      </c>
      <c r="Y20" s="230">
        <f>X20*PARÂMETROS!$E$31</f>
        <v>20.725200000000001</v>
      </c>
      <c r="Z20" s="228">
        <f t="shared" si="4"/>
        <v>4.4999999999999998E-2</v>
      </c>
      <c r="AA20" s="230">
        <f>Z20*PARÂMETROS!$E$8</f>
        <v>1.39005</v>
      </c>
      <c r="AB20" s="228">
        <f t="shared" si="5"/>
        <v>3.5699999999999998E-3</v>
      </c>
      <c r="AC20" s="230">
        <f>AB20*PARÂMETROS!$E$8</f>
        <v>0.11027729999999999</v>
      </c>
      <c r="AF20" s="232" t="s">
        <v>1398</v>
      </c>
      <c r="AG20" s="264">
        <f t="shared" si="6"/>
        <v>1241.6028253000002</v>
      </c>
      <c r="AH20" s="23"/>
      <c r="AI20" s="224" t="s">
        <v>238</v>
      </c>
      <c r="AJ20" s="291">
        <f>PARÂMETROS!$H$3</f>
        <v>40</v>
      </c>
      <c r="AK20" s="267">
        <v>4.1666666666666699E-2</v>
      </c>
      <c r="AL20" s="267">
        <v>2.7777777777777801E-2</v>
      </c>
      <c r="AM20" s="267">
        <v>2.7777777777777801E-2</v>
      </c>
      <c r="AN20" s="267">
        <v>6.9444444444444397E-3</v>
      </c>
      <c r="AO20" s="267">
        <v>2.0833333333333301E-2</v>
      </c>
      <c r="AP20" s="267">
        <v>6.9444444444444397E-3</v>
      </c>
      <c r="AQ20" s="267">
        <v>3.125E-2</v>
      </c>
      <c r="AR20" s="271">
        <v>1</v>
      </c>
      <c r="AS20" s="292">
        <f t="shared" si="7"/>
        <v>0.16319444444444448</v>
      </c>
      <c r="AT20" s="291">
        <f t="shared" si="8"/>
        <v>156.66666666666669</v>
      </c>
      <c r="AU20" s="272">
        <f t="shared" si="9"/>
        <v>156.66666666666669</v>
      </c>
      <c r="AW20" s="273">
        <f t="shared" si="10"/>
        <v>1241.6028253000002</v>
      </c>
      <c r="AX20" s="274">
        <f t="shared" si="11"/>
        <v>156.66666666666669</v>
      </c>
      <c r="AY20" s="275">
        <v>1</v>
      </c>
      <c r="AZ20" s="276">
        <f t="shared" si="12"/>
        <v>156.66666666666669</v>
      </c>
      <c r="BA20" s="293">
        <f t="shared" si="13"/>
        <v>1398.2694919666669</v>
      </c>
      <c r="BB20" s="275">
        <v>1</v>
      </c>
      <c r="BU20" s="293">
        <v>80</v>
      </c>
      <c r="BV20" s="293">
        <f t="shared" si="14"/>
        <v>1478.2694919666669</v>
      </c>
    </row>
    <row r="21" spans="1:74" ht="27" customHeight="1" x14ac:dyDescent="0.3">
      <c r="A21" s="224" t="s">
        <v>242</v>
      </c>
      <c r="B21" s="225" t="s">
        <v>1384</v>
      </c>
      <c r="C21" s="228">
        <v>42</v>
      </c>
      <c r="D21" s="263">
        <f>C21*D5</f>
        <v>822.78</v>
      </c>
      <c r="E21" s="228">
        <v>18.899999999999999</v>
      </c>
      <c r="F21" s="263">
        <f>E21*F5</f>
        <v>370.25099999999998</v>
      </c>
      <c r="G21" s="227">
        <f t="shared" si="0"/>
        <v>1193.0309999999999</v>
      </c>
      <c r="H21" s="228">
        <v>5</v>
      </c>
      <c r="I21" s="227">
        <f>H21*PARÂMETROS!$E$22</f>
        <v>211.85</v>
      </c>
      <c r="J21" s="228">
        <v>0.41799999999999998</v>
      </c>
      <c r="K21" s="227">
        <f>J21*PARÂMETROS!$E$22</f>
        <v>17.710659999999997</v>
      </c>
      <c r="L21" s="228">
        <v>2E-3</v>
      </c>
      <c r="M21" s="230">
        <f>L21*PARÂMETROS!$E$8</f>
        <v>6.1780000000000002E-2</v>
      </c>
      <c r="N21" s="228">
        <f t="shared" si="1"/>
        <v>0.05</v>
      </c>
      <c r="O21" s="230">
        <f>N21*PARÂMETROS!$E$8</f>
        <v>1.5445000000000002</v>
      </c>
      <c r="P21" s="228">
        <f t="shared" si="2"/>
        <v>4.1800000000000004E-2</v>
      </c>
      <c r="Q21" s="230">
        <f>P21*PARÂMETROS!$E$8</f>
        <v>1.2912020000000002</v>
      </c>
      <c r="R21" s="228">
        <f t="shared" si="3"/>
        <v>5.000000000000001E-3</v>
      </c>
      <c r="S21" s="230">
        <f>R21*PARÂMETROS!$E$8</f>
        <v>0.15445000000000003</v>
      </c>
      <c r="T21" s="231">
        <v>1.82</v>
      </c>
      <c r="U21" s="230">
        <f>T21*PARÂMETROS!$E$27</f>
        <v>5.46</v>
      </c>
      <c r="V21" s="299">
        <v>6.88</v>
      </c>
      <c r="W21" s="230">
        <f>V21*PARÂMETROS!$E$30</f>
        <v>40.179200000000002</v>
      </c>
      <c r="X21" s="299">
        <v>1.766</v>
      </c>
      <c r="Y21" s="230">
        <f>X21*PARÂMETROS!$E$31</f>
        <v>26.754899999999999</v>
      </c>
      <c r="Z21" s="228">
        <f t="shared" si="4"/>
        <v>0.05</v>
      </c>
      <c r="AA21" s="230">
        <f>Z21*PARÂMETROS!$E$8</f>
        <v>1.5445000000000002</v>
      </c>
      <c r="AB21" s="228">
        <f t="shared" si="5"/>
        <v>4.1799999999999997E-3</v>
      </c>
      <c r="AC21" s="230">
        <f>AB21*PARÂMETROS!$E$8</f>
        <v>0.12912019999999999</v>
      </c>
      <c r="AD21" s="23"/>
      <c r="AE21" s="23"/>
      <c r="AF21" s="232" t="s">
        <v>1399</v>
      </c>
      <c r="AG21" s="264">
        <f t="shared" si="6"/>
        <v>1499.7113121999998</v>
      </c>
      <c r="AH21" s="23"/>
      <c r="AI21" s="224" t="s">
        <v>242</v>
      </c>
      <c r="AJ21" s="291">
        <f>PARÂMETROS!$H$3</f>
        <v>40</v>
      </c>
      <c r="AK21" s="267">
        <v>4.1666666666666699E-2</v>
      </c>
      <c r="AL21" s="267">
        <v>2.7777777777777801E-2</v>
      </c>
      <c r="AM21" s="267">
        <v>2.7777777777777801E-2</v>
      </c>
      <c r="AN21" s="267">
        <v>6.9444444444444397E-3</v>
      </c>
      <c r="AO21" s="267">
        <v>2.0833333333333301E-2</v>
      </c>
      <c r="AP21" s="267">
        <v>6.9444444444444397E-3</v>
      </c>
      <c r="AQ21" s="267">
        <v>3.125E-2</v>
      </c>
      <c r="AR21" s="271">
        <v>1</v>
      </c>
      <c r="AS21" s="292">
        <f t="shared" si="7"/>
        <v>0.16319444444444448</v>
      </c>
      <c r="AT21" s="291">
        <f t="shared" si="8"/>
        <v>156.66666666666669</v>
      </c>
      <c r="AU21" s="272">
        <f t="shared" si="9"/>
        <v>156.66666666666669</v>
      </c>
      <c r="AW21" s="273">
        <f t="shared" si="10"/>
        <v>1499.7113121999998</v>
      </c>
      <c r="AX21" s="274">
        <f t="shared" si="11"/>
        <v>156.66666666666669</v>
      </c>
      <c r="AY21" s="275">
        <v>1</v>
      </c>
      <c r="AZ21" s="276">
        <f t="shared" si="12"/>
        <v>156.66666666666669</v>
      </c>
      <c r="BA21" s="293">
        <f t="shared" si="13"/>
        <v>1656.3779788666666</v>
      </c>
      <c r="BB21" s="275">
        <v>1</v>
      </c>
      <c r="BU21" s="293">
        <v>80</v>
      </c>
      <c r="BV21" s="293">
        <f t="shared" si="14"/>
        <v>1736.3779788666666</v>
      </c>
    </row>
    <row r="22" spans="1:74" ht="27" customHeight="1" x14ac:dyDescent="0.3">
      <c r="A22" s="224" t="s">
        <v>246</v>
      </c>
      <c r="B22" s="225" t="s">
        <v>1384</v>
      </c>
      <c r="C22" s="228">
        <v>49</v>
      </c>
      <c r="D22" s="263">
        <f>C22*D5</f>
        <v>959.91</v>
      </c>
      <c r="E22" s="228">
        <v>22.05</v>
      </c>
      <c r="F22" s="263">
        <f>E22*F5</f>
        <v>431.95949999999999</v>
      </c>
      <c r="G22" s="227">
        <f t="shared" si="0"/>
        <v>1391.8695</v>
      </c>
      <c r="H22" s="228">
        <v>5.4</v>
      </c>
      <c r="I22" s="227">
        <f>H22*PARÂMETROS!$E$22</f>
        <v>228.798</v>
      </c>
      <c r="J22" s="228">
        <v>0.498</v>
      </c>
      <c r="K22" s="227">
        <f>J22*PARÂMETROS!$E$22</f>
        <v>21.100259999999999</v>
      </c>
      <c r="L22" s="228">
        <v>2E-3</v>
      </c>
      <c r="M22" s="230">
        <f>L22*PARÂMETROS!$E$8</f>
        <v>6.1780000000000002E-2</v>
      </c>
      <c r="N22" s="228">
        <f t="shared" si="1"/>
        <v>5.4000000000000006E-2</v>
      </c>
      <c r="O22" s="230">
        <f>N22*PARÂMETROS!$E$8</f>
        <v>1.6680600000000003</v>
      </c>
      <c r="P22" s="228">
        <f t="shared" si="2"/>
        <v>4.9800000000000004E-2</v>
      </c>
      <c r="Q22" s="230">
        <f>P22*PARÂMETROS!$E$8</f>
        <v>1.5383220000000002</v>
      </c>
      <c r="R22" s="228">
        <f t="shared" si="3"/>
        <v>5.4000000000000012E-3</v>
      </c>
      <c r="S22" s="230">
        <f>R22*PARÂMETROS!$E$8</f>
        <v>0.16680600000000004</v>
      </c>
      <c r="T22" s="231">
        <v>1.92</v>
      </c>
      <c r="U22" s="230">
        <f>T22*PARÂMETROS!$E$27</f>
        <v>5.76</v>
      </c>
      <c r="V22" s="299">
        <v>6.76</v>
      </c>
      <c r="W22" s="230">
        <f>V22*PARÂMETROS!$E$30</f>
        <v>39.478400000000001</v>
      </c>
      <c r="X22" s="299">
        <v>1.3560000000000001</v>
      </c>
      <c r="Y22" s="230">
        <f>X22*PARÂMETROS!$E$31</f>
        <v>20.543400000000002</v>
      </c>
      <c r="Z22" s="228">
        <f t="shared" si="4"/>
        <v>5.4000000000000006E-2</v>
      </c>
      <c r="AA22" s="230">
        <f>Z22*PARÂMETROS!$E$8</f>
        <v>1.6680600000000003</v>
      </c>
      <c r="AB22" s="228">
        <f t="shared" si="5"/>
        <v>4.9800000000000001E-3</v>
      </c>
      <c r="AC22" s="230">
        <f>AB22*PARÂMETROS!$E$8</f>
        <v>0.1538322</v>
      </c>
      <c r="AF22" s="232" t="s">
        <v>1400</v>
      </c>
      <c r="AG22" s="264">
        <f t="shared" si="6"/>
        <v>1712.8064201999998</v>
      </c>
      <c r="AH22" s="23"/>
      <c r="AI22" s="224" t="s">
        <v>246</v>
      </c>
      <c r="AJ22" s="291">
        <f>PARÂMETROS!$H$3</f>
        <v>40</v>
      </c>
      <c r="AK22" s="267">
        <v>4.1666666666666699E-2</v>
      </c>
      <c r="AL22" s="267">
        <v>2.7777777777777801E-2</v>
      </c>
      <c r="AM22" s="267">
        <v>6.9444444444444503E-2</v>
      </c>
      <c r="AN22" s="267">
        <v>6.9444444444444397E-3</v>
      </c>
      <c r="AO22" s="267">
        <v>2.0833333333333301E-2</v>
      </c>
      <c r="AP22" s="267">
        <v>6.9444444444444397E-3</v>
      </c>
      <c r="AQ22" s="267">
        <v>3.125E-2</v>
      </c>
      <c r="AR22" s="271">
        <v>1</v>
      </c>
      <c r="AS22" s="292">
        <f t="shared" si="7"/>
        <v>0.20486111111111116</v>
      </c>
      <c r="AT22" s="291">
        <f t="shared" si="8"/>
        <v>196.66666666666671</v>
      </c>
      <c r="AU22" s="272">
        <f t="shared" si="9"/>
        <v>196.66666666666671</v>
      </c>
      <c r="AW22" s="273">
        <f t="shared" si="10"/>
        <v>1712.8064201999998</v>
      </c>
      <c r="AX22" s="274">
        <f t="shared" si="11"/>
        <v>196.66666666666671</v>
      </c>
      <c r="AY22" s="275">
        <v>1</v>
      </c>
      <c r="AZ22" s="276">
        <f t="shared" si="12"/>
        <v>196.66666666666671</v>
      </c>
      <c r="BA22" s="293">
        <f t="shared" si="13"/>
        <v>1909.4730868666666</v>
      </c>
      <c r="BB22" s="275">
        <v>1</v>
      </c>
      <c r="BU22" s="293">
        <v>80</v>
      </c>
      <c r="BV22" s="293">
        <f t="shared" si="14"/>
        <v>1989.4730868666666</v>
      </c>
    </row>
    <row r="23" spans="1:74" ht="27" customHeight="1" x14ac:dyDescent="0.3">
      <c r="A23" s="224" t="s">
        <v>250</v>
      </c>
      <c r="B23" s="225" t="s">
        <v>1384</v>
      </c>
      <c r="C23" s="228">
        <v>74</v>
      </c>
      <c r="D23" s="263">
        <f>C23*D5</f>
        <v>1449.66</v>
      </c>
      <c r="E23" s="228">
        <v>33.299999999999997</v>
      </c>
      <c r="F23" s="263">
        <f>E23*F5</f>
        <v>652.34699999999998</v>
      </c>
      <c r="G23" s="227">
        <f t="shared" si="0"/>
        <v>2102.0070000000001</v>
      </c>
      <c r="H23" s="228">
        <v>6</v>
      </c>
      <c r="I23" s="227">
        <f>H23*PARÂMETROS!$E$22</f>
        <v>254.21999999999997</v>
      </c>
      <c r="J23" s="228">
        <v>0.54</v>
      </c>
      <c r="K23" s="227">
        <f>J23*PARÂMETROS!$E$22</f>
        <v>22.879799999999999</v>
      </c>
      <c r="L23" s="228">
        <v>2E-3</v>
      </c>
      <c r="M23" s="230">
        <f>L23*PARÂMETROS!$E$8</f>
        <v>6.1780000000000002E-2</v>
      </c>
      <c r="N23" s="228">
        <f t="shared" si="1"/>
        <v>0.06</v>
      </c>
      <c r="O23" s="230">
        <f>N23*PARÂMETROS!$E$8</f>
        <v>1.8533999999999999</v>
      </c>
      <c r="P23" s="228">
        <f t="shared" si="2"/>
        <v>5.4000000000000006E-2</v>
      </c>
      <c r="Q23" s="230">
        <f>P23*PARÂMETROS!$E$8</f>
        <v>1.6680600000000003</v>
      </c>
      <c r="R23" s="228">
        <f t="shared" si="3"/>
        <v>6.0000000000000001E-3</v>
      </c>
      <c r="S23" s="230">
        <f>R23*PARÂMETROS!$E$8</f>
        <v>0.18534</v>
      </c>
      <c r="T23" s="231">
        <v>2</v>
      </c>
      <c r="U23" s="230">
        <f>T23*PARÂMETROS!$E$27</f>
        <v>6</v>
      </c>
      <c r="V23" s="299">
        <v>7.84</v>
      </c>
      <c r="W23" s="230">
        <f>V23*PARÂMETROS!$E$30</f>
        <v>45.785599999999995</v>
      </c>
      <c r="X23" s="299">
        <v>1.5680000000000001</v>
      </c>
      <c r="Y23" s="230">
        <f>X23*PARÂMETROS!$E$31</f>
        <v>23.755200000000002</v>
      </c>
      <c r="Z23" s="228">
        <f t="shared" si="4"/>
        <v>0.06</v>
      </c>
      <c r="AA23" s="230">
        <f>Z23*PARÂMETROS!$E$8</f>
        <v>1.8533999999999999</v>
      </c>
      <c r="AB23" s="228">
        <f t="shared" si="5"/>
        <v>5.4000000000000003E-3</v>
      </c>
      <c r="AC23" s="230">
        <f>AB23*PARÂMETROS!$E$8</f>
        <v>0.16680600000000001</v>
      </c>
      <c r="AD23" s="23"/>
      <c r="AE23" s="23"/>
      <c r="AF23" s="232" t="s">
        <v>1401</v>
      </c>
      <c r="AG23" s="264">
        <f t="shared" si="6"/>
        <v>2460.4363860000003</v>
      </c>
      <c r="AH23" s="23"/>
      <c r="AI23" s="224" t="s">
        <v>250</v>
      </c>
      <c r="AJ23" s="291">
        <f>PARÂMETROS!$H$3</f>
        <v>40</v>
      </c>
      <c r="AK23" s="267">
        <v>4.1666666666666699E-2</v>
      </c>
      <c r="AL23" s="267">
        <v>2.7777777777777801E-2</v>
      </c>
      <c r="AM23" s="267">
        <v>6.9444444444444503E-2</v>
      </c>
      <c r="AN23" s="267">
        <v>6.9444444444444397E-3</v>
      </c>
      <c r="AO23" s="267">
        <v>2.0833333333333301E-2</v>
      </c>
      <c r="AP23" s="267">
        <v>6.9444444444444397E-3</v>
      </c>
      <c r="AQ23" s="267">
        <v>3.125E-2</v>
      </c>
      <c r="AR23" s="271">
        <v>1</v>
      </c>
      <c r="AS23" s="292">
        <f t="shared" si="7"/>
        <v>0.20486111111111116</v>
      </c>
      <c r="AT23" s="291">
        <f t="shared" si="8"/>
        <v>196.66666666666671</v>
      </c>
      <c r="AU23" s="272">
        <f t="shared" si="9"/>
        <v>196.66666666666671</v>
      </c>
      <c r="AW23" s="273">
        <f t="shared" si="10"/>
        <v>2460.4363860000003</v>
      </c>
      <c r="AX23" s="274">
        <f t="shared" si="11"/>
        <v>196.66666666666671</v>
      </c>
      <c r="AY23" s="275">
        <v>1</v>
      </c>
      <c r="AZ23" s="276">
        <f t="shared" si="12"/>
        <v>196.66666666666671</v>
      </c>
      <c r="BA23" s="293">
        <f t="shared" si="13"/>
        <v>2657.1030526666668</v>
      </c>
      <c r="BB23" s="275">
        <v>1</v>
      </c>
      <c r="BU23" s="293">
        <v>80</v>
      </c>
      <c r="BV23" s="293">
        <f t="shared" si="14"/>
        <v>2737.1030526666668</v>
      </c>
    </row>
    <row r="24" spans="1:74" ht="27" customHeight="1" x14ac:dyDescent="0.3">
      <c r="A24" s="224" t="s">
        <v>254</v>
      </c>
      <c r="B24" s="225" t="s">
        <v>1384</v>
      </c>
      <c r="C24" s="228">
        <v>84</v>
      </c>
      <c r="D24" s="263">
        <f>C24*D5</f>
        <v>1645.56</v>
      </c>
      <c r="E24" s="228">
        <v>37.799999999999997</v>
      </c>
      <c r="F24" s="263">
        <f>E24*F5</f>
        <v>740.50199999999995</v>
      </c>
      <c r="G24" s="227">
        <f t="shared" si="0"/>
        <v>2386.0619999999999</v>
      </c>
      <c r="H24" s="228">
        <v>6.4</v>
      </c>
      <c r="I24" s="227">
        <f>H24*PARÂMETROS!$E$22</f>
        <v>271.16800000000001</v>
      </c>
      <c r="J24" s="228">
        <v>0.61499999999999999</v>
      </c>
      <c r="K24" s="227">
        <f>J24*PARÂMETROS!$E$22</f>
        <v>26.057549999999999</v>
      </c>
      <c r="L24" s="228">
        <v>2E-3</v>
      </c>
      <c r="M24" s="230">
        <f>L24*PARÂMETROS!$E$8</f>
        <v>6.1780000000000002E-2</v>
      </c>
      <c r="N24" s="228">
        <f t="shared" si="1"/>
        <v>6.4000000000000001E-2</v>
      </c>
      <c r="O24" s="230">
        <f>N24*PARÂMETROS!$E$8</f>
        <v>1.9769600000000001</v>
      </c>
      <c r="P24" s="228">
        <f t="shared" si="2"/>
        <v>6.1499999999999999E-2</v>
      </c>
      <c r="Q24" s="230">
        <f>P24*PARÂMETROS!$E$8</f>
        <v>1.899735</v>
      </c>
      <c r="R24" s="228">
        <f t="shared" si="3"/>
        <v>6.4000000000000003E-3</v>
      </c>
      <c r="S24" s="230">
        <f>R24*PARÂMETROS!$E$8</f>
        <v>0.19769600000000001</v>
      </c>
      <c r="T24" s="231">
        <v>2.1</v>
      </c>
      <c r="U24" s="230">
        <f>T24*PARÂMETROS!$E$27</f>
        <v>6.3000000000000007</v>
      </c>
      <c r="V24" s="299">
        <v>9.48</v>
      </c>
      <c r="W24" s="230">
        <f>V24*PARÂMETROS!$E$30</f>
        <v>55.363199999999999</v>
      </c>
      <c r="X24" s="299">
        <v>1.9279999999999999</v>
      </c>
      <c r="Y24" s="230">
        <f>X24*PARÂMETROS!$E$31</f>
        <v>29.209199999999999</v>
      </c>
      <c r="Z24" s="228">
        <f t="shared" si="4"/>
        <v>6.4000000000000001E-2</v>
      </c>
      <c r="AA24" s="230">
        <f>Z24*PARÂMETROS!$E$8</f>
        <v>1.9769600000000001</v>
      </c>
      <c r="AB24" s="228">
        <f t="shared" si="5"/>
        <v>6.1500000000000001E-3</v>
      </c>
      <c r="AC24" s="230">
        <f>AB24*PARÂMETROS!$E$8</f>
        <v>0.18997350000000002</v>
      </c>
      <c r="AF24" s="232" t="s">
        <v>1402</v>
      </c>
      <c r="AG24" s="264">
        <f t="shared" si="6"/>
        <v>2780.4630544999995</v>
      </c>
      <c r="AH24" s="23"/>
      <c r="AI24" s="224" t="s">
        <v>254</v>
      </c>
      <c r="AJ24" s="291">
        <f>PARÂMETROS!$H$3</f>
        <v>40</v>
      </c>
      <c r="AK24" s="267">
        <v>4.1666666666666699E-2</v>
      </c>
      <c r="AL24" s="267">
        <v>2.7777777777777801E-2</v>
      </c>
      <c r="AM24" s="267">
        <v>6.9444444444444503E-2</v>
      </c>
      <c r="AN24" s="267">
        <v>6.9444444444444397E-3</v>
      </c>
      <c r="AO24" s="267">
        <v>2.0833333333333301E-2</v>
      </c>
      <c r="AP24" s="267">
        <v>6.9444444444444397E-3</v>
      </c>
      <c r="AQ24" s="267">
        <v>3.125E-2</v>
      </c>
      <c r="AR24" s="271">
        <v>1</v>
      </c>
      <c r="AS24" s="292">
        <f t="shared" si="7"/>
        <v>0.20486111111111116</v>
      </c>
      <c r="AT24" s="291">
        <f t="shared" si="8"/>
        <v>196.66666666666671</v>
      </c>
      <c r="AU24" s="272">
        <f t="shared" si="9"/>
        <v>196.66666666666671</v>
      </c>
      <c r="AW24" s="273">
        <f t="shared" si="10"/>
        <v>2780.4630544999995</v>
      </c>
      <c r="AX24" s="274">
        <f t="shared" si="11"/>
        <v>196.66666666666671</v>
      </c>
      <c r="AY24" s="275">
        <v>1</v>
      </c>
      <c r="AZ24" s="276">
        <f t="shared" si="12"/>
        <v>196.66666666666671</v>
      </c>
      <c r="BA24" s="293">
        <f t="shared" si="13"/>
        <v>2977.1297211666661</v>
      </c>
      <c r="BB24" s="275">
        <v>1</v>
      </c>
      <c r="BU24" s="293">
        <v>80</v>
      </c>
      <c r="BV24" s="293">
        <f t="shared" si="14"/>
        <v>3057.1297211666661</v>
      </c>
    </row>
    <row r="25" spans="1:74" ht="27" customHeight="1" x14ac:dyDescent="0.3">
      <c r="A25" s="224" t="s">
        <v>258</v>
      </c>
      <c r="B25" s="225" t="s">
        <v>1384</v>
      </c>
      <c r="C25" s="228">
        <v>95</v>
      </c>
      <c r="D25" s="263">
        <f>C25*D5</f>
        <v>1861.05</v>
      </c>
      <c r="E25" s="228">
        <v>42.75</v>
      </c>
      <c r="F25" s="263">
        <f>E25*F5</f>
        <v>837.47249999999997</v>
      </c>
      <c r="G25" s="227">
        <f t="shared" si="0"/>
        <v>2698.5225</v>
      </c>
      <c r="H25" s="228">
        <v>7.7</v>
      </c>
      <c r="I25" s="227">
        <f>H25*PARÂMETROS!$E$22</f>
        <v>326.24899999999997</v>
      </c>
      <c r="J25" s="228">
        <v>0.71</v>
      </c>
      <c r="K25" s="227">
        <f>J25*PARÂMETROS!$E$22</f>
        <v>30.082699999999996</v>
      </c>
      <c r="L25" s="228">
        <v>2E-3</v>
      </c>
      <c r="M25" s="230">
        <f>L25*PARÂMETROS!$E$8</f>
        <v>6.1780000000000002E-2</v>
      </c>
      <c r="N25" s="228">
        <f t="shared" si="1"/>
        <v>7.6999999999999999E-2</v>
      </c>
      <c r="O25" s="230">
        <f>N25*PARÂMETROS!$E$8</f>
        <v>2.37853</v>
      </c>
      <c r="P25" s="228">
        <f t="shared" si="2"/>
        <v>7.0999999999999994E-2</v>
      </c>
      <c r="Q25" s="230">
        <f>P25*PARÂMETROS!$E$8</f>
        <v>2.19319</v>
      </c>
      <c r="R25" s="228">
        <f t="shared" si="3"/>
        <v>7.7000000000000002E-3</v>
      </c>
      <c r="S25" s="230">
        <f>R25*PARÂMETROS!$E$8</f>
        <v>0.23785300000000001</v>
      </c>
      <c r="T25" s="231">
        <v>2.2000000000000002</v>
      </c>
      <c r="U25" s="230">
        <f>T25*PARÂMETROS!$E$27</f>
        <v>6.6000000000000005</v>
      </c>
      <c r="V25" s="299">
        <v>9.64</v>
      </c>
      <c r="W25" s="230">
        <f>V25*PARÂMETROS!$E$30</f>
        <v>56.297600000000003</v>
      </c>
      <c r="X25" s="299">
        <v>1.88</v>
      </c>
      <c r="Y25" s="230">
        <f>X25*PARÂMETROS!$E$31</f>
        <v>28.481999999999999</v>
      </c>
      <c r="Z25" s="228">
        <f t="shared" si="4"/>
        <v>7.6999999999999999E-2</v>
      </c>
      <c r="AA25" s="230">
        <f>Z25*PARÂMETROS!$E$8</f>
        <v>2.37853</v>
      </c>
      <c r="AB25" s="228">
        <f t="shared" si="5"/>
        <v>7.0999999999999995E-3</v>
      </c>
      <c r="AC25" s="230">
        <f>AB25*PARÂMETROS!$E$8</f>
        <v>0.21931899999999999</v>
      </c>
      <c r="AD25" s="23"/>
      <c r="AE25" s="23"/>
      <c r="AF25" s="232" t="s">
        <v>1403</v>
      </c>
      <c r="AG25" s="264">
        <f t="shared" si="6"/>
        <v>3153.7030019999997</v>
      </c>
      <c r="AH25" s="23"/>
      <c r="AI25" s="224" t="s">
        <v>258</v>
      </c>
      <c r="AJ25" s="291">
        <f>PARÂMETROS!$H$3</f>
        <v>40</v>
      </c>
      <c r="AK25" s="267">
        <v>4.1666666666666699E-2</v>
      </c>
      <c r="AL25" s="267">
        <v>2.7777777777777801E-2</v>
      </c>
      <c r="AM25" s="267">
        <v>6.9444444444444503E-2</v>
      </c>
      <c r="AN25" s="267">
        <v>6.9444444444444397E-3</v>
      </c>
      <c r="AO25" s="267">
        <v>2.0833333333333301E-2</v>
      </c>
      <c r="AP25" s="267">
        <v>6.9444444444444397E-3</v>
      </c>
      <c r="AQ25" s="267">
        <v>3.125E-2</v>
      </c>
      <c r="AR25" s="271">
        <v>1</v>
      </c>
      <c r="AS25" s="292">
        <f t="shared" si="7"/>
        <v>0.20486111111111116</v>
      </c>
      <c r="AT25" s="291">
        <f t="shared" si="8"/>
        <v>196.66666666666671</v>
      </c>
      <c r="AU25" s="272">
        <f t="shared" si="9"/>
        <v>196.66666666666671</v>
      </c>
      <c r="AW25" s="273">
        <f t="shared" si="10"/>
        <v>3153.7030019999997</v>
      </c>
      <c r="AX25" s="274">
        <f t="shared" si="11"/>
        <v>196.66666666666671</v>
      </c>
      <c r="AY25" s="275">
        <v>1</v>
      </c>
      <c r="AZ25" s="276">
        <f t="shared" si="12"/>
        <v>196.66666666666671</v>
      </c>
      <c r="BA25" s="293">
        <f t="shared" si="13"/>
        <v>3350.3696686666663</v>
      </c>
      <c r="BB25" s="275">
        <v>1</v>
      </c>
      <c r="BU25" s="293">
        <v>80</v>
      </c>
      <c r="BV25" s="293">
        <f t="shared" si="14"/>
        <v>3430.3696686666663</v>
      </c>
    </row>
    <row r="26" spans="1:74" ht="27" customHeight="1" x14ac:dyDescent="0.3">
      <c r="A26" s="224" t="s">
        <v>262</v>
      </c>
      <c r="B26" s="225" t="s">
        <v>1384</v>
      </c>
      <c r="C26" s="228">
        <v>120</v>
      </c>
      <c r="D26" s="263">
        <f>C26*D5</f>
        <v>2350.8000000000002</v>
      </c>
      <c r="E26" s="228">
        <v>45</v>
      </c>
      <c r="F26" s="263">
        <f>E26*F5</f>
        <v>881.55</v>
      </c>
      <c r="G26" s="227">
        <f t="shared" si="0"/>
        <v>3232.3500000000004</v>
      </c>
      <c r="H26" s="228">
        <v>8.4</v>
      </c>
      <c r="I26" s="227">
        <f>H26*PARÂMETROS!$E$22</f>
        <v>355.90800000000002</v>
      </c>
      <c r="J26" s="228">
        <v>0.79500000000000004</v>
      </c>
      <c r="K26" s="227">
        <f>J26*PARÂMETROS!$E$22</f>
        <v>33.684150000000002</v>
      </c>
      <c r="L26" s="228">
        <v>2E-3</v>
      </c>
      <c r="M26" s="230">
        <f>L26*PARÂMETROS!$E$8</f>
        <v>6.1780000000000002E-2</v>
      </c>
      <c r="N26" s="228">
        <f t="shared" si="1"/>
        <v>8.4000000000000005E-2</v>
      </c>
      <c r="O26" s="230">
        <f>N26*PARÂMETROS!$E$8</f>
        <v>2.5947600000000004</v>
      </c>
      <c r="P26" s="228">
        <f t="shared" si="2"/>
        <v>7.9500000000000015E-2</v>
      </c>
      <c r="Q26" s="230">
        <f>P26*PARÂMETROS!$E$8</f>
        <v>2.4557550000000004</v>
      </c>
      <c r="R26" s="228">
        <f t="shared" si="3"/>
        <v>8.4000000000000012E-3</v>
      </c>
      <c r="S26" s="230">
        <f>R26*PARÂMETROS!$E$8</f>
        <v>0.25947600000000004</v>
      </c>
      <c r="T26" s="231">
        <v>2.2999999999999998</v>
      </c>
      <c r="U26" s="230">
        <f>T26*PARÂMETROS!$E$27</f>
        <v>6.8999999999999995</v>
      </c>
      <c r="V26" s="299">
        <v>9.4</v>
      </c>
      <c r="W26" s="230">
        <f>V26*PARÂMETROS!$E$30</f>
        <v>54.896000000000001</v>
      </c>
      <c r="X26" s="299">
        <v>1.8560000000000001</v>
      </c>
      <c r="Y26" s="230">
        <f>X26*PARÂMETROS!$E$31</f>
        <v>28.118400000000001</v>
      </c>
      <c r="Z26" s="228">
        <f t="shared" si="4"/>
        <v>8.4000000000000005E-2</v>
      </c>
      <c r="AA26" s="230">
        <f>Z26*PARÂMETROS!$E$8</f>
        <v>2.5947600000000004</v>
      </c>
      <c r="AB26" s="228">
        <f t="shared" si="5"/>
        <v>7.9500000000000005E-3</v>
      </c>
      <c r="AC26" s="230">
        <f>AB26*PARÂMETROS!$E$8</f>
        <v>0.24557550000000003</v>
      </c>
      <c r="AF26" s="232" t="s">
        <v>1404</v>
      </c>
      <c r="AG26" s="264">
        <f t="shared" si="6"/>
        <v>3720.0686565000005</v>
      </c>
      <c r="AH26" s="23"/>
      <c r="AI26" s="224" t="s">
        <v>262</v>
      </c>
      <c r="AJ26" s="291">
        <f>PARÂMETROS!$H$3</f>
        <v>40</v>
      </c>
      <c r="AK26" s="267">
        <v>4.1666666666666699E-2</v>
      </c>
      <c r="AL26" s="267">
        <v>2.7777777777777801E-2</v>
      </c>
      <c r="AM26" s="267">
        <v>6.9444444444444503E-2</v>
      </c>
      <c r="AN26" s="267">
        <v>6.9444444444444397E-3</v>
      </c>
      <c r="AO26" s="267">
        <v>2.0833333333333301E-2</v>
      </c>
      <c r="AP26" s="267">
        <v>6.9444444444444397E-3</v>
      </c>
      <c r="AQ26" s="267">
        <v>3.125E-2</v>
      </c>
      <c r="AR26" s="271">
        <v>1</v>
      </c>
      <c r="AS26" s="292">
        <f t="shared" si="7"/>
        <v>0.20486111111111116</v>
      </c>
      <c r="AT26" s="291">
        <f t="shared" si="8"/>
        <v>196.66666666666671</v>
      </c>
      <c r="AU26" s="272">
        <f t="shared" si="9"/>
        <v>196.66666666666671</v>
      </c>
      <c r="AW26" s="273">
        <f t="shared" si="10"/>
        <v>3720.0686565000005</v>
      </c>
      <c r="AX26" s="274">
        <f t="shared" si="11"/>
        <v>196.66666666666671</v>
      </c>
      <c r="AY26" s="275">
        <v>1</v>
      </c>
      <c r="AZ26" s="276">
        <f t="shared" si="12"/>
        <v>196.66666666666671</v>
      </c>
      <c r="BA26" s="293">
        <f t="shared" si="13"/>
        <v>3916.7353231666671</v>
      </c>
      <c r="BB26" s="275">
        <v>1</v>
      </c>
      <c r="BU26" s="293">
        <v>80</v>
      </c>
      <c r="BV26" s="293">
        <f t="shared" si="14"/>
        <v>3996.7353231666671</v>
      </c>
    </row>
    <row r="27" spans="1:74" ht="27" customHeight="1" x14ac:dyDescent="0.3">
      <c r="A27" s="224" t="s">
        <v>266</v>
      </c>
      <c r="B27" s="225" t="s">
        <v>1384</v>
      </c>
      <c r="C27" s="228">
        <v>140</v>
      </c>
      <c r="D27" s="263">
        <f>C27*D5</f>
        <v>2742.6</v>
      </c>
      <c r="E27" s="228">
        <v>63</v>
      </c>
      <c r="F27" s="263">
        <f>E27*F5</f>
        <v>1234.17</v>
      </c>
      <c r="G27" s="227">
        <f t="shared" si="0"/>
        <v>3976.77</v>
      </c>
      <c r="H27" s="228">
        <v>9</v>
      </c>
      <c r="I27" s="227">
        <f>H27*PARÂMETROS!$E$22</f>
        <v>381.33</v>
      </c>
      <c r="J27" s="228">
        <v>0.88500000000000001</v>
      </c>
      <c r="K27" s="227">
        <f>J27*PARÂMETROS!$E$22</f>
        <v>37.497450000000001</v>
      </c>
      <c r="L27" s="228">
        <v>2E-3</v>
      </c>
      <c r="M27" s="230">
        <f>L27*PARÂMETROS!$E$8</f>
        <v>6.1780000000000002E-2</v>
      </c>
      <c r="N27" s="228">
        <f t="shared" si="1"/>
        <v>0.09</v>
      </c>
      <c r="O27" s="230">
        <f>N27*PARÂMETROS!$E$8</f>
        <v>2.7801</v>
      </c>
      <c r="P27" s="228">
        <f t="shared" si="2"/>
        <v>8.8500000000000009E-2</v>
      </c>
      <c r="Q27" s="230">
        <f>P27*PARÂMETROS!$E$8</f>
        <v>2.7337650000000004</v>
      </c>
      <c r="R27" s="228">
        <f t="shared" si="3"/>
        <v>8.9999999999999993E-3</v>
      </c>
      <c r="S27" s="230">
        <f>R27*PARÂMETROS!$E$8</f>
        <v>0.27800999999999998</v>
      </c>
      <c r="T27" s="231">
        <v>2.4</v>
      </c>
      <c r="U27" s="230">
        <f>T27*PARÂMETROS!$E$27</f>
        <v>7.1999999999999993</v>
      </c>
      <c r="V27" s="299">
        <v>9.2799999999999994</v>
      </c>
      <c r="W27" s="230">
        <f>V27*PARÂMETROS!$E$30</f>
        <v>54.195199999999993</v>
      </c>
      <c r="X27" s="299">
        <v>2.008</v>
      </c>
      <c r="Y27" s="230">
        <f>X27*PARÂMETROS!$E$31</f>
        <v>30.421200000000002</v>
      </c>
      <c r="Z27" s="228">
        <f t="shared" si="4"/>
        <v>0.09</v>
      </c>
      <c r="AA27" s="230">
        <f>Z27*PARÂMETROS!$E$8</f>
        <v>2.7801</v>
      </c>
      <c r="AB27" s="228">
        <f t="shared" si="5"/>
        <v>8.8500000000000002E-3</v>
      </c>
      <c r="AC27" s="230">
        <f>AB27*PARÂMETROS!$E$8</f>
        <v>0.27337650000000002</v>
      </c>
      <c r="AD27" s="23"/>
      <c r="AE27" s="23"/>
      <c r="AF27" s="232" t="s">
        <v>1405</v>
      </c>
      <c r="AG27" s="264">
        <f t="shared" si="6"/>
        <v>4496.3209815</v>
      </c>
      <c r="AH27" s="23"/>
      <c r="AI27" s="224" t="s">
        <v>266</v>
      </c>
      <c r="AJ27" s="291">
        <f>PARÂMETROS!$H$3</f>
        <v>40</v>
      </c>
      <c r="AK27" s="267">
        <v>8.3333333333333301E-2</v>
      </c>
      <c r="AL27" s="267">
        <v>2.7777777777777801E-2</v>
      </c>
      <c r="AM27" s="267">
        <v>6.9444444444444503E-2</v>
      </c>
      <c r="AN27" s="267">
        <v>6.9444444444444397E-3</v>
      </c>
      <c r="AO27" s="267">
        <v>2.0833333333333301E-2</v>
      </c>
      <c r="AP27" s="267">
        <v>6.9444444444444397E-3</v>
      </c>
      <c r="AQ27" s="267">
        <v>3.125E-2</v>
      </c>
      <c r="AR27" s="271">
        <v>1</v>
      </c>
      <c r="AS27" s="292">
        <f t="shared" si="7"/>
        <v>0.24652777777777779</v>
      </c>
      <c r="AT27" s="291">
        <f t="shared" si="8"/>
        <v>236.66666666666666</v>
      </c>
      <c r="AU27" s="272">
        <f t="shared" si="9"/>
        <v>236.66666666666666</v>
      </c>
      <c r="AW27" s="273">
        <f t="shared" si="10"/>
        <v>4496.3209815</v>
      </c>
      <c r="AX27" s="274">
        <f t="shared" si="11"/>
        <v>236.66666666666666</v>
      </c>
      <c r="AY27" s="275">
        <v>1</v>
      </c>
      <c r="AZ27" s="276">
        <f t="shared" si="12"/>
        <v>236.66666666666666</v>
      </c>
      <c r="BA27" s="293">
        <f t="shared" si="13"/>
        <v>4732.987648166667</v>
      </c>
      <c r="BB27" s="275">
        <v>1</v>
      </c>
      <c r="BU27" s="293">
        <v>80</v>
      </c>
      <c r="BV27" s="293">
        <f t="shared" si="14"/>
        <v>4812.987648166667</v>
      </c>
    </row>
    <row r="28" spans="1:74" ht="27" customHeight="1" x14ac:dyDescent="0.3">
      <c r="A28" s="224" t="s">
        <v>270</v>
      </c>
      <c r="B28" s="225" t="s">
        <v>1384</v>
      </c>
      <c r="C28" s="228">
        <v>150</v>
      </c>
      <c r="D28" s="263">
        <f>C28*D5</f>
        <v>2938.5</v>
      </c>
      <c r="E28" s="228">
        <v>68</v>
      </c>
      <c r="F28" s="263">
        <f>E28*F5</f>
        <v>1332.12</v>
      </c>
      <c r="G28" s="227">
        <f t="shared" si="0"/>
        <v>4270.62</v>
      </c>
      <c r="H28" s="228">
        <v>9.6999999999999993</v>
      </c>
      <c r="I28" s="227">
        <f>H28*PARÂMETROS!$E$22</f>
        <v>410.98899999999992</v>
      </c>
      <c r="J28" s="228">
        <v>0.96</v>
      </c>
      <c r="K28" s="227">
        <f>J28*PARÂMETROS!$E$22</f>
        <v>40.675199999999997</v>
      </c>
      <c r="L28" s="228">
        <v>2E-3</v>
      </c>
      <c r="M28" s="230">
        <f>L28*PARÂMETROS!$E$8</f>
        <v>6.1780000000000002E-2</v>
      </c>
      <c r="N28" s="228">
        <f t="shared" si="1"/>
        <v>9.6999999999999989E-2</v>
      </c>
      <c r="O28" s="230">
        <f>N28*PARÂMETROS!$E$8</f>
        <v>2.9963299999999995</v>
      </c>
      <c r="P28" s="228">
        <f t="shared" si="2"/>
        <v>9.6000000000000002E-2</v>
      </c>
      <c r="Q28" s="230">
        <f>P28*PARÂMETROS!$E$8</f>
        <v>2.9654400000000001</v>
      </c>
      <c r="R28" s="228">
        <f t="shared" si="3"/>
        <v>9.7000000000000003E-3</v>
      </c>
      <c r="S28" s="230">
        <f>R28*PARÂMETROS!$E$8</f>
        <v>0.29963300000000004</v>
      </c>
      <c r="T28" s="231">
        <v>2.5</v>
      </c>
      <c r="U28" s="230">
        <f>T28*PARÂMETROS!$E$27</f>
        <v>7.5</v>
      </c>
      <c r="V28" s="299">
        <v>10.039999999999999</v>
      </c>
      <c r="W28" s="230">
        <f>V28*PARÂMETROS!$E$30</f>
        <v>58.633599999999994</v>
      </c>
      <c r="X28" s="299">
        <v>2.1680000000000001</v>
      </c>
      <c r="Y28" s="230">
        <f>X28*PARÂMETROS!$E$31</f>
        <v>32.845200000000006</v>
      </c>
      <c r="Z28" s="228">
        <f t="shared" si="4"/>
        <v>9.6999999999999989E-2</v>
      </c>
      <c r="AA28" s="230">
        <f>Z28*PARÂMETROS!$E$8</f>
        <v>2.9963299999999995</v>
      </c>
      <c r="AB28" s="228">
        <f t="shared" si="5"/>
        <v>9.5999999999999992E-3</v>
      </c>
      <c r="AC28" s="230">
        <f>AB28*PARÂMETROS!$E$8</f>
        <v>0.29654399999999997</v>
      </c>
      <c r="AF28" s="232" t="s">
        <v>1406</v>
      </c>
      <c r="AG28" s="264">
        <f t="shared" si="6"/>
        <v>4830.8790569999992</v>
      </c>
      <c r="AH28" s="23"/>
      <c r="AI28" s="224" t="s">
        <v>270</v>
      </c>
      <c r="AJ28" s="291">
        <f>PARÂMETROS!$H$3</f>
        <v>40</v>
      </c>
      <c r="AK28" s="267">
        <v>8.3333333333333301E-2</v>
      </c>
      <c r="AL28" s="267">
        <v>2.7777777777777801E-2</v>
      </c>
      <c r="AM28" s="267">
        <v>6.9444444444444503E-2</v>
      </c>
      <c r="AN28" s="267">
        <v>6.9444444444444397E-3</v>
      </c>
      <c r="AO28" s="267">
        <v>2.0833333333333301E-2</v>
      </c>
      <c r="AP28" s="267">
        <v>6.9444444444444397E-3</v>
      </c>
      <c r="AQ28" s="267">
        <v>3.125E-2</v>
      </c>
      <c r="AR28" s="271">
        <v>1</v>
      </c>
      <c r="AS28" s="292">
        <f t="shared" si="7"/>
        <v>0.24652777777777779</v>
      </c>
      <c r="AT28" s="291">
        <f t="shared" si="8"/>
        <v>236.66666666666666</v>
      </c>
      <c r="AU28" s="272">
        <f t="shared" si="9"/>
        <v>236.66666666666666</v>
      </c>
      <c r="AW28" s="273">
        <f t="shared" si="10"/>
        <v>4830.8790569999992</v>
      </c>
      <c r="AX28" s="274">
        <f t="shared" si="11"/>
        <v>236.66666666666666</v>
      </c>
      <c r="AY28" s="275">
        <v>1</v>
      </c>
      <c r="AZ28" s="276">
        <f t="shared" si="12"/>
        <v>236.66666666666666</v>
      </c>
      <c r="BA28" s="293">
        <f t="shared" si="13"/>
        <v>5067.5457236666662</v>
      </c>
      <c r="BB28" s="275">
        <v>1</v>
      </c>
      <c r="BU28" s="293">
        <v>80</v>
      </c>
      <c r="BV28" s="293">
        <f t="shared" si="14"/>
        <v>5147.5457236666662</v>
      </c>
    </row>
    <row r="29" spans="1:74" ht="27" customHeight="1" x14ac:dyDescent="0.3">
      <c r="A29" s="224" t="s">
        <v>274</v>
      </c>
      <c r="B29" s="225" t="s">
        <v>1384</v>
      </c>
      <c r="C29" s="228">
        <v>170</v>
      </c>
      <c r="D29" s="263">
        <f>C29*D5</f>
        <v>3330.3</v>
      </c>
      <c r="E29" s="228">
        <v>76.5</v>
      </c>
      <c r="F29" s="263">
        <f>E29*F5</f>
        <v>1498.635</v>
      </c>
      <c r="G29" s="227">
        <f t="shared" si="0"/>
        <v>4828.9350000000004</v>
      </c>
      <c r="H29" s="228">
        <v>10.4</v>
      </c>
      <c r="I29" s="227">
        <f>H29*PARÂMETROS!$E$22</f>
        <v>440.64799999999997</v>
      </c>
      <c r="J29" s="228">
        <v>1.079</v>
      </c>
      <c r="K29" s="227">
        <f>J29*PARÂMETROS!$E$22</f>
        <v>45.717229999999994</v>
      </c>
      <c r="L29" s="228">
        <v>2E-3</v>
      </c>
      <c r="M29" s="230">
        <f>L29*PARÂMETROS!$E$8</f>
        <v>6.1780000000000002E-2</v>
      </c>
      <c r="N29" s="228">
        <f t="shared" si="1"/>
        <v>0.10400000000000001</v>
      </c>
      <c r="O29" s="230">
        <f>N29*PARÂMETROS!$E$8</f>
        <v>3.2125600000000003</v>
      </c>
      <c r="P29" s="228">
        <f t="shared" si="2"/>
        <v>0.1079</v>
      </c>
      <c r="Q29" s="230">
        <f>P29*PARÂMETROS!$E$8</f>
        <v>3.3330310000000001</v>
      </c>
      <c r="R29" s="228">
        <f t="shared" si="3"/>
        <v>1.0400000000000001E-2</v>
      </c>
      <c r="S29" s="230">
        <f>R29*PARÂMETROS!$E$8</f>
        <v>0.32125600000000004</v>
      </c>
      <c r="T29" s="231">
        <v>2.6</v>
      </c>
      <c r="U29" s="230">
        <f>T29*PARÂMETROS!$E$27</f>
        <v>7.8000000000000007</v>
      </c>
      <c r="V29" s="299">
        <v>10.84</v>
      </c>
      <c r="W29" s="230">
        <f>V29*PARÂMETROS!$E$30</f>
        <v>63.305599999999998</v>
      </c>
      <c r="X29" s="299">
        <v>2.488</v>
      </c>
      <c r="Y29" s="230">
        <f>X29*PARÂMETROS!$E$31</f>
        <v>37.693199999999997</v>
      </c>
      <c r="Z29" s="228">
        <f t="shared" si="4"/>
        <v>0.10400000000000001</v>
      </c>
      <c r="AA29" s="230">
        <f>Z29*PARÂMETROS!$E$8</f>
        <v>3.2125600000000003</v>
      </c>
      <c r="AB29" s="228">
        <f t="shared" si="5"/>
        <v>1.0789999999999999E-2</v>
      </c>
      <c r="AC29" s="230">
        <f>AB29*PARÂMETROS!$E$8</f>
        <v>0.33330309999999996</v>
      </c>
      <c r="AD29" s="23"/>
      <c r="AE29" s="23"/>
      <c r="AF29" s="232" t="s">
        <v>1407</v>
      </c>
      <c r="AG29" s="264">
        <f t="shared" si="6"/>
        <v>5434.5735200999998</v>
      </c>
      <c r="AH29" s="23"/>
      <c r="AI29" s="224" t="s">
        <v>274</v>
      </c>
      <c r="AJ29" s="291">
        <f>PARÂMETROS!$H$3</f>
        <v>40</v>
      </c>
      <c r="AK29" s="267">
        <v>8.3333333333333301E-2</v>
      </c>
      <c r="AL29" s="267">
        <v>2.7777777777777801E-2</v>
      </c>
      <c r="AM29" s="267">
        <v>6.9444444444444503E-2</v>
      </c>
      <c r="AN29" s="267">
        <v>6.9444444444444397E-3</v>
      </c>
      <c r="AO29" s="267">
        <v>2.0833333333333301E-2</v>
      </c>
      <c r="AP29" s="267">
        <v>6.9444444444444397E-3</v>
      </c>
      <c r="AQ29" s="267">
        <v>3.125E-2</v>
      </c>
      <c r="AR29" s="271">
        <v>1</v>
      </c>
      <c r="AS29" s="292">
        <f t="shared" si="7"/>
        <v>0.24652777777777779</v>
      </c>
      <c r="AT29" s="291">
        <f t="shared" si="8"/>
        <v>236.66666666666666</v>
      </c>
      <c r="AU29" s="272">
        <f t="shared" si="9"/>
        <v>236.66666666666666</v>
      </c>
      <c r="AW29" s="273">
        <f t="shared" si="10"/>
        <v>5434.5735200999998</v>
      </c>
      <c r="AX29" s="274">
        <f t="shared" si="11"/>
        <v>236.66666666666666</v>
      </c>
      <c r="AY29" s="275">
        <v>1</v>
      </c>
      <c r="AZ29" s="276">
        <f t="shared" si="12"/>
        <v>236.66666666666666</v>
      </c>
      <c r="BA29" s="293">
        <f t="shared" si="13"/>
        <v>5671.2401867666667</v>
      </c>
      <c r="BB29" s="275">
        <v>1</v>
      </c>
      <c r="BU29" s="293">
        <v>80</v>
      </c>
      <c r="BV29" s="293">
        <f t="shared" si="14"/>
        <v>5751.2401867666667</v>
      </c>
    </row>
    <row r="30" spans="1:74" ht="25.5" customHeight="1" x14ac:dyDescent="0.3">
      <c r="A30" s="224" t="s">
        <v>278</v>
      </c>
      <c r="B30" s="225" t="s">
        <v>1384</v>
      </c>
      <c r="C30" s="228">
        <v>200</v>
      </c>
      <c r="D30" s="263">
        <f>C30*D5</f>
        <v>3918</v>
      </c>
      <c r="E30" s="228">
        <v>90</v>
      </c>
      <c r="F30" s="263">
        <f>E30*F5</f>
        <v>1763.1</v>
      </c>
      <c r="G30" s="227">
        <f t="shared" si="0"/>
        <v>5681.1</v>
      </c>
      <c r="H30" s="228">
        <v>11.7</v>
      </c>
      <c r="I30" s="227">
        <f>H30*PARÂMETROS!$E$22</f>
        <v>495.72899999999993</v>
      </c>
      <c r="J30" s="228">
        <v>1.1599999999999999</v>
      </c>
      <c r="K30" s="227">
        <f>J30*PARÂMETROS!$E$22</f>
        <v>49.149199999999993</v>
      </c>
      <c r="L30" s="228">
        <v>2E-3</v>
      </c>
      <c r="M30" s="230">
        <f>L30*PARÂMETROS!$E$8</f>
        <v>6.1780000000000002E-2</v>
      </c>
      <c r="N30" s="228">
        <f t="shared" si="1"/>
        <v>0.11699999999999999</v>
      </c>
      <c r="O30" s="230">
        <f>N30*PARÂMETROS!$E$8</f>
        <v>3.6141299999999998</v>
      </c>
      <c r="P30" s="228">
        <f t="shared" si="2"/>
        <v>0.11599999999999999</v>
      </c>
      <c r="Q30" s="230">
        <f>P30*PARÂMETROS!$E$8</f>
        <v>3.58324</v>
      </c>
      <c r="R30" s="228">
        <f t="shared" si="3"/>
        <v>1.17E-2</v>
      </c>
      <c r="S30" s="230">
        <f>R30*PARÂMETROS!$E$8</f>
        <v>0.36141300000000004</v>
      </c>
      <c r="T30" s="231">
        <v>2.7</v>
      </c>
      <c r="U30" s="230">
        <f>T30*PARÂMETROS!$E$27</f>
        <v>8.1000000000000014</v>
      </c>
      <c r="V30" s="299">
        <v>12.44</v>
      </c>
      <c r="W30" s="230">
        <f>V30*PARÂMETROS!$E$30</f>
        <v>72.649599999999992</v>
      </c>
      <c r="X30" s="299">
        <v>2.7509999999999999</v>
      </c>
      <c r="Y30" s="230">
        <f>X30*PARÂMETROS!$E$31</f>
        <v>41.67765</v>
      </c>
      <c r="Z30" s="228">
        <f t="shared" si="4"/>
        <v>0.11699999999999999</v>
      </c>
      <c r="AA30" s="230">
        <f>Z30*PARÂMETROS!$E$8</f>
        <v>3.6141299999999998</v>
      </c>
      <c r="AB30" s="228">
        <f t="shared" si="5"/>
        <v>1.1599999999999999E-2</v>
      </c>
      <c r="AC30" s="230">
        <f>AB30*PARÂMETROS!$E$8</f>
        <v>0.35832399999999998</v>
      </c>
      <c r="AF30" s="232" t="s">
        <v>1408</v>
      </c>
      <c r="AG30" s="264">
        <f t="shared" si="6"/>
        <v>6359.9984669999994</v>
      </c>
      <c r="AH30" s="23"/>
      <c r="AI30" s="224" t="s">
        <v>278</v>
      </c>
      <c r="AJ30" s="291">
        <f>PARÂMETROS!$H$3</f>
        <v>40</v>
      </c>
      <c r="AK30" s="267">
        <v>8.3333333333333301E-2</v>
      </c>
      <c r="AL30" s="267">
        <v>2.7777777777777801E-2</v>
      </c>
      <c r="AM30" s="267">
        <v>6.9444444444444503E-2</v>
      </c>
      <c r="AN30" s="267">
        <v>6.9444444444444397E-3</v>
      </c>
      <c r="AO30" s="267">
        <v>2.0833333333333301E-2</v>
      </c>
      <c r="AP30" s="267">
        <v>6.9444444444444397E-3</v>
      </c>
      <c r="AQ30" s="267">
        <v>3.125E-2</v>
      </c>
      <c r="AR30" s="271">
        <v>1</v>
      </c>
      <c r="AS30" s="292">
        <f t="shared" si="7"/>
        <v>0.24652777777777779</v>
      </c>
      <c r="AT30" s="291">
        <f t="shared" si="8"/>
        <v>236.66666666666666</v>
      </c>
      <c r="AU30" s="272">
        <f t="shared" si="9"/>
        <v>236.66666666666666</v>
      </c>
      <c r="AW30" s="273">
        <f t="shared" si="10"/>
        <v>6359.9984669999994</v>
      </c>
      <c r="AX30" s="274">
        <f t="shared" si="11"/>
        <v>236.66666666666666</v>
      </c>
      <c r="AY30" s="275">
        <v>1</v>
      </c>
      <c r="AZ30" s="276">
        <f t="shared" si="12"/>
        <v>236.66666666666666</v>
      </c>
      <c r="BA30" s="293">
        <f t="shared" si="13"/>
        <v>6596.6651336666664</v>
      </c>
      <c r="BB30" s="275">
        <v>1</v>
      </c>
      <c r="BU30" s="293">
        <v>80</v>
      </c>
      <c r="BV30" s="293">
        <f t="shared" si="14"/>
        <v>6676.6651336666664</v>
      </c>
    </row>
    <row r="31" spans="1:74" ht="25.5" customHeight="1" x14ac:dyDescent="0.3">
      <c r="A31" s="224" t="s">
        <v>196</v>
      </c>
      <c r="B31" s="225" t="s">
        <v>1409</v>
      </c>
      <c r="C31" s="228">
        <v>0.06</v>
      </c>
      <c r="D31" s="263">
        <f>C31*C5</f>
        <v>1.1754</v>
      </c>
      <c r="E31" s="228">
        <v>0.03</v>
      </c>
      <c r="F31" s="263">
        <f>E31*F5</f>
        <v>0.5877</v>
      </c>
      <c r="G31" s="227">
        <f t="shared" si="0"/>
        <v>1.7631000000000001</v>
      </c>
      <c r="H31" s="228">
        <v>0.1</v>
      </c>
      <c r="I31" s="227">
        <f>H31*PARÂMETROS!$E$22</f>
        <v>4.2370000000000001</v>
      </c>
      <c r="J31" s="228">
        <v>3.0000000000000001E-3</v>
      </c>
      <c r="K31" s="227">
        <f>J31*PARÂMETROS!$E$22</f>
        <v>0.12711</v>
      </c>
      <c r="L31" s="228">
        <v>2E-3</v>
      </c>
      <c r="M31" s="230">
        <f>L31*PARÂMETROS!$E$8</f>
        <v>6.1780000000000002E-2</v>
      </c>
      <c r="N31" s="228">
        <f t="shared" si="1"/>
        <v>1E-3</v>
      </c>
      <c r="O31" s="230">
        <f>N31*PARÂMETROS!$E$8</f>
        <v>3.0890000000000001E-2</v>
      </c>
      <c r="P31" s="228">
        <f t="shared" si="2"/>
        <v>3.0000000000000003E-4</v>
      </c>
      <c r="Q31" s="230">
        <f>P31*PARÂMETROS!$E$8</f>
        <v>9.2670000000000009E-3</v>
      </c>
      <c r="R31" s="228">
        <f t="shared" si="3"/>
        <v>1E-4</v>
      </c>
      <c r="S31" s="230">
        <f>R31*PARÂMETROS!$E$8</f>
        <v>3.0890000000000002E-3</v>
      </c>
      <c r="T31" s="231">
        <v>0.3</v>
      </c>
      <c r="U31" s="230">
        <f>T31*PARÂMETROS!$E$27</f>
        <v>0.89999999999999991</v>
      </c>
      <c r="V31" s="299">
        <f>0.129/2</f>
        <v>6.4500000000000002E-2</v>
      </c>
      <c r="W31" s="230">
        <f>V31*PARÂMETROS!$E$30</f>
        <v>0.37668000000000001</v>
      </c>
      <c r="X31" s="299">
        <v>2.5999999999999999E-2</v>
      </c>
      <c r="Y31" s="230">
        <f>X31*PARÂMETROS!$E$31</f>
        <v>0.39389999999999997</v>
      </c>
      <c r="Z31" s="228">
        <f t="shared" si="4"/>
        <v>1E-3</v>
      </c>
      <c r="AA31" s="230">
        <f>Z31*PARÂMETROS!$E$8</f>
        <v>3.0890000000000001E-2</v>
      </c>
      <c r="AB31" s="229">
        <f t="shared" si="5"/>
        <v>3.0000000000000001E-5</v>
      </c>
      <c r="AC31" s="230">
        <f>AB31*PARÂMETROS!$E$8</f>
        <v>9.2670000000000003E-4</v>
      </c>
      <c r="AD31" s="23"/>
      <c r="AE31" s="23"/>
      <c r="AF31" s="232" t="s">
        <v>1410</v>
      </c>
      <c r="AG31" s="264">
        <f t="shared" si="6"/>
        <v>7.9346327000000016</v>
      </c>
      <c r="AH31" s="23"/>
      <c r="AI31" s="224" t="s">
        <v>196</v>
      </c>
      <c r="AJ31" s="291">
        <f>PARÂMETROS!$H$3</f>
        <v>40</v>
      </c>
      <c r="AK31" s="267">
        <v>2.1527777777777798E-2</v>
      </c>
      <c r="AL31" s="267">
        <v>2.7777777777777801E-2</v>
      </c>
      <c r="AM31" s="267">
        <v>1.38888888888889E-2</v>
      </c>
      <c r="AN31" s="267"/>
      <c r="AO31" s="267">
        <v>2.0833333333333301E-2</v>
      </c>
      <c r="AP31" s="267">
        <v>6.9444444444444397E-3</v>
      </c>
      <c r="AQ31" s="267">
        <v>3.125E-2</v>
      </c>
      <c r="AR31" s="271">
        <v>4</v>
      </c>
      <c r="AS31" s="292">
        <f t="shared" si="7"/>
        <v>0.12222222222222225</v>
      </c>
      <c r="AT31" s="291">
        <f t="shared" si="8"/>
        <v>117.33333333333337</v>
      </c>
      <c r="AU31" s="272">
        <f t="shared" si="9"/>
        <v>29.333333333333343</v>
      </c>
      <c r="AW31" s="273">
        <f t="shared" si="10"/>
        <v>7.9346327000000016</v>
      </c>
      <c r="AX31" s="274">
        <f t="shared" si="11"/>
        <v>117.33333333333337</v>
      </c>
      <c r="AY31" s="275">
        <v>4</v>
      </c>
      <c r="AZ31" s="276">
        <f t="shared" si="12"/>
        <v>29.333333333333343</v>
      </c>
      <c r="BA31" s="293">
        <f t="shared" si="13"/>
        <v>37.267966033333344</v>
      </c>
      <c r="BB31" s="275">
        <v>4</v>
      </c>
      <c r="BU31" s="293">
        <v>80</v>
      </c>
      <c r="BV31" s="293">
        <f t="shared" si="14"/>
        <v>117.26796603333335</v>
      </c>
    </row>
    <row r="32" spans="1:74" ht="25.5" customHeight="1" x14ac:dyDescent="0.3">
      <c r="A32" s="224" t="s">
        <v>200</v>
      </c>
      <c r="B32" s="225" t="s">
        <v>1409</v>
      </c>
      <c r="C32" s="228">
        <v>0.11</v>
      </c>
      <c r="D32" s="263">
        <f>C32*C5</f>
        <v>2.1549</v>
      </c>
      <c r="E32" s="228">
        <v>5.5E-2</v>
      </c>
      <c r="F32" s="263">
        <f>E32*F5</f>
        <v>1.07745</v>
      </c>
      <c r="G32" s="227">
        <f t="shared" si="0"/>
        <v>3.2323500000000003</v>
      </c>
      <c r="H32" s="228">
        <v>0.14000000000000001</v>
      </c>
      <c r="I32" s="227">
        <f>H32*PARÂMETROS!$E$22</f>
        <v>5.9318</v>
      </c>
      <c r="J32" s="228">
        <v>6.0000000000000001E-3</v>
      </c>
      <c r="K32" s="227">
        <f>J32*PARÂMETROS!$E$22</f>
        <v>0.25422</v>
      </c>
      <c r="L32" s="228">
        <v>2E-3</v>
      </c>
      <c r="M32" s="230">
        <f>L32*PARÂMETROS!$E$8</f>
        <v>6.1780000000000002E-2</v>
      </c>
      <c r="N32" s="228">
        <f t="shared" si="1"/>
        <v>1.4000000000000002E-3</v>
      </c>
      <c r="O32" s="230">
        <f>N32*PARÂMETROS!$E$8</f>
        <v>4.3246000000000007E-2</v>
      </c>
      <c r="P32" s="228">
        <f t="shared" si="2"/>
        <v>6.0000000000000006E-4</v>
      </c>
      <c r="Q32" s="230">
        <f>P32*PARÂMETROS!$E$8</f>
        <v>1.8534000000000002E-2</v>
      </c>
      <c r="R32" s="228">
        <f t="shared" si="3"/>
        <v>1.4000000000000001E-4</v>
      </c>
      <c r="S32" s="230">
        <f>R32*PARÂMETROS!$E$8</f>
        <v>4.3246000000000005E-3</v>
      </c>
      <c r="T32" s="231">
        <v>0.36</v>
      </c>
      <c r="U32" s="230">
        <f>T32*PARÂMETROS!$E$27</f>
        <v>1.08</v>
      </c>
      <c r="V32" s="299">
        <f>0.255/2</f>
        <v>0.1275</v>
      </c>
      <c r="W32" s="230">
        <f>V32*PARÂMETROS!$E$30</f>
        <v>0.74460000000000004</v>
      </c>
      <c r="X32" s="299">
        <v>5.0999999999999997E-2</v>
      </c>
      <c r="Y32" s="230">
        <f>X32*PARÂMETROS!$E$31</f>
        <v>0.77264999999999995</v>
      </c>
      <c r="Z32" s="228">
        <f t="shared" si="4"/>
        <v>1.4000000000000002E-3</v>
      </c>
      <c r="AA32" s="230">
        <f>Z32*PARÂMETROS!$E$8</f>
        <v>4.3246000000000007E-2</v>
      </c>
      <c r="AB32" s="229">
        <f t="shared" si="5"/>
        <v>6.0000000000000002E-5</v>
      </c>
      <c r="AC32" s="230">
        <f>AB32*PARÂMETROS!$E$8</f>
        <v>1.8534000000000001E-3</v>
      </c>
      <c r="AF32" s="232" t="s">
        <v>1411</v>
      </c>
      <c r="AG32" s="264">
        <f t="shared" si="6"/>
        <v>12.188604</v>
      </c>
      <c r="AH32" s="23"/>
      <c r="AI32" s="224" t="s">
        <v>200</v>
      </c>
      <c r="AJ32" s="291">
        <f>PARÂMETROS!$H$3</f>
        <v>40</v>
      </c>
      <c r="AK32" s="267">
        <v>2.1527777777777798E-2</v>
      </c>
      <c r="AL32" s="267">
        <v>2.7777777777777801E-2</v>
      </c>
      <c r="AM32" s="267">
        <v>1.38888888888889E-2</v>
      </c>
      <c r="AN32" s="267"/>
      <c r="AO32" s="267">
        <v>2.0833333333333301E-2</v>
      </c>
      <c r="AP32" s="267">
        <v>6.9444444444444397E-3</v>
      </c>
      <c r="AQ32" s="267">
        <v>3.125E-2</v>
      </c>
      <c r="AR32" s="271">
        <v>4</v>
      </c>
      <c r="AS32" s="292">
        <f t="shared" si="7"/>
        <v>0.12222222222222225</v>
      </c>
      <c r="AT32" s="291">
        <f t="shared" si="8"/>
        <v>117.33333333333337</v>
      </c>
      <c r="AU32" s="272">
        <f t="shared" si="9"/>
        <v>29.333333333333343</v>
      </c>
      <c r="AW32" s="273">
        <f t="shared" si="10"/>
        <v>12.188604</v>
      </c>
      <c r="AX32" s="274">
        <f t="shared" si="11"/>
        <v>117.33333333333337</v>
      </c>
      <c r="AY32" s="275">
        <v>4</v>
      </c>
      <c r="AZ32" s="276">
        <f t="shared" si="12"/>
        <v>29.333333333333343</v>
      </c>
      <c r="BA32" s="293">
        <f t="shared" si="13"/>
        <v>41.521937333333341</v>
      </c>
      <c r="BB32" s="275">
        <v>4</v>
      </c>
      <c r="BU32" s="293">
        <v>80</v>
      </c>
      <c r="BV32" s="293">
        <f t="shared" si="14"/>
        <v>121.52193733333334</v>
      </c>
    </row>
    <row r="33" spans="1:74" ht="25.5" customHeight="1" x14ac:dyDescent="0.3">
      <c r="A33" s="224" t="s">
        <v>185</v>
      </c>
      <c r="B33" s="225" t="s">
        <v>1409</v>
      </c>
      <c r="C33" s="228">
        <v>0.2</v>
      </c>
      <c r="D33" s="263">
        <f>C33*C5</f>
        <v>3.9180000000000001</v>
      </c>
      <c r="E33" s="228">
        <v>0.1</v>
      </c>
      <c r="F33" s="263">
        <f>E33*F5</f>
        <v>1.9590000000000001</v>
      </c>
      <c r="G33" s="227">
        <f t="shared" si="0"/>
        <v>5.8770000000000007</v>
      </c>
      <c r="H33" s="228">
        <v>0.26</v>
      </c>
      <c r="I33" s="227">
        <f>H33*PARÂMETROS!$E$22</f>
        <v>11.0162</v>
      </c>
      <c r="J33" s="228">
        <v>1.0999999999999999E-2</v>
      </c>
      <c r="K33" s="227">
        <f>J33*PARÂMETROS!$E$22</f>
        <v>0.46606999999999993</v>
      </c>
      <c r="L33" s="228">
        <v>2E-3</v>
      </c>
      <c r="M33" s="230">
        <f>L33*PARÂMETROS!$E$8</f>
        <v>6.1780000000000002E-2</v>
      </c>
      <c r="N33" s="228">
        <f t="shared" si="1"/>
        <v>2.6000000000000003E-3</v>
      </c>
      <c r="O33" s="230">
        <f>N33*PARÂMETROS!$E$8</f>
        <v>8.031400000000001E-2</v>
      </c>
      <c r="P33" s="228">
        <f t="shared" si="2"/>
        <v>1.1000000000000001E-3</v>
      </c>
      <c r="Q33" s="230">
        <f>P33*PARÂMETROS!$E$8</f>
        <v>3.3979000000000002E-2</v>
      </c>
      <c r="R33" s="228">
        <f t="shared" si="3"/>
        <v>2.6000000000000003E-4</v>
      </c>
      <c r="S33" s="230">
        <f>R33*PARÂMETROS!$E$8</f>
        <v>8.031400000000001E-3</v>
      </c>
      <c r="T33" s="231">
        <v>0.41</v>
      </c>
      <c r="U33" s="230">
        <f>T33*PARÂMETROS!$E$27</f>
        <v>1.23</v>
      </c>
      <c r="V33" s="299">
        <f>0.476/2</f>
        <v>0.23799999999999999</v>
      </c>
      <c r="W33" s="230">
        <f>V33*PARÂMETROS!$E$30</f>
        <v>1.3899199999999998</v>
      </c>
      <c r="X33" s="299">
        <v>9.5000000000000001E-2</v>
      </c>
      <c r="Y33" s="230">
        <f>X33*PARÂMETROS!$E$31</f>
        <v>1.4392500000000001</v>
      </c>
      <c r="Z33" s="228">
        <f t="shared" si="4"/>
        <v>2.6000000000000003E-3</v>
      </c>
      <c r="AA33" s="230">
        <f>Z33*PARÂMETROS!$E$8</f>
        <v>8.031400000000001E-2</v>
      </c>
      <c r="AB33" s="229">
        <f t="shared" si="5"/>
        <v>1.0999999999999999E-4</v>
      </c>
      <c r="AC33" s="230">
        <f>AB33*PARÂMETROS!$E$8</f>
        <v>3.3978999999999997E-3</v>
      </c>
      <c r="AD33" s="23"/>
      <c r="AE33" s="23"/>
      <c r="AF33" s="232" t="s">
        <v>1412</v>
      </c>
      <c r="AG33" s="264">
        <f t="shared" si="6"/>
        <v>21.686256300000004</v>
      </c>
      <c r="AH33" s="23"/>
      <c r="AI33" s="224" t="s">
        <v>185</v>
      </c>
      <c r="AJ33" s="291">
        <f>PARÂMETROS!$H$3</f>
        <v>40</v>
      </c>
      <c r="AK33" s="267">
        <v>2.1527777777777798E-2</v>
      </c>
      <c r="AL33" s="267">
        <v>2.7777777777777801E-2</v>
      </c>
      <c r="AM33" s="267">
        <v>1.38888888888889E-2</v>
      </c>
      <c r="AN33" s="267"/>
      <c r="AO33" s="267">
        <v>2.0833333333333301E-2</v>
      </c>
      <c r="AP33" s="267">
        <v>6.9444444444444397E-3</v>
      </c>
      <c r="AQ33" s="267">
        <v>3.125E-2</v>
      </c>
      <c r="AR33" s="271">
        <v>4</v>
      </c>
      <c r="AS33" s="292">
        <f t="shared" si="7"/>
        <v>0.12222222222222225</v>
      </c>
      <c r="AT33" s="291">
        <f t="shared" si="8"/>
        <v>117.33333333333337</v>
      </c>
      <c r="AU33" s="272">
        <f t="shared" si="9"/>
        <v>29.333333333333343</v>
      </c>
      <c r="AW33" s="273">
        <f t="shared" si="10"/>
        <v>21.686256300000004</v>
      </c>
      <c r="AX33" s="274">
        <f t="shared" si="11"/>
        <v>117.33333333333337</v>
      </c>
      <c r="AY33" s="275">
        <v>3</v>
      </c>
      <c r="AZ33" s="276">
        <f t="shared" si="12"/>
        <v>39.111111111111121</v>
      </c>
      <c r="BA33" s="293">
        <f t="shared" si="13"/>
        <v>60.797367411111125</v>
      </c>
      <c r="BB33" s="275">
        <v>3</v>
      </c>
      <c r="BU33" s="293">
        <v>80</v>
      </c>
      <c r="BV33" s="293">
        <f t="shared" si="14"/>
        <v>140.79736741111111</v>
      </c>
    </row>
    <row r="34" spans="1:74" ht="25.5" customHeight="1" x14ac:dyDescent="0.3">
      <c r="A34" s="224" t="s">
        <v>39</v>
      </c>
      <c r="B34" s="225" t="s">
        <v>1409</v>
      </c>
      <c r="C34" s="228">
        <v>0.75</v>
      </c>
      <c r="D34" s="263">
        <f>C34*C5</f>
        <v>14.692499999999999</v>
      </c>
      <c r="E34" s="228">
        <v>0.375</v>
      </c>
      <c r="F34" s="263">
        <f>E34*F5</f>
        <v>7.3462499999999995</v>
      </c>
      <c r="G34" s="227">
        <f t="shared" si="0"/>
        <v>22.03875</v>
      </c>
      <c r="H34" s="228">
        <v>0.5</v>
      </c>
      <c r="I34" s="227">
        <f>H34*PARÂMETROS!$E$22</f>
        <v>21.184999999999999</v>
      </c>
      <c r="J34" s="228">
        <v>2.5000000000000001E-2</v>
      </c>
      <c r="K34" s="227">
        <f>J34*PARÂMETROS!$E$22</f>
        <v>1.05925</v>
      </c>
      <c r="L34" s="228">
        <v>2E-3</v>
      </c>
      <c r="M34" s="230">
        <f>L34*PARÂMETROS!$E$8</f>
        <v>6.1780000000000002E-2</v>
      </c>
      <c r="N34" s="228">
        <f t="shared" si="1"/>
        <v>5.0000000000000001E-3</v>
      </c>
      <c r="O34" s="230">
        <f>N34*PARÂMETROS!$E$8</f>
        <v>0.15445</v>
      </c>
      <c r="P34" s="228">
        <f t="shared" si="2"/>
        <v>2.5000000000000005E-3</v>
      </c>
      <c r="Q34" s="230">
        <f>P34*PARÂMETROS!$E$8</f>
        <v>7.7225000000000016E-2</v>
      </c>
      <c r="R34" s="228">
        <f t="shared" si="3"/>
        <v>5.0000000000000001E-4</v>
      </c>
      <c r="S34" s="230">
        <f>R34*PARÂMETROS!$E$8</f>
        <v>1.5445E-2</v>
      </c>
      <c r="T34" s="231">
        <v>0.82</v>
      </c>
      <c r="U34" s="230">
        <f>T34*PARÂMETROS!$E$27</f>
        <v>2.46</v>
      </c>
      <c r="V34" s="299">
        <f>0.78/2</f>
        <v>0.39</v>
      </c>
      <c r="W34" s="230">
        <f>V34*PARÂMETROS!$E$30</f>
        <v>2.2776000000000001</v>
      </c>
      <c r="X34" s="299">
        <v>0.156</v>
      </c>
      <c r="Y34" s="230">
        <f>X34*PARÂMETROS!$E$31</f>
        <v>2.3633999999999999</v>
      </c>
      <c r="Z34" s="228">
        <f t="shared" si="4"/>
        <v>5.0000000000000001E-3</v>
      </c>
      <c r="AA34" s="230">
        <f>Z34*PARÂMETROS!$E$8</f>
        <v>0.15445</v>
      </c>
      <c r="AB34" s="229">
        <f t="shared" si="5"/>
        <v>2.5000000000000001E-4</v>
      </c>
      <c r="AC34" s="230">
        <f>AB34*PARÂMETROS!$E$8</f>
        <v>7.7225000000000002E-3</v>
      </c>
      <c r="AF34" s="232" t="s">
        <v>1413</v>
      </c>
      <c r="AG34" s="264">
        <f t="shared" si="6"/>
        <v>51.855072499999999</v>
      </c>
      <c r="AH34" s="23"/>
      <c r="AI34" s="224" t="s">
        <v>39</v>
      </c>
      <c r="AJ34" s="291">
        <f>PARÂMETROS!$H$3</f>
        <v>40</v>
      </c>
      <c r="AK34" s="267">
        <v>2.1527777777777798E-2</v>
      </c>
      <c r="AL34" s="267">
        <v>2.7777777777777801E-2</v>
      </c>
      <c r="AM34" s="267">
        <v>1.38888888888889E-2</v>
      </c>
      <c r="AN34" s="267"/>
      <c r="AO34" s="267">
        <v>2.0833333333333301E-2</v>
      </c>
      <c r="AP34" s="267">
        <v>6.9444444444444397E-3</v>
      </c>
      <c r="AQ34" s="267">
        <v>3.125E-2</v>
      </c>
      <c r="AR34" s="271">
        <v>4</v>
      </c>
      <c r="AS34" s="292">
        <f t="shared" si="7"/>
        <v>0.12222222222222225</v>
      </c>
      <c r="AT34" s="291">
        <f t="shared" si="8"/>
        <v>117.33333333333337</v>
      </c>
      <c r="AU34" s="272">
        <f t="shared" si="9"/>
        <v>29.333333333333343</v>
      </c>
      <c r="AW34" s="273">
        <f t="shared" si="10"/>
        <v>51.855072499999999</v>
      </c>
      <c r="AX34" s="274">
        <f t="shared" si="11"/>
        <v>117.33333333333337</v>
      </c>
      <c r="AY34" s="275">
        <v>3</v>
      </c>
      <c r="AZ34" s="276">
        <f t="shared" si="12"/>
        <v>39.111111111111121</v>
      </c>
      <c r="BA34" s="293">
        <f t="shared" si="13"/>
        <v>90.96618361111112</v>
      </c>
      <c r="BB34" s="275">
        <v>3</v>
      </c>
      <c r="BU34" s="293">
        <v>80</v>
      </c>
      <c r="BV34" s="293">
        <f t="shared" si="14"/>
        <v>170.96618361111112</v>
      </c>
    </row>
    <row r="35" spans="1:74" ht="25.5" customHeight="1" x14ac:dyDescent="0.3">
      <c r="A35" s="224" t="s">
        <v>300</v>
      </c>
      <c r="B35" s="225" t="s">
        <v>1409</v>
      </c>
      <c r="C35" s="228">
        <v>1.1100000000000001</v>
      </c>
      <c r="D35" s="263">
        <f>C35*C5</f>
        <v>21.744900000000001</v>
      </c>
      <c r="E35" s="228">
        <v>0.55000000000000004</v>
      </c>
      <c r="F35" s="263">
        <f>E35*F5</f>
        <v>10.774500000000002</v>
      </c>
      <c r="G35" s="227">
        <f t="shared" si="0"/>
        <v>32.519400000000005</v>
      </c>
      <c r="H35" s="228">
        <v>0.65</v>
      </c>
      <c r="I35" s="227">
        <f>H35*PARÂMETROS!$E$22</f>
        <v>27.540499999999998</v>
      </c>
      <c r="J35" s="228">
        <v>3.2000000000000001E-2</v>
      </c>
      <c r="K35" s="227">
        <f>J35*PARÂMETROS!$E$22</f>
        <v>1.3558399999999999</v>
      </c>
      <c r="L35" s="228">
        <v>2E-3</v>
      </c>
      <c r="M35" s="230">
        <f>L35*PARÂMETROS!$E$8</f>
        <v>6.1780000000000002E-2</v>
      </c>
      <c r="N35" s="228">
        <f t="shared" si="1"/>
        <v>6.5000000000000006E-3</v>
      </c>
      <c r="O35" s="230">
        <f>N35*PARÂMETROS!$E$8</f>
        <v>0.20078500000000002</v>
      </c>
      <c r="P35" s="228">
        <f t="shared" si="2"/>
        <v>3.2000000000000002E-3</v>
      </c>
      <c r="Q35" s="230">
        <f>P35*PARÂMETROS!$E$8</f>
        <v>9.8848000000000005E-2</v>
      </c>
      <c r="R35" s="228">
        <f t="shared" si="3"/>
        <v>6.5000000000000008E-4</v>
      </c>
      <c r="S35" s="230">
        <f>R35*PARÂMETROS!$E$8</f>
        <v>2.0078500000000003E-2</v>
      </c>
      <c r="T35" s="231">
        <v>0.86</v>
      </c>
      <c r="U35" s="230">
        <f>T35*PARÂMETROS!$E$27</f>
        <v>2.58</v>
      </c>
      <c r="V35" s="299">
        <v>1.24</v>
      </c>
      <c r="W35" s="230">
        <f>V35*PARÂMETROS!$E$30</f>
        <v>7.2416</v>
      </c>
      <c r="X35" s="299">
        <v>0.248</v>
      </c>
      <c r="Y35" s="230">
        <f>X35*PARÂMETROS!$E$31</f>
        <v>3.7572000000000001</v>
      </c>
      <c r="Z35" s="228">
        <f t="shared" si="4"/>
        <v>6.5000000000000006E-3</v>
      </c>
      <c r="AA35" s="230">
        <f>Z35*PARÂMETROS!$E$8</f>
        <v>0.20078500000000002</v>
      </c>
      <c r="AB35" s="229">
        <f t="shared" si="5"/>
        <v>3.2000000000000003E-4</v>
      </c>
      <c r="AC35" s="230">
        <f>AB35*PARÂMETROS!$E$8</f>
        <v>9.8848000000000009E-3</v>
      </c>
      <c r="AD35" s="23"/>
      <c r="AE35" s="23"/>
      <c r="AF35" s="232" t="s">
        <v>1414</v>
      </c>
      <c r="AG35" s="264">
        <f t="shared" si="6"/>
        <v>75.586701299999987</v>
      </c>
      <c r="AH35" s="23"/>
      <c r="AI35" s="224" t="s">
        <v>300</v>
      </c>
      <c r="AJ35" s="291">
        <f>PARÂMETROS!$H$3</f>
        <v>40</v>
      </c>
      <c r="AK35" s="267">
        <v>2.1527777777777798E-2</v>
      </c>
      <c r="AL35" s="267">
        <v>2.7777777777777801E-2</v>
      </c>
      <c r="AM35" s="267">
        <v>1.38888888888889E-2</v>
      </c>
      <c r="AN35" s="267"/>
      <c r="AO35" s="267">
        <v>2.0833333333333301E-2</v>
      </c>
      <c r="AP35" s="267">
        <v>6.9444444444444397E-3</v>
      </c>
      <c r="AQ35" s="267">
        <v>3.125E-2</v>
      </c>
      <c r="AR35" s="271">
        <v>4</v>
      </c>
      <c r="AS35" s="292">
        <f t="shared" si="7"/>
        <v>0.12222222222222225</v>
      </c>
      <c r="AT35" s="291">
        <f t="shared" si="8"/>
        <v>117.33333333333337</v>
      </c>
      <c r="AU35" s="272">
        <f t="shared" si="9"/>
        <v>29.333333333333343</v>
      </c>
      <c r="AW35" s="273">
        <f t="shared" si="10"/>
        <v>75.586701299999987</v>
      </c>
      <c r="AX35" s="274">
        <f t="shared" si="11"/>
        <v>117.33333333333337</v>
      </c>
      <c r="AY35" s="275">
        <v>3</v>
      </c>
      <c r="AZ35" s="276">
        <f t="shared" si="12"/>
        <v>39.111111111111121</v>
      </c>
      <c r="BA35" s="293">
        <f t="shared" si="13"/>
        <v>114.6978124111111</v>
      </c>
      <c r="BB35" s="275">
        <v>3</v>
      </c>
      <c r="BU35" s="293">
        <v>80</v>
      </c>
      <c r="BV35" s="293">
        <f t="shared" si="14"/>
        <v>194.6978124111111</v>
      </c>
    </row>
    <row r="36" spans="1:74" ht="25.5" customHeight="1" x14ac:dyDescent="0.3">
      <c r="A36" s="224" t="s">
        <v>41</v>
      </c>
      <c r="B36" s="225" t="s">
        <v>1409</v>
      </c>
      <c r="C36" s="228">
        <v>1.55</v>
      </c>
      <c r="D36" s="263">
        <f>C36*C5</f>
        <v>30.3645</v>
      </c>
      <c r="E36" s="228">
        <v>0.77500000000000002</v>
      </c>
      <c r="F36" s="263">
        <f>E36*F5</f>
        <v>15.18225</v>
      </c>
      <c r="G36" s="227">
        <f t="shared" si="0"/>
        <v>45.546750000000003</v>
      </c>
      <c r="H36" s="228">
        <v>0.8</v>
      </c>
      <c r="I36" s="227">
        <f>H36*PARÂMETROS!$E$22</f>
        <v>33.896000000000001</v>
      </c>
      <c r="J36" s="228">
        <v>4.2000000000000003E-2</v>
      </c>
      <c r="K36" s="227">
        <f>J36*PARÂMETROS!$E$22</f>
        <v>1.7795399999999999</v>
      </c>
      <c r="L36" s="228">
        <v>2E-3</v>
      </c>
      <c r="M36" s="230">
        <f>L36*PARÂMETROS!$E$8</f>
        <v>6.1780000000000002E-2</v>
      </c>
      <c r="N36" s="228">
        <f t="shared" si="1"/>
        <v>8.0000000000000002E-3</v>
      </c>
      <c r="O36" s="230">
        <f>N36*PARÂMETROS!$E$8</f>
        <v>0.24712000000000001</v>
      </c>
      <c r="P36" s="228">
        <f t="shared" si="2"/>
        <v>4.2000000000000006E-3</v>
      </c>
      <c r="Q36" s="230">
        <f>P36*PARÂMETROS!$E$8</f>
        <v>0.12973800000000002</v>
      </c>
      <c r="R36" s="228">
        <f t="shared" si="3"/>
        <v>8.0000000000000004E-4</v>
      </c>
      <c r="S36" s="230">
        <f>R36*PARÂMETROS!$E$8</f>
        <v>2.4712000000000001E-2</v>
      </c>
      <c r="T36" s="231">
        <v>0.92</v>
      </c>
      <c r="U36" s="230">
        <f>T36*PARÂMETROS!$E$27</f>
        <v>2.7600000000000002</v>
      </c>
      <c r="V36" s="299">
        <v>1.35</v>
      </c>
      <c r="W36" s="230">
        <f>V36*PARÂMETROS!$E$30</f>
        <v>7.8840000000000003</v>
      </c>
      <c r="X36" s="299">
        <v>0.27</v>
      </c>
      <c r="Y36" s="230">
        <f>X36*PARÂMETROS!$E$31</f>
        <v>4.0905000000000005</v>
      </c>
      <c r="Z36" s="228">
        <f t="shared" si="4"/>
        <v>8.0000000000000002E-3</v>
      </c>
      <c r="AA36" s="230">
        <f>Z36*PARÂMETROS!$E$8</f>
        <v>0.24712000000000001</v>
      </c>
      <c r="AB36" s="229">
        <f t="shared" si="5"/>
        <v>4.2000000000000002E-4</v>
      </c>
      <c r="AC36" s="230">
        <f>AB36*PARÂMETROS!$E$8</f>
        <v>1.2973800000000001E-2</v>
      </c>
      <c r="AF36" s="232" t="s">
        <v>1415</v>
      </c>
      <c r="AG36" s="264">
        <f t="shared" si="6"/>
        <v>96.680233799999996</v>
      </c>
      <c r="AH36" s="23"/>
      <c r="AI36" s="224" t="s">
        <v>41</v>
      </c>
      <c r="AJ36" s="291">
        <f>PARÂMETROS!$H$3</f>
        <v>40</v>
      </c>
      <c r="AK36" s="267">
        <v>2.1527777777777798E-2</v>
      </c>
      <c r="AL36" s="267">
        <v>1.38888888888889E-2</v>
      </c>
      <c r="AM36" s="267">
        <v>1.38888888888889E-2</v>
      </c>
      <c r="AN36" s="267"/>
      <c r="AO36" s="267">
        <v>2.0833333333333301E-2</v>
      </c>
      <c r="AP36" s="267">
        <v>6.9444444444444397E-3</v>
      </c>
      <c r="AQ36" s="267">
        <v>3.125E-2</v>
      </c>
      <c r="AR36" s="271">
        <v>2</v>
      </c>
      <c r="AS36" s="292">
        <f t="shared" si="7"/>
        <v>0.10833333333333334</v>
      </c>
      <c r="AT36" s="291">
        <f t="shared" si="8"/>
        <v>104.00000000000001</v>
      </c>
      <c r="AU36" s="272">
        <f t="shared" si="9"/>
        <v>52.000000000000007</v>
      </c>
      <c r="AW36" s="273">
        <f t="shared" si="10"/>
        <v>96.680233799999996</v>
      </c>
      <c r="AX36" s="274">
        <f t="shared" si="11"/>
        <v>104.00000000000001</v>
      </c>
      <c r="AY36" s="275">
        <v>2</v>
      </c>
      <c r="AZ36" s="276">
        <f t="shared" si="12"/>
        <v>52.000000000000007</v>
      </c>
      <c r="BA36" s="293">
        <f t="shared" si="13"/>
        <v>148.6802338</v>
      </c>
      <c r="BB36" s="275">
        <v>2</v>
      </c>
      <c r="BU36" s="293">
        <v>80</v>
      </c>
      <c r="BV36" s="293">
        <f t="shared" si="14"/>
        <v>228.6802338</v>
      </c>
    </row>
    <row r="37" spans="1:74" ht="25.5" customHeight="1" x14ac:dyDescent="0.3">
      <c r="A37" s="224" t="s">
        <v>43</v>
      </c>
      <c r="B37" s="225" t="s">
        <v>1409</v>
      </c>
      <c r="C37" s="228">
        <v>3.22</v>
      </c>
      <c r="D37" s="263">
        <f>C37*C5</f>
        <v>63.079800000000006</v>
      </c>
      <c r="E37" s="228">
        <v>1.61</v>
      </c>
      <c r="F37" s="263">
        <f>E37*F5</f>
        <v>31.539900000000003</v>
      </c>
      <c r="G37" s="227">
        <f t="shared" si="0"/>
        <v>94.619700000000009</v>
      </c>
      <c r="H37" s="228">
        <v>1</v>
      </c>
      <c r="I37" s="227">
        <f>H37*PARÂMETROS!$E$22</f>
        <v>42.37</v>
      </c>
      <c r="J37" s="228">
        <v>6.5000000000000002E-2</v>
      </c>
      <c r="K37" s="227">
        <f>J37*PARÂMETROS!$E$22</f>
        <v>2.7540499999999999</v>
      </c>
      <c r="L37" s="228">
        <v>2E-3</v>
      </c>
      <c r="M37" s="230">
        <f>L37*PARÂMETROS!$E$8</f>
        <v>6.1780000000000002E-2</v>
      </c>
      <c r="N37" s="228">
        <f t="shared" si="1"/>
        <v>0.01</v>
      </c>
      <c r="O37" s="230">
        <f>N37*PARÂMETROS!$E$8</f>
        <v>0.30890000000000001</v>
      </c>
      <c r="P37" s="228">
        <f t="shared" si="2"/>
        <v>6.5000000000000006E-3</v>
      </c>
      <c r="Q37" s="230">
        <f>P37*PARÂMETROS!$E$8</f>
        <v>0.20078500000000002</v>
      </c>
      <c r="R37" s="228">
        <f t="shared" si="3"/>
        <v>1E-3</v>
      </c>
      <c r="S37" s="230">
        <f>R37*PARÂMETROS!$E$8</f>
        <v>3.0890000000000001E-2</v>
      </c>
      <c r="T37" s="231">
        <v>1.02</v>
      </c>
      <c r="U37" s="230">
        <f>T37*PARÂMETROS!$E$27</f>
        <v>3.06</v>
      </c>
      <c r="V37" s="299">
        <v>1.7250000000000001</v>
      </c>
      <c r="W37" s="230">
        <f>V37*PARÂMETROS!$E$30</f>
        <v>10.074</v>
      </c>
      <c r="X37" s="299">
        <v>0.34499999999999997</v>
      </c>
      <c r="Y37" s="230">
        <f>X37*PARÂMETROS!$E$31</f>
        <v>5.22675</v>
      </c>
      <c r="Z37" s="228">
        <f t="shared" si="4"/>
        <v>0.01</v>
      </c>
      <c r="AA37" s="230">
        <f>Z37*PARÂMETROS!$E$8</f>
        <v>0.30890000000000001</v>
      </c>
      <c r="AB37" s="228">
        <f t="shared" si="5"/>
        <v>6.5000000000000008E-4</v>
      </c>
      <c r="AC37" s="230">
        <f>AB37*PARÂMETROS!$E$8</f>
        <v>2.0078500000000003E-2</v>
      </c>
      <c r="AD37" s="23"/>
      <c r="AE37" s="23"/>
      <c r="AF37" s="232" t="s">
        <v>1416</v>
      </c>
      <c r="AG37" s="264">
        <f t="shared" si="6"/>
        <v>159.03583350000002</v>
      </c>
      <c r="AH37" s="23"/>
      <c r="AI37" s="224" t="s">
        <v>43</v>
      </c>
      <c r="AJ37" s="291">
        <f>PARÂMETROS!$H$3</f>
        <v>40</v>
      </c>
      <c r="AK37" s="267">
        <v>2.1527777777777798E-2</v>
      </c>
      <c r="AL37" s="267">
        <v>1.7361111111111101E-2</v>
      </c>
      <c r="AM37" s="267">
        <v>1.7361111111111101E-2</v>
      </c>
      <c r="AN37" s="267">
        <v>6.9444444444444397E-3</v>
      </c>
      <c r="AO37" s="267">
        <v>2.0833333333333301E-2</v>
      </c>
      <c r="AP37" s="267">
        <v>6.9444444444444397E-3</v>
      </c>
      <c r="AQ37" s="267">
        <v>3.125E-2</v>
      </c>
      <c r="AR37" s="271">
        <v>2</v>
      </c>
      <c r="AS37" s="292">
        <f t="shared" si="7"/>
        <v>0.12222222222222219</v>
      </c>
      <c r="AT37" s="291">
        <f t="shared" si="8"/>
        <v>117.3333333333333</v>
      </c>
      <c r="AU37" s="272">
        <f t="shared" si="9"/>
        <v>58.66666666666665</v>
      </c>
      <c r="AW37" s="273">
        <f t="shared" si="10"/>
        <v>159.03583350000002</v>
      </c>
      <c r="AX37" s="274">
        <f t="shared" si="11"/>
        <v>117.3333333333333</v>
      </c>
      <c r="AY37" s="275">
        <v>2</v>
      </c>
      <c r="AZ37" s="276">
        <f t="shared" si="12"/>
        <v>58.66666666666665</v>
      </c>
      <c r="BA37" s="293">
        <f t="shared" si="13"/>
        <v>217.70250016666668</v>
      </c>
      <c r="BB37" s="275">
        <v>2</v>
      </c>
      <c r="BU37" s="293">
        <v>80</v>
      </c>
      <c r="BV37" s="293">
        <f t="shared" si="14"/>
        <v>297.70250016666671</v>
      </c>
    </row>
    <row r="38" spans="1:74" ht="25.5" customHeight="1" x14ac:dyDescent="0.3">
      <c r="A38" s="224" t="s">
        <v>45</v>
      </c>
      <c r="B38" s="225" t="s">
        <v>1409</v>
      </c>
      <c r="C38" s="228">
        <v>5.3140000000000001</v>
      </c>
      <c r="D38" s="263">
        <f>C38*C5</f>
        <v>104.10126</v>
      </c>
      <c r="E38" s="228">
        <v>2.657</v>
      </c>
      <c r="F38" s="263">
        <f>E38*F5</f>
        <v>52.050629999999998</v>
      </c>
      <c r="G38" s="227">
        <f t="shared" si="0"/>
        <v>156.15188999999998</v>
      </c>
      <c r="H38" s="228">
        <v>1.4</v>
      </c>
      <c r="I38" s="227">
        <f>H38*PARÂMETROS!$E$22</f>
        <v>59.317999999999991</v>
      </c>
      <c r="J38" s="228">
        <v>9.1999999999999998E-2</v>
      </c>
      <c r="K38" s="227">
        <f>J38*PARÂMETROS!$E$22</f>
        <v>3.8980399999999995</v>
      </c>
      <c r="L38" s="228">
        <v>2E-3</v>
      </c>
      <c r="M38" s="230">
        <f>L38*PARÂMETROS!$E$8</f>
        <v>6.1780000000000002E-2</v>
      </c>
      <c r="N38" s="228">
        <f t="shared" si="1"/>
        <v>1.3999999999999999E-2</v>
      </c>
      <c r="O38" s="230">
        <f>N38*PARÂMETROS!$E$8</f>
        <v>0.43245999999999996</v>
      </c>
      <c r="P38" s="228">
        <f t="shared" si="2"/>
        <v>9.1999999999999998E-3</v>
      </c>
      <c r="Q38" s="230">
        <f>P38*PARÂMETROS!$E$8</f>
        <v>0.284188</v>
      </c>
      <c r="R38" s="228">
        <f t="shared" si="3"/>
        <v>1.4E-3</v>
      </c>
      <c r="S38" s="230">
        <f>R38*PARÂMETROS!$E$8</f>
        <v>4.3246E-2</v>
      </c>
      <c r="T38" s="231">
        <v>1.1200000000000001</v>
      </c>
      <c r="U38" s="230">
        <f>T38*PARÂMETROS!$E$27</f>
        <v>3.3600000000000003</v>
      </c>
      <c r="V38" s="299">
        <v>2.3250000000000002</v>
      </c>
      <c r="W38" s="230">
        <f>V38*PARÂMETROS!$E$30</f>
        <v>13.578000000000001</v>
      </c>
      <c r="X38" s="299">
        <v>0.46500000000000002</v>
      </c>
      <c r="Y38" s="230">
        <f>X38*PARÂMETROS!$E$31</f>
        <v>7.0447500000000005</v>
      </c>
      <c r="Z38" s="228">
        <f t="shared" si="4"/>
        <v>1.3999999999999999E-2</v>
      </c>
      <c r="AA38" s="230">
        <f>Z38*PARÂMETROS!$E$8</f>
        <v>0.43245999999999996</v>
      </c>
      <c r="AB38" s="228">
        <f t="shared" si="5"/>
        <v>9.2000000000000003E-4</v>
      </c>
      <c r="AC38" s="230">
        <f>AB38*PARÂMETROS!$E$8</f>
        <v>2.8418800000000001E-2</v>
      </c>
      <c r="AF38" s="232" t="s">
        <v>1417</v>
      </c>
      <c r="AG38" s="264">
        <f t="shared" si="6"/>
        <v>244.63323279999997</v>
      </c>
      <c r="AH38" s="23"/>
      <c r="AI38" s="224" t="s">
        <v>45</v>
      </c>
      <c r="AJ38" s="291">
        <f>PARÂMETROS!$H$3</f>
        <v>40</v>
      </c>
      <c r="AK38" s="267">
        <v>2.1527777777777798E-2</v>
      </c>
      <c r="AL38" s="267">
        <v>1.7361111111111101E-2</v>
      </c>
      <c r="AM38" s="267">
        <v>1.7361111111111101E-2</v>
      </c>
      <c r="AN38" s="267">
        <v>6.9444444444444397E-3</v>
      </c>
      <c r="AO38" s="267">
        <v>2.0833333333333301E-2</v>
      </c>
      <c r="AP38" s="267">
        <v>6.9444444444444397E-3</v>
      </c>
      <c r="AQ38" s="267">
        <v>3.125E-2</v>
      </c>
      <c r="AR38" s="271">
        <v>2</v>
      </c>
      <c r="AS38" s="292">
        <f t="shared" si="7"/>
        <v>0.12222222222222219</v>
      </c>
      <c r="AT38" s="291">
        <f t="shared" si="8"/>
        <v>117.3333333333333</v>
      </c>
      <c r="AU38" s="272">
        <f t="shared" si="9"/>
        <v>58.66666666666665</v>
      </c>
      <c r="AW38" s="273">
        <f t="shared" si="10"/>
        <v>244.63323279999997</v>
      </c>
      <c r="AX38" s="274">
        <f t="shared" si="11"/>
        <v>117.3333333333333</v>
      </c>
      <c r="AY38" s="275">
        <v>2</v>
      </c>
      <c r="AZ38" s="276">
        <f t="shared" si="12"/>
        <v>58.66666666666665</v>
      </c>
      <c r="BA38" s="293">
        <f t="shared" si="13"/>
        <v>303.2998994666666</v>
      </c>
      <c r="BB38" s="275">
        <v>2</v>
      </c>
      <c r="BU38" s="293">
        <v>80</v>
      </c>
      <c r="BV38" s="293">
        <f t="shared" si="14"/>
        <v>383.2998994666666</v>
      </c>
    </row>
    <row r="39" spans="1:74" ht="25.5" customHeight="1" x14ac:dyDescent="0.3">
      <c r="A39" s="224" t="s">
        <v>47</v>
      </c>
      <c r="B39" s="225" t="s">
        <v>1409</v>
      </c>
      <c r="C39" s="228">
        <v>7.8</v>
      </c>
      <c r="D39" s="263">
        <f>C39*C5</f>
        <v>152.80199999999999</v>
      </c>
      <c r="E39" s="228">
        <v>3.9</v>
      </c>
      <c r="F39" s="263">
        <f>E39*F5</f>
        <v>76.400999999999996</v>
      </c>
      <c r="G39" s="227">
        <f t="shared" si="0"/>
        <v>229.20299999999997</v>
      </c>
      <c r="H39" s="228">
        <v>1.8</v>
      </c>
      <c r="I39" s="227">
        <f>H39*PARÂMETROS!$E$22</f>
        <v>76.265999999999991</v>
      </c>
      <c r="J39" s="228">
        <v>0.124</v>
      </c>
      <c r="K39" s="227">
        <f>J39*PARÂMETROS!$E$22</f>
        <v>5.2538799999999997</v>
      </c>
      <c r="L39" s="228">
        <v>2E-3</v>
      </c>
      <c r="M39" s="230">
        <f>L39*PARÂMETROS!$E$8</f>
        <v>6.1780000000000002E-2</v>
      </c>
      <c r="N39" s="228">
        <f t="shared" si="1"/>
        <v>1.8000000000000002E-2</v>
      </c>
      <c r="O39" s="230">
        <f>N39*PARÂMETROS!$E$8</f>
        <v>0.55602000000000007</v>
      </c>
      <c r="P39" s="228">
        <f t="shared" si="2"/>
        <v>1.2400000000000001E-2</v>
      </c>
      <c r="Q39" s="230">
        <f>P39*PARÂMETROS!$E$8</f>
        <v>0.38303600000000004</v>
      </c>
      <c r="R39" s="228">
        <f t="shared" si="3"/>
        <v>1.8000000000000004E-3</v>
      </c>
      <c r="S39" s="230">
        <f>R39*PARÂMETROS!$E$8</f>
        <v>5.5602000000000013E-2</v>
      </c>
      <c r="T39" s="231">
        <v>1.22</v>
      </c>
      <c r="U39" s="230">
        <f>T39*PARÂMETROS!$E$27</f>
        <v>3.66</v>
      </c>
      <c r="V39" s="299">
        <v>3.03</v>
      </c>
      <c r="W39" s="230">
        <f>V39*PARÂMETROS!$E$30</f>
        <v>17.6952</v>
      </c>
      <c r="X39" s="299">
        <v>0.60599999999999998</v>
      </c>
      <c r="Y39" s="230">
        <f>X39*PARÂMETROS!$E$31</f>
        <v>9.1808999999999994</v>
      </c>
      <c r="Z39" s="228">
        <f t="shared" si="4"/>
        <v>1.8000000000000002E-2</v>
      </c>
      <c r="AA39" s="230">
        <f>Z39*PARÂMETROS!$E$8</f>
        <v>0.55602000000000007</v>
      </c>
      <c r="AB39" s="228">
        <f t="shared" si="5"/>
        <v>1.24E-3</v>
      </c>
      <c r="AC39" s="230">
        <f>AB39*PARÂMETROS!$E$8</f>
        <v>3.83036E-2</v>
      </c>
      <c r="AD39" s="23"/>
      <c r="AE39" s="23"/>
      <c r="AF39" s="232" t="s">
        <v>1418</v>
      </c>
      <c r="AG39" s="264">
        <f t="shared" si="6"/>
        <v>342.90974159999996</v>
      </c>
      <c r="AH39" s="23"/>
      <c r="AI39" s="224" t="s">
        <v>47</v>
      </c>
      <c r="AJ39" s="291">
        <f>PARÂMETROS!$H$3</f>
        <v>40</v>
      </c>
      <c r="AK39" s="267">
        <v>2.1527777777777798E-2</v>
      </c>
      <c r="AL39" s="267">
        <v>1.7361111111111101E-2</v>
      </c>
      <c r="AM39" s="267">
        <v>1.7361111111111101E-2</v>
      </c>
      <c r="AN39" s="267">
        <v>6.9444444444444397E-3</v>
      </c>
      <c r="AO39" s="267">
        <v>2.0833333333333301E-2</v>
      </c>
      <c r="AP39" s="267">
        <v>6.9444444444444397E-3</v>
      </c>
      <c r="AQ39" s="267">
        <v>3.125E-2</v>
      </c>
      <c r="AR39" s="271">
        <v>1</v>
      </c>
      <c r="AS39" s="292">
        <f t="shared" si="7"/>
        <v>0.12222222222222219</v>
      </c>
      <c r="AT39" s="291">
        <f t="shared" si="8"/>
        <v>117.3333333333333</v>
      </c>
      <c r="AU39" s="272">
        <f t="shared" si="9"/>
        <v>117.3333333333333</v>
      </c>
      <c r="AW39" s="273">
        <f t="shared" si="10"/>
        <v>342.90974159999996</v>
      </c>
      <c r="AX39" s="274">
        <f t="shared" si="11"/>
        <v>117.3333333333333</v>
      </c>
      <c r="AY39" s="275">
        <v>1</v>
      </c>
      <c r="AZ39" s="276">
        <f t="shared" si="12"/>
        <v>117.3333333333333</v>
      </c>
      <c r="BA39" s="293">
        <f t="shared" si="13"/>
        <v>460.24307493333328</v>
      </c>
      <c r="BB39" s="275">
        <v>1</v>
      </c>
      <c r="BU39" s="293">
        <v>80</v>
      </c>
      <c r="BV39" s="293">
        <f t="shared" si="14"/>
        <v>540.24307493333322</v>
      </c>
    </row>
    <row r="40" spans="1:74" ht="25.5" customHeight="1" x14ac:dyDescent="0.3">
      <c r="A40" s="224" t="s">
        <v>222</v>
      </c>
      <c r="B40" s="225" t="s">
        <v>1409</v>
      </c>
      <c r="C40" s="228">
        <v>10.4</v>
      </c>
      <c r="D40" s="263">
        <f>C40*C5</f>
        <v>203.73600000000002</v>
      </c>
      <c r="E40" s="228">
        <v>5.2</v>
      </c>
      <c r="F40" s="263">
        <f>E40*F5</f>
        <v>101.86800000000001</v>
      </c>
      <c r="G40" s="227">
        <f t="shared" si="0"/>
        <v>305.60400000000004</v>
      </c>
      <c r="H40" s="228">
        <v>2.5</v>
      </c>
      <c r="I40" s="227">
        <f>H40*PARÂMETROS!$E$22</f>
        <v>105.925</v>
      </c>
      <c r="J40" s="228">
        <v>0.161</v>
      </c>
      <c r="K40" s="227">
        <f>J40*PARÂMETROS!$E$22</f>
        <v>6.8215699999999995</v>
      </c>
      <c r="L40" s="228">
        <v>2E-3</v>
      </c>
      <c r="M40" s="230">
        <f>L40*PARÂMETROS!$E$8</f>
        <v>6.1780000000000002E-2</v>
      </c>
      <c r="N40" s="228">
        <f t="shared" si="1"/>
        <v>2.5000000000000001E-2</v>
      </c>
      <c r="O40" s="230">
        <f>N40*PARÂMETROS!$E$8</f>
        <v>0.7722500000000001</v>
      </c>
      <c r="P40" s="228">
        <f t="shared" si="2"/>
        <v>1.61E-2</v>
      </c>
      <c r="Q40" s="230">
        <f>P40*PARÂMETROS!$E$8</f>
        <v>0.49732900000000002</v>
      </c>
      <c r="R40" s="228">
        <f t="shared" si="3"/>
        <v>2.5000000000000005E-3</v>
      </c>
      <c r="S40" s="230">
        <f>R40*PARÂMETROS!$E$8</f>
        <v>7.7225000000000016E-2</v>
      </c>
      <c r="T40" s="231">
        <v>1.31</v>
      </c>
      <c r="U40" s="230">
        <f>T40*PARÂMETROS!$E$27</f>
        <v>3.93</v>
      </c>
      <c r="V40" s="299">
        <v>3.21</v>
      </c>
      <c r="W40" s="230">
        <f>V40*PARÂMETROS!$E$30</f>
        <v>18.746399999999998</v>
      </c>
      <c r="X40" s="299">
        <v>0.64200000000000002</v>
      </c>
      <c r="Y40" s="230">
        <f>X40*PARÂMETROS!$E$31</f>
        <v>9.7263000000000002</v>
      </c>
      <c r="Z40" s="228">
        <f t="shared" si="4"/>
        <v>2.5000000000000001E-2</v>
      </c>
      <c r="AA40" s="230">
        <f>Z40*PARÂMETROS!$E$8</f>
        <v>0.7722500000000001</v>
      </c>
      <c r="AB40" s="228">
        <f t="shared" si="5"/>
        <v>1.6100000000000001E-3</v>
      </c>
      <c r="AC40" s="230">
        <f>AB40*PARÂMETROS!$E$8</f>
        <v>4.9732900000000003E-2</v>
      </c>
      <c r="AF40" s="232" t="s">
        <v>1419</v>
      </c>
      <c r="AG40" s="264">
        <f t="shared" si="6"/>
        <v>452.98383689999997</v>
      </c>
      <c r="AH40" s="23"/>
      <c r="AI40" s="224" t="s">
        <v>222</v>
      </c>
      <c r="AJ40" s="291">
        <f>PARÂMETROS!$H$3</f>
        <v>40</v>
      </c>
      <c r="AK40" s="267">
        <v>2.1527777777777798E-2</v>
      </c>
      <c r="AL40" s="267">
        <v>2.0833333333333301E-2</v>
      </c>
      <c r="AM40" s="267">
        <v>2.0833333333333301E-2</v>
      </c>
      <c r="AN40" s="267">
        <v>6.9444444444444397E-3</v>
      </c>
      <c r="AO40" s="267">
        <v>2.0833333333333301E-2</v>
      </c>
      <c r="AP40" s="267">
        <v>6.9444444444444397E-3</v>
      </c>
      <c r="AQ40" s="267">
        <v>3.125E-2</v>
      </c>
      <c r="AR40" s="271">
        <v>1</v>
      </c>
      <c r="AS40" s="292">
        <f t="shared" si="7"/>
        <v>0.1291666666666666</v>
      </c>
      <c r="AT40" s="291">
        <f t="shared" si="8"/>
        <v>123.99999999999994</v>
      </c>
      <c r="AU40" s="272">
        <f t="shared" si="9"/>
        <v>123.99999999999994</v>
      </c>
      <c r="AW40" s="273">
        <f t="shared" si="10"/>
        <v>452.98383689999997</v>
      </c>
      <c r="AX40" s="274">
        <f t="shared" si="11"/>
        <v>123.99999999999994</v>
      </c>
      <c r="AY40" s="275">
        <v>1</v>
      </c>
      <c r="AZ40" s="276">
        <f t="shared" si="12"/>
        <v>123.99999999999994</v>
      </c>
      <c r="BA40" s="293">
        <f t="shared" si="13"/>
        <v>576.98383689999991</v>
      </c>
      <c r="BB40" s="275">
        <v>1</v>
      </c>
      <c r="BU40" s="293">
        <v>80</v>
      </c>
      <c r="BV40" s="293">
        <f t="shared" si="14"/>
        <v>656.98383689999991</v>
      </c>
    </row>
    <row r="41" spans="1:74" ht="25.5" customHeight="1" x14ac:dyDescent="0.3">
      <c r="A41" s="224" t="s">
        <v>226</v>
      </c>
      <c r="B41" s="225" t="s">
        <v>1409</v>
      </c>
      <c r="C41" s="228">
        <v>18</v>
      </c>
      <c r="D41" s="263">
        <f>C41*C5</f>
        <v>352.62</v>
      </c>
      <c r="E41" s="228">
        <v>9</v>
      </c>
      <c r="F41" s="263">
        <f>E41*F5</f>
        <v>176.31</v>
      </c>
      <c r="G41" s="227">
        <f t="shared" si="0"/>
        <v>528.93000000000006</v>
      </c>
      <c r="H41" s="228">
        <v>3</v>
      </c>
      <c r="I41" s="227">
        <f>H41*PARÂMETROS!$E$22</f>
        <v>127.10999999999999</v>
      </c>
      <c r="J41" s="228">
        <v>0.19400000000000001</v>
      </c>
      <c r="K41" s="227">
        <f>J41*PARÂMETROS!$E$22</f>
        <v>8.2197800000000001</v>
      </c>
      <c r="L41" s="228">
        <v>2E-3</v>
      </c>
      <c r="M41" s="230">
        <f>L41*PARÂMETROS!$E$8</f>
        <v>6.1780000000000002E-2</v>
      </c>
      <c r="N41" s="228">
        <f t="shared" si="1"/>
        <v>0.03</v>
      </c>
      <c r="O41" s="230">
        <f>N41*PARÂMETROS!$E$8</f>
        <v>0.92669999999999997</v>
      </c>
      <c r="P41" s="228">
        <f t="shared" si="2"/>
        <v>1.9400000000000001E-2</v>
      </c>
      <c r="Q41" s="230">
        <f>P41*PARÂMETROS!$E$8</f>
        <v>0.59926600000000008</v>
      </c>
      <c r="R41" s="228">
        <f t="shared" si="3"/>
        <v>3.0000000000000001E-3</v>
      </c>
      <c r="S41" s="230">
        <f>R41*PARÂMETROS!$E$8</f>
        <v>9.2670000000000002E-2</v>
      </c>
      <c r="T41" s="231">
        <v>1.4</v>
      </c>
      <c r="U41" s="230">
        <f>T41*PARÂMETROS!$E$27</f>
        <v>4.1999999999999993</v>
      </c>
      <c r="V41" s="299">
        <v>4.3049999999999997</v>
      </c>
      <c r="W41" s="230">
        <f>V41*PARÂMETROS!$E$30</f>
        <v>25.141199999999998</v>
      </c>
      <c r="X41" s="299">
        <v>0.86099999999999999</v>
      </c>
      <c r="Y41" s="230">
        <f>X41*PARÂMETROS!$E$31</f>
        <v>13.04415</v>
      </c>
      <c r="Z41" s="228">
        <f t="shared" si="4"/>
        <v>0.03</v>
      </c>
      <c r="AA41" s="230">
        <f>Z41*PARÂMETROS!$E$8</f>
        <v>0.92669999999999997</v>
      </c>
      <c r="AB41" s="228">
        <f t="shared" si="5"/>
        <v>1.9400000000000001E-3</v>
      </c>
      <c r="AC41" s="230">
        <f>AB41*PARÂMETROS!$E$8</f>
        <v>5.9926600000000003E-2</v>
      </c>
      <c r="AD41" s="23"/>
      <c r="AE41" s="23"/>
      <c r="AF41" s="232" t="s">
        <v>1420</v>
      </c>
      <c r="AG41" s="264">
        <f t="shared" si="6"/>
        <v>709.31217260000005</v>
      </c>
      <c r="AH41" s="23"/>
      <c r="AI41" s="224" t="s">
        <v>226</v>
      </c>
      <c r="AJ41" s="291">
        <f>PARÂMETROS!$H$3</f>
        <v>40</v>
      </c>
      <c r="AK41" s="267">
        <v>2.1527777777777798E-2</v>
      </c>
      <c r="AL41" s="267">
        <v>2.0833333333333301E-2</v>
      </c>
      <c r="AM41" s="267">
        <v>2.0833333333333301E-2</v>
      </c>
      <c r="AN41" s="267">
        <v>6.9444444444444397E-3</v>
      </c>
      <c r="AO41" s="267">
        <v>2.0833333333333301E-2</v>
      </c>
      <c r="AP41" s="267">
        <v>6.9444444444444397E-3</v>
      </c>
      <c r="AQ41" s="267">
        <v>3.125E-2</v>
      </c>
      <c r="AR41" s="271">
        <v>1</v>
      </c>
      <c r="AS41" s="292">
        <f t="shared" si="7"/>
        <v>0.1291666666666666</v>
      </c>
      <c r="AT41" s="291">
        <f t="shared" si="8"/>
        <v>123.99999999999994</v>
      </c>
      <c r="AU41" s="272">
        <f t="shared" si="9"/>
        <v>123.99999999999994</v>
      </c>
      <c r="AW41" s="273">
        <f t="shared" si="10"/>
        <v>709.31217260000005</v>
      </c>
      <c r="AX41" s="274">
        <f t="shared" si="11"/>
        <v>123.99999999999994</v>
      </c>
      <c r="AY41" s="275">
        <v>1</v>
      </c>
      <c r="AZ41" s="276">
        <f t="shared" si="12"/>
        <v>123.99999999999994</v>
      </c>
      <c r="BA41" s="293">
        <f t="shared" si="13"/>
        <v>833.31217259999994</v>
      </c>
      <c r="BB41" s="275">
        <v>1</v>
      </c>
      <c r="BU41" s="293">
        <v>80</v>
      </c>
      <c r="BV41" s="293">
        <f t="shared" si="14"/>
        <v>913.31217259999994</v>
      </c>
    </row>
    <row r="42" spans="1:74" ht="25.5" customHeight="1" x14ac:dyDescent="0.3">
      <c r="A42" s="224" t="s">
        <v>230</v>
      </c>
      <c r="B42" s="225" t="s">
        <v>1409</v>
      </c>
      <c r="C42" s="228">
        <v>24</v>
      </c>
      <c r="D42" s="263">
        <f>C42*C5</f>
        <v>470.15999999999997</v>
      </c>
      <c r="E42" s="228">
        <v>12</v>
      </c>
      <c r="F42" s="263">
        <f>E42*F5</f>
        <v>235.07999999999998</v>
      </c>
      <c r="G42" s="227">
        <f t="shared" si="0"/>
        <v>705.24</v>
      </c>
      <c r="H42" s="228">
        <v>3.4</v>
      </c>
      <c r="I42" s="227">
        <f>H42*PARÂMETROS!$E$22</f>
        <v>144.05799999999999</v>
      </c>
      <c r="J42" s="228">
        <v>0.25</v>
      </c>
      <c r="K42" s="227">
        <f>J42*PARÂMETROS!$E$22</f>
        <v>10.592499999999999</v>
      </c>
      <c r="L42" s="228">
        <v>2E-3</v>
      </c>
      <c r="M42" s="230">
        <f>L42*PARÂMETROS!$E$8</f>
        <v>6.1780000000000002E-2</v>
      </c>
      <c r="N42" s="228">
        <f t="shared" si="1"/>
        <v>3.4000000000000002E-2</v>
      </c>
      <c r="O42" s="230">
        <f>N42*PARÂMETROS!$E$8</f>
        <v>1.0502600000000002</v>
      </c>
      <c r="P42" s="228">
        <f t="shared" si="2"/>
        <v>2.5000000000000001E-2</v>
      </c>
      <c r="Q42" s="230">
        <f>P42*PARÂMETROS!$E$8</f>
        <v>0.7722500000000001</v>
      </c>
      <c r="R42" s="228">
        <f t="shared" si="3"/>
        <v>3.4000000000000002E-3</v>
      </c>
      <c r="S42" s="230">
        <f>R42*PARÂMETROS!$E$8</f>
        <v>0.10502600000000001</v>
      </c>
      <c r="T42" s="231">
        <v>1.52</v>
      </c>
      <c r="U42" s="230">
        <f>T42*PARÂMETROS!$E$27</f>
        <v>4.5600000000000005</v>
      </c>
      <c r="V42" s="299">
        <v>5.48</v>
      </c>
      <c r="W42" s="230">
        <f>V42*PARÂMETROS!$E$30</f>
        <v>32.0032</v>
      </c>
      <c r="X42" s="299">
        <v>1.0960000000000001</v>
      </c>
      <c r="Y42" s="230">
        <f>X42*PARÂMETROS!$E$31</f>
        <v>16.604400000000002</v>
      </c>
      <c r="Z42" s="228">
        <f t="shared" si="4"/>
        <v>3.4000000000000002E-2</v>
      </c>
      <c r="AA42" s="230">
        <f>Z42*PARÂMETROS!$E$8</f>
        <v>1.0502600000000002</v>
      </c>
      <c r="AB42" s="228">
        <f t="shared" si="5"/>
        <v>2.5000000000000001E-3</v>
      </c>
      <c r="AC42" s="230">
        <f>AB42*PARÂMETROS!$E$8</f>
        <v>7.7225000000000002E-2</v>
      </c>
      <c r="AF42" s="232" t="s">
        <v>1421</v>
      </c>
      <c r="AG42" s="264">
        <f t="shared" si="6"/>
        <v>916.17490100000009</v>
      </c>
      <c r="AH42" s="23"/>
      <c r="AI42" s="224" t="s">
        <v>230</v>
      </c>
      <c r="AJ42" s="291">
        <f>PARÂMETROS!$H$3</f>
        <v>40</v>
      </c>
      <c r="AK42" s="267">
        <v>2.1527777777777798E-2</v>
      </c>
      <c r="AL42" s="267">
        <v>2.7777777777777801E-2</v>
      </c>
      <c r="AM42" s="267">
        <v>2.7777777777777801E-2</v>
      </c>
      <c r="AN42" s="267">
        <v>6.9444444444444397E-3</v>
      </c>
      <c r="AO42" s="267">
        <v>2.0833333333333301E-2</v>
      </c>
      <c r="AP42" s="267">
        <v>6.9444444444444397E-3</v>
      </c>
      <c r="AQ42" s="267">
        <v>3.125E-2</v>
      </c>
      <c r="AR42" s="271">
        <v>1</v>
      </c>
      <c r="AS42" s="292">
        <f t="shared" si="7"/>
        <v>0.1430555555555556</v>
      </c>
      <c r="AT42" s="291">
        <f t="shared" si="8"/>
        <v>137.33333333333337</v>
      </c>
      <c r="AU42" s="272">
        <f t="shared" si="9"/>
        <v>137.33333333333337</v>
      </c>
      <c r="AW42" s="273">
        <f t="shared" si="10"/>
        <v>916.17490100000009</v>
      </c>
      <c r="AX42" s="274">
        <f t="shared" si="11"/>
        <v>137.33333333333337</v>
      </c>
      <c r="AY42" s="275">
        <v>1</v>
      </c>
      <c r="AZ42" s="276">
        <f t="shared" si="12"/>
        <v>137.33333333333337</v>
      </c>
      <c r="BA42" s="293">
        <f t="shared" si="13"/>
        <v>1053.5082343333333</v>
      </c>
      <c r="BB42" s="275">
        <v>1</v>
      </c>
      <c r="BU42" s="293">
        <v>80</v>
      </c>
      <c r="BV42" s="293">
        <f t="shared" si="14"/>
        <v>1133.5082343333333</v>
      </c>
    </row>
    <row r="43" spans="1:74" ht="25.5" customHeight="1" x14ac:dyDescent="0.3">
      <c r="A43" s="224" t="s">
        <v>234</v>
      </c>
      <c r="B43" s="225" t="s">
        <v>1409</v>
      </c>
      <c r="C43" s="228">
        <v>34</v>
      </c>
      <c r="D43" s="263">
        <f>C43*C5</f>
        <v>666.06</v>
      </c>
      <c r="E43" s="228">
        <v>17</v>
      </c>
      <c r="F43" s="263">
        <f>E43*F5</f>
        <v>333.03</v>
      </c>
      <c r="G43" s="227">
        <f t="shared" si="0"/>
        <v>999.08999999999992</v>
      </c>
      <c r="H43" s="228">
        <v>3.9</v>
      </c>
      <c r="I43" s="227">
        <f>H43*PARÂMETROS!$E$22</f>
        <v>165.24299999999999</v>
      </c>
      <c r="J43" s="228">
        <v>0.30099999999999999</v>
      </c>
      <c r="K43" s="227">
        <f>J43*PARÂMETROS!$E$22</f>
        <v>12.753369999999999</v>
      </c>
      <c r="L43" s="228">
        <v>2E-3</v>
      </c>
      <c r="M43" s="230">
        <f>L43*PARÂMETROS!$E$8</f>
        <v>6.1780000000000002E-2</v>
      </c>
      <c r="N43" s="228">
        <f t="shared" si="1"/>
        <v>3.9E-2</v>
      </c>
      <c r="O43" s="230">
        <f>N43*PARÂMETROS!$E$8</f>
        <v>1.2047099999999999</v>
      </c>
      <c r="P43" s="228">
        <f t="shared" si="2"/>
        <v>3.0100000000000002E-2</v>
      </c>
      <c r="Q43" s="230">
        <f>P43*PARÂMETROS!$E$8</f>
        <v>0.92978900000000009</v>
      </c>
      <c r="R43" s="228">
        <f t="shared" si="3"/>
        <v>3.9000000000000003E-3</v>
      </c>
      <c r="S43" s="230">
        <f>R43*PARÂMETROS!$E$8</f>
        <v>0.12047100000000001</v>
      </c>
      <c r="T43" s="231">
        <v>1.62</v>
      </c>
      <c r="U43" s="230">
        <f>T43*PARÂMETROS!$E$27</f>
        <v>4.8600000000000003</v>
      </c>
      <c r="V43" s="299">
        <v>4.2</v>
      </c>
      <c r="W43" s="230">
        <f>V43*PARÂMETROS!$E$30</f>
        <v>24.527999999999999</v>
      </c>
      <c r="X43" s="299">
        <v>0.84</v>
      </c>
      <c r="Y43" s="230">
        <f>X43*PARÂMETROS!$E$31</f>
        <v>12.725999999999999</v>
      </c>
      <c r="Z43" s="228">
        <f t="shared" si="4"/>
        <v>3.9E-2</v>
      </c>
      <c r="AA43" s="230">
        <f>Z43*PARÂMETROS!$E$8</f>
        <v>1.2047099999999999</v>
      </c>
      <c r="AB43" s="228">
        <f t="shared" si="5"/>
        <v>3.0100000000000001E-3</v>
      </c>
      <c r="AC43" s="230">
        <f>AB43*PARÂMETROS!$E$8</f>
        <v>9.2978900000000003E-2</v>
      </c>
      <c r="AD43" s="23"/>
      <c r="AE43" s="23"/>
      <c r="AF43" s="232" t="s">
        <v>1422</v>
      </c>
      <c r="AG43" s="264">
        <f t="shared" si="6"/>
        <v>1222.8148088999999</v>
      </c>
      <c r="AH43" s="23"/>
      <c r="AI43" s="224" t="s">
        <v>234</v>
      </c>
      <c r="AJ43" s="291">
        <f>PARÂMETROS!$H$3</f>
        <v>40</v>
      </c>
      <c r="AK43" s="267">
        <v>2.1527777777777798E-2</v>
      </c>
      <c r="AL43" s="267">
        <v>2.7777777777777801E-2</v>
      </c>
      <c r="AM43" s="267">
        <v>2.7777777777777801E-2</v>
      </c>
      <c r="AN43" s="267">
        <v>6.9444444444444397E-3</v>
      </c>
      <c r="AO43" s="267">
        <v>2.0833333333333301E-2</v>
      </c>
      <c r="AP43" s="267">
        <v>6.9444444444444397E-3</v>
      </c>
      <c r="AQ43" s="267">
        <v>3.125E-2</v>
      </c>
      <c r="AR43" s="271">
        <v>1</v>
      </c>
      <c r="AS43" s="292">
        <f t="shared" si="7"/>
        <v>0.1430555555555556</v>
      </c>
      <c r="AT43" s="291">
        <f t="shared" si="8"/>
        <v>137.33333333333337</v>
      </c>
      <c r="AU43" s="272">
        <f t="shared" si="9"/>
        <v>137.33333333333337</v>
      </c>
      <c r="AW43" s="273">
        <f t="shared" si="10"/>
        <v>1222.8148088999999</v>
      </c>
      <c r="AX43" s="274">
        <f t="shared" si="11"/>
        <v>137.33333333333337</v>
      </c>
      <c r="AY43" s="275">
        <v>1</v>
      </c>
      <c r="AZ43" s="276">
        <f t="shared" si="12"/>
        <v>137.33333333333337</v>
      </c>
      <c r="BA43" s="293">
        <f t="shared" si="13"/>
        <v>1360.1481422333331</v>
      </c>
      <c r="BB43" s="275">
        <v>1</v>
      </c>
      <c r="BU43" s="293">
        <v>80</v>
      </c>
      <c r="BV43" s="293">
        <f t="shared" si="14"/>
        <v>1440.1481422333331</v>
      </c>
    </row>
    <row r="44" spans="1:74" ht="25.5" customHeight="1" x14ac:dyDescent="0.3">
      <c r="A44" s="224" t="s">
        <v>238</v>
      </c>
      <c r="B44" s="225" t="s">
        <v>1409</v>
      </c>
      <c r="C44" s="228">
        <v>40</v>
      </c>
      <c r="D44" s="263">
        <f>C44*C5</f>
        <v>783.6</v>
      </c>
      <c r="E44" s="228">
        <v>20</v>
      </c>
      <c r="F44" s="263">
        <f>E44*F5</f>
        <v>391.8</v>
      </c>
      <c r="G44" s="227">
        <f t="shared" si="0"/>
        <v>1175.4000000000001</v>
      </c>
      <c r="H44" s="228">
        <v>4.5</v>
      </c>
      <c r="I44" s="227">
        <f>H44*PARÂMETROS!$E$22</f>
        <v>190.66499999999999</v>
      </c>
      <c r="J44" s="228">
        <v>0.35699999999999998</v>
      </c>
      <c r="K44" s="227">
        <f>J44*PARÂMETROS!$E$22</f>
        <v>15.126089999999998</v>
      </c>
      <c r="L44" s="228">
        <v>2E-3</v>
      </c>
      <c r="M44" s="230">
        <f>L44*PARÂMETROS!$E$8</f>
        <v>6.1780000000000002E-2</v>
      </c>
      <c r="N44" s="228">
        <f t="shared" si="1"/>
        <v>4.4999999999999998E-2</v>
      </c>
      <c r="O44" s="230">
        <f>N44*PARÂMETROS!$E$8</f>
        <v>1.39005</v>
      </c>
      <c r="P44" s="228">
        <f t="shared" si="2"/>
        <v>3.5700000000000003E-2</v>
      </c>
      <c r="Q44" s="230">
        <f>P44*PARÂMETROS!$E$8</f>
        <v>1.102773</v>
      </c>
      <c r="R44" s="228">
        <f t="shared" si="3"/>
        <v>4.4999999999999997E-3</v>
      </c>
      <c r="S44" s="230">
        <f>R44*PARÂMETROS!$E$8</f>
        <v>0.13900499999999999</v>
      </c>
      <c r="T44" s="231">
        <v>1.72</v>
      </c>
      <c r="U44" s="230">
        <f>T44*PARÂMETROS!$E$27</f>
        <v>5.16</v>
      </c>
      <c r="V44" s="299">
        <v>6.84</v>
      </c>
      <c r="W44" s="230">
        <f>V44*PARÂMETROS!$E$30</f>
        <v>39.945599999999999</v>
      </c>
      <c r="X44" s="299">
        <v>1.3680000000000001</v>
      </c>
      <c r="Y44" s="230">
        <f>X44*PARÂMETROS!$E$31</f>
        <v>20.725200000000001</v>
      </c>
      <c r="Z44" s="228">
        <f t="shared" si="4"/>
        <v>4.4999999999999998E-2</v>
      </c>
      <c r="AA44" s="230">
        <f>Z44*PARÂMETROS!$E$8</f>
        <v>1.39005</v>
      </c>
      <c r="AB44" s="228">
        <f t="shared" si="5"/>
        <v>3.5699999999999998E-3</v>
      </c>
      <c r="AC44" s="230">
        <f>AB44*PARÂMETROS!$E$8</f>
        <v>0.11027729999999999</v>
      </c>
      <c r="AF44" s="232" t="s">
        <v>1423</v>
      </c>
      <c r="AG44" s="264">
        <f t="shared" si="6"/>
        <v>1451.2158253000002</v>
      </c>
      <c r="AH44" s="23"/>
      <c r="AI44" s="224" t="s">
        <v>238</v>
      </c>
      <c r="AJ44" s="291">
        <f>PARÂMETROS!$H$3</f>
        <v>40</v>
      </c>
      <c r="AK44" s="267">
        <v>4.1666666666666699E-2</v>
      </c>
      <c r="AL44" s="267">
        <v>2.7777777777777801E-2</v>
      </c>
      <c r="AM44" s="267">
        <v>2.7777777777777801E-2</v>
      </c>
      <c r="AN44" s="267">
        <v>6.9444444444444397E-3</v>
      </c>
      <c r="AO44" s="267">
        <v>2.0833333333333301E-2</v>
      </c>
      <c r="AP44" s="267">
        <v>6.9444444444444397E-3</v>
      </c>
      <c r="AQ44" s="267">
        <v>3.125E-2</v>
      </c>
      <c r="AR44" s="271">
        <v>1</v>
      </c>
      <c r="AS44" s="292">
        <f t="shared" si="7"/>
        <v>0.16319444444444448</v>
      </c>
      <c r="AT44" s="291">
        <f t="shared" si="8"/>
        <v>156.66666666666669</v>
      </c>
      <c r="AU44" s="272">
        <f t="shared" si="9"/>
        <v>156.66666666666669</v>
      </c>
      <c r="AW44" s="273">
        <f t="shared" si="10"/>
        <v>1451.2158253000002</v>
      </c>
      <c r="AX44" s="274">
        <f t="shared" si="11"/>
        <v>156.66666666666669</v>
      </c>
      <c r="AY44" s="275">
        <v>1</v>
      </c>
      <c r="AZ44" s="276">
        <f t="shared" si="12"/>
        <v>156.66666666666669</v>
      </c>
      <c r="BA44" s="293">
        <f t="shared" si="13"/>
        <v>1607.882491966667</v>
      </c>
      <c r="BB44" s="275">
        <v>1</v>
      </c>
      <c r="BU44" s="293">
        <v>80</v>
      </c>
      <c r="BV44" s="293">
        <f t="shared" si="14"/>
        <v>1687.882491966667</v>
      </c>
    </row>
    <row r="45" spans="1:74" ht="25.5" customHeight="1" x14ac:dyDescent="0.3">
      <c r="A45" s="224" t="s">
        <v>242</v>
      </c>
      <c r="B45" s="225" t="s">
        <v>1409</v>
      </c>
      <c r="C45" s="228">
        <v>52</v>
      </c>
      <c r="D45" s="263">
        <f>C45*C5</f>
        <v>1018.68</v>
      </c>
      <c r="E45" s="228">
        <v>26</v>
      </c>
      <c r="F45" s="263">
        <f>E45*F5</f>
        <v>509.34</v>
      </c>
      <c r="G45" s="227">
        <f t="shared" si="0"/>
        <v>1528.02</v>
      </c>
      <c r="H45" s="228">
        <v>5</v>
      </c>
      <c r="I45" s="227">
        <f>H45*PARÂMETROS!$E$22</f>
        <v>211.85</v>
      </c>
      <c r="J45" s="228">
        <v>0.41799999999999998</v>
      </c>
      <c r="K45" s="227">
        <f>J45*PARÂMETROS!$E$22</f>
        <v>17.710659999999997</v>
      </c>
      <c r="L45" s="228">
        <v>2E-3</v>
      </c>
      <c r="M45" s="230">
        <f>L45*PARÂMETROS!$E$8</f>
        <v>6.1780000000000002E-2</v>
      </c>
      <c r="N45" s="228">
        <f t="shared" si="1"/>
        <v>0.05</v>
      </c>
      <c r="O45" s="230">
        <f>N45*PARÂMETROS!$E$8</f>
        <v>1.5445000000000002</v>
      </c>
      <c r="P45" s="228">
        <f t="shared" si="2"/>
        <v>4.1800000000000004E-2</v>
      </c>
      <c r="Q45" s="230">
        <f>P45*PARÂMETROS!$E$8</f>
        <v>1.2912020000000002</v>
      </c>
      <c r="R45" s="228">
        <f t="shared" si="3"/>
        <v>5.000000000000001E-3</v>
      </c>
      <c r="S45" s="230">
        <f>R45*PARÂMETROS!$E$8</f>
        <v>0.15445000000000003</v>
      </c>
      <c r="T45" s="231">
        <v>1.82</v>
      </c>
      <c r="U45" s="230">
        <f>T45*PARÂMETROS!$E$27</f>
        <v>5.46</v>
      </c>
      <c r="V45" s="299">
        <v>6.88</v>
      </c>
      <c r="W45" s="230">
        <f>V45*PARÂMETROS!$E$30</f>
        <v>40.179200000000002</v>
      </c>
      <c r="X45" s="299">
        <v>1.766</v>
      </c>
      <c r="Y45" s="230">
        <f>X45*PARÂMETROS!$E$31</f>
        <v>26.754899999999999</v>
      </c>
      <c r="Z45" s="228">
        <f t="shared" si="4"/>
        <v>0.05</v>
      </c>
      <c r="AA45" s="230">
        <f>Z45*PARÂMETROS!$E$8</f>
        <v>1.5445000000000002</v>
      </c>
      <c r="AB45" s="228">
        <f t="shared" si="5"/>
        <v>4.1799999999999997E-3</v>
      </c>
      <c r="AC45" s="230">
        <f>AB45*PARÂMETROS!$E$8</f>
        <v>0.12912019999999999</v>
      </c>
      <c r="AD45" s="23"/>
      <c r="AE45" s="23"/>
      <c r="AF45" s="232" t="s">
        <v>1424</v>
      </c>
      <c r="AG45" s="264">
        <f t="shared" si="6"/>
        <v>1834.7003121999999</v>
      </c>
      <c r="AH45" s="23"/>
      <c r="AI45" s="224" t="s">
        <v>242</v>
      </c>
      <c r="AJ45" s="291">
        <f>PARÂMETROS!$H$3</f>
        <v>40</v>
      </c>
      <c r="AK45" s="267">
        <v>4.1666666666666699E-2</v>
      </c>
      <c r="AL45" s="267">
        <v>2.7777777777777801E-2</v>
      </c>
      <c r="AM45" s="267">
        <v>2.7777777777777801E-2</v>
      </c>
      <c r="AN45" s="267">
        <v>6.9444444444444397E-3</v>
      </c>
      <c r="AO45" s="267">
        <v>2.0833333333333301E-2</v>
      </c>
      <c r="AP45" s="267">
        <v>6.9444444444444397E-3</v>
      </c>
      <c r="AQ45" s="267">
        <v>3.125E-2</v>
      </c>
      <c r="AR45" s="271">
        <v>1</v>
      </c>
      <c r="AS45" s="292">
        <f t="shared" si="7"/>
        <v>0.16319444444444448</v>
      </c>
      <c r="AT45" s="291">
        <f t="shared" si="8"/>
        <v>156.66666666666669</v>
      </c>
      <c r="AU45" s="272">
        <f t="shared" si="9"/>
        <v>156.66666666666669</v>
      </c>
      <c r="AW45" s="273">
        <f t="shared" si="10"/>
        <v>1834.7003121999999</v>
      </c>
      <c r="AX45" s="274">
        <f t="shared" si="11"/>
        <v>156.66666666666669</v>
      </c>
      <c r="AY45" s="275">
        <v>1</v>
      </c>
      <c r="AZ45" s="276">
        <f t="shared" si="12"/>
        <v>156.66666666666669</v>
      </c>
      <c r="BA45" s="293">
        <f t="shared" si="13"/>
        <v>1991.3669788666666</v>
      </c>
      <c r="BB45" s="275">
        <v>1</v>
      </c>
      <c r="BU45" s="293">
        <v>80</v>
      </c>
      <c r="BV45" s="293">
        <f t="shared" si="14"/>
        <v>2071.3669788666666</v>
      </c>
    </row>
    <row r="46" spans="1:74" ht="25.5" customHeight="1" x14ac:dyDescent="0.3">
      <c r="A46" s="224" t="s">
        <v>246</v>
      </c>
      <c r="B46" s="225" t="s">
        <v>1409</v>
      </c>
      <c r="C46" s="228">
        <v>66</v>
      </c>
      <c r="D46" s="263">
        <f>C46*C5</f>
        <v>1292.94</v>
      </c>
      <c r="E46" s="228">
        <v>33</v>
      </c>
      <c r="F46" s="263">
        <f>E46*F5</f>
        <v>646.47</v>
      </c>
      <c r="G46" s="227">
        <f t="shared" si="0"/>
        <v>1939.41</v>
      </c>
      <c r="H46" s="228">
        <v>5.4</v>
      </c>
      <c r="I46" s="227">
        <f>H46*PARÂMETROS!$E$22</f>
        <v>228.798</v>
      </c>
      <c r="J46" s="228">
        <v>0.498</v>
      </c>
      <c r="K46" s="227">
        <f>J46*PARÂMETROS!$E$22</f>
        <v>21.100259999999999</v>
      </c>
      <c r="L46" s="228">
        <v>2E-3</v>
      </c>
      <c r="M46" s="230">
        <f>L46*PARÂMETROS!$E$8</f>
        <v>6.1780000000000002E-2</v>
      </c>
      <c r="N46" s="228">
        <f t="shared" si="1"/>
        <v>5.4000000000000006E-2</v>
      </c>
      <c r="O46" s="230">
        <f>N46*PARÂMETROS!$E$8</f>
        <v>1.6680600000000003</v>
      </c>
      <c r="P46" s="228">
        <f t="shared" si="2"/>
        <v>4.9800000000000004E-2</v>
      </c>
      <c r="Q46" s="230">
        <f>P46*PARÂMETROS!$E$8</f>
        <v>1.5383220000000002</v>
      </c>
      <c r="R46" s="228">
        <f t="shared" si="3"/>
        <v>5.4000000000000012E-3</v>
      </c>
      <c r="S46" s="230">
        <f>R46*PARÂMETROS!$E$8</f>
        <v>0.16680600000000004</v>
      </c>
      <c r="T46" s="231">
        <v>1.92</v>
      </c>
      <c r="U46" s="230">
        <f>T46*PARÂMETROS!$E$27</f>
        <v>5.76</v>
      </c>
      <c r="V46" s="299">
        <v>6.76</v>
      </c>
      <c r="W46" s="230">
        <f>V46*PARÂMETROS!$E$30</f>
        <v>39.478400000000001</v>
      </c>
      <c r="X46" s="299">
        <v>1.3560000000000001</v>
      </c>
      <c r="Y46" s="230">
        <f>X46*PARÂMETROS!$E$31</f>
        <v>20.543400000000002</v>
      </c>
      <c r="Z46" s="228">
        <f t="shared" si="4"/>
        <v>5.4000000000000006E-2</v>
      </c>
      <c r="AA46" s="230">
        <f>Z46*PARÂMETROS!$E$8</f>
        <v>1.6680600000000003</v>
      </c>
      <c r="AB46" s="228">
        <f t="shared" si="5"/>
        <v>4.9800000000000001E-3</v>
      </c>
      <c r="AC46" s="230">
        <f>AB46*PARÂMETROS!$E$8</f>
        <v>0.1538322</v>
      </c>
      <c r="AF46" s="232" t="s">
        <v>1425</v>
      </c>
      <c r="AG46" s="264">
        <f t="shared" si="6"/>
        <v>2260.3469202000001</v>
      </c>
      <c r="AH46" s="23"/>
      <c r="AI46" s="224" t="s">
        <v>246</v>
      </c>
      <c r="AJ46" s="291">
        <f>PARÂMETROS!$H$3</f>
        <v>40</v>
      </c>
      <c r="AK46" s="267">
        <v>4.1666666666666699E-2</v>
      </c>
      <c r="AL46" s="267">
        <v>2.7777777777777801E-2</v>
      </c>
      <c r="AM46" s="267">
        <v>6.9444444444444503E-2</v>
      </c>
      <c r="AN46" s="267">
        <v>6.9444444444444397E-3</v>
      </c>
      <c r="AO46" s="267">
        <v>2.0833333333333301E-2</v>
      </c>
      <c r="AP46" s="267">
        <v>6.9444444444444397E-3</v>
      </c>
      <c r="AQ46" s="267">
        <v>3.125E-2</v>
      </c>
      <c r="AR46" s="271">
        <v>1</v>
      </c>
      <c r="AS46" s="292">
        <f t="shared" si="7"/>
        <v>0.20486111111111116</v>
      </c>
      <c r="AT46" s="291">
        <f t="shared" si="8"/>
        <v>196.66666666666671</v>
      </c>
      <c r="AU46" s="272">
        <f t="shared" si="9"/>
        <v>196.66666666666671</v>
      </c>
      <c r="AW46" s="273">
        <f t="shared" si="10"/>
        <v>2260.3469202000001</v>
      </c>
      <c r="AX46" s="274">
        <f t="shared" si="11"/>
        <v>196.66666666666671</v>
      </c>
      <c r="AY46" s="275">
        <v>1</v>
      </c>
      <c r="AZ46" s="276">
        <f t="shared" si="12"/>
        <v>196.66666666666671</v>
      </c>
      <c r="BA46" s="293">
        <f t="shared" si="13"/>
        <v>2457.0135868666666</v>
      </c>
      <c r="BB46" s="275">
        <v>1</v>
      </c>
      <c r="BU46" s="293">
        <v>80</v>
      </c>
      <c r="BV46" s="293">
        <f t="shared" si="14"/>
        <v>2537.0135868666666</v>
      </c>
    </row>
    <row r="47" spans="1:74" ht="25.5" customHeight="1" x14ac:dyDescent="0.3">
      <c r="A47" s="224" t="s">
        <v>250</v>
      </c>
      <c r="B47" s="225" t="s">
        <v>1409</v>
      </c>
      <c r="C47" s="228">
        <v>86</v>
      </c>
      <c r="D47" s="263">
        <f>C47*C5</f>
        <v>1684.74</v>
      </c>
      <c r="E47" s="228">
        <v>43</v>
      </c>
      <c r="F47" s="263">
        <f>E47*F5</f>
        <v>842.37</v>
      </c>
      <c r="G47" s="227">
        <f t="shared" si="0"/>
        <v>2527.11</v>
      </c>
      <c r="H47" s="228">
        <v>6</v>
      </c>
      <c r="I47" s="227">
        <f>H47*PARÂMETROS!$E$22</f>
        <v>254.21999999999997</v>
      </c>
      <c r="J47" s="228">
        <v>0.54</v>
      </c>
      <c r="K47" s="227">
        <f>J47*PARÂMETROS!$E$22</f>
        <v>22.879799999999999</v>
      </c>
      <c r="L47" s="228">
        <v>2E-3</v>
      </c>
      <c r="M47" s="230">
        <f>L47*PARÂMETROS!$E$8</f>
        <v>6.1780000000000002E-2</v>
      </c>
      <c r="N47" s="228">
        <f t="shared" si="1"/>
        <v>0.06</v>
      </c>
      <c r="O47" s="230">
        <f>N47*PARÂMETROS!$E$8</f>
        <v>1.8533999999999999</v>
      </c>
      <c r="P47" s="228">
        <f t="shared" si="2"/>
        <v>5.4000000000000006E-2</v>
      </c>
      <c r="Q47" s="230">
        <f>P47*PARÂMETROS!$E$8</f>
        <v>1.6680600000000003</v>
      </c>
      <c r="R47" s="228">
        <f t="shared" si="3"/>
        <v>6.0000000000000001E-3</v>
      </c>
      <c r="S47" s="230">
        <f>R47*PARÂMETROS!$E$8</f>
        <v>0.18534</v>
      </c>
      <c r="T47" s="231">
        <v>2</v>
      </c>
      <c r="U47" s="230">
        <f>T47*PARÂMETROS!$E$27</f>
        <v>6</v>
      </c>
      <c r="V47" s="299">
        <v>7.84</v>
      </c>
      <c r="W47" s="230">
        <f>V47*PARÂMETROS!$E$30</f>
        <v>45.785599999999995</v>
      </c>
      <c r="X47" s="299">
        <v>1.5680000000000001</v>
      </c>
      <c r="Y47" s="230">
        <f>X47*PARÂMETROS!$E$31</f>
        <v>23.755200000000002</v>
      </c>
      <c r="Z47" s="228">
        <f t="shared" si="4"/>
        <v>0.06</v>
      </c>
      <c r="AA47" s="230">
        <f>Z47*PARÂMETROS!$E$8</f>
        <v>1.8533999999999999</v>
      </c>
      <c r="AB47" s="228">
        <f t="shared" si="5"/>
        <v>5.4000000000000003E-3</v>
      </c>
      <c r="AC47" s="230">
        <f>AB47*PARÂMETROS!$E$8</f>
        <v>0.16680600000000001</v>
      </c>
      <c r="AD47" s="23"/>
      <c r="AE47" s="23"/>
      <c r="AF47" s="232" t="s">
        <v>1426</v>
      </c>
      <c r="AG47" s="264">
        <f t="shared" si="6"/>
        <v>2885.5393860000004</v>
      </c>
      <c r="AH47" s="23"/>
      <c r="AI47" s="224" t="s">
        <v>250</v>
      </c>
      <c r="AJ47" s="291">
        <f>PARÂMETROS!$H$3</f>
        <v>40</v>
      </c>
      <c r="AK47" s="267">
        <v>4.1666666666666699E-2</v>
      </c>
      <c r="AL47" s="267">
        <v>2.7777777777777801E-2</v>
      </c>
      <c r="AM47" s="267">
        <v>6.9444444444444503E-2</v>
      </c>
      <c r="AN47" s="267">
        <v>6.9444444444444397E-3</v>
      </c>
      <c r="AO47" s="267">
        <v>2.0833333333333301E-2</v>
      </c>
      <c r="AP47" s="267">
        <v>6.9444444444444397E-3</v>
      </c>
      <c r="AQ47" s="267">
        <v>3.125E-2</v>
      </c>
      <c r="AR47" s="271">
        <v>1</v>
      </c>
      <c r="AS47" s="292">
        <f t="shared" si="7"/>
        <v>0.20486111111111116</v>
      </c>
      <c r="AT47" s="291">
        <f t="shared" si="8"/>
        <v>196.66666666666671</v>
      </c>
      <c r="AU47" s="272">
        <f t="shared" si="9"/>
        <v>196.66666666666671</v>
      </c>
      <c r="AW47" s="273">
        <f t="shared" si="10"/>
        <v>2885.5393860000004</v>
      </c>
      <c r="AX47" s="274">
        <f t="shared" si="11"/>
        <v>196.66666666666671</v>
      </c>
      <c r="AY47" s="275">
        <v>1</v>
      </c>
      <c r="AZ47" s="276">
        <f t="shared" si="12"/>
        <v>196.66666666666671</v>
      </c>
      <c r="BA47" s="293">
        <f t="shared" si="13"/>
        <v>3082.2060526666669</v>
      </c>
      <c r="BB47" s="275">
        <v>1</v>
      </c>
      <c r="BU47" s="293">
        <v>80</v>
      </c>
      <c r="BV47" s="293">
        <f t="shared" si="14"/>
        <v>3162.2060526666669</v>
      </c>
    </row>
    <row r="48" spans="1:74" ht="25.5" customHeight="1" x14ac:dyDescent="0.3">
      <c r="A48" s="224" t="s">
        <v>254</v>
      </c>
      <c r="B48" s="225" t="s">
        <v>1409</v>
      </c>
      <c r="C48" s="228">
        <v>90</v>
      </c>
      <c r="D48" s="263">
        <f>C48*C5</f>
        <v>1763.1</v>
      </c>
      <c r="E48" s="228">
        <v>45</v>
      </c>
      <c r="F48" s="263">
        <f>E48*F5</f>
        <v>881.55</v>
      </c>
      <c r="G48" s="227">
        <f t="shared" si="0"/>
        <v>2644.6499999999996</v>
      </c>
      <c r="H48" s="228">
        <v>6.4</v>
      </c>
      <c r="I48" s="227">
        <f>H48*PARÂMETROS!$E$22</f>
        <v>271.16800000000001</v>
      </c>
      <c r="J48" s="228">
        <v>0.61499999999999999</v>
      </c>
      <c r="K48" s="227">
        <f>J48*PARÂMETROS!$E$22</f>
        <v>26.057549999999999</v>
      </c>
      <c r="L48" s="228">
        <v>2E-3</v>
      </c>
      <c r="M48" s="230">
        <f>L48*PARÂMETROS!$E$8</f>
        <v>6.1780000000000002E-2</v>
      </c>
      <c r="N48" s="228">
        <f t="shared" si="1"/>
        <v>6.4000000000000001E-2</v>
      </c>
      <c r="O48" s="230">
        <f>N48*PARÂMETROS!$E$8</f>
        <v>1.9769600000000001</v>
      </c>
      <c r="P48" s="228">
        <f t="shared" si="2"/>
        <v>6.1499999999999999E-2</v>
      </c>
      <c r="Q48" s="230">
        <f>P48*PARÂMETROS!$E$8</f>
        <v>1.899735</v>
      </c>
      <c r="R48" s="228">
        <f t="shared" si="3"/>
        <v>6.4000000000000003E-3</v>
      </c>
      <c r="S48" s="230">
        <f>R48*PARÂMETROS!$E$8</f>
        <v>0.19769600000000001</v>
      </c>
      <c r="T48" s="231">
        <v>2.1</v>
      </c>
      <c r="U48" s="230">
        <f>T48*PARÂMETROS!$E$27</f>
        <v>6.3000000000000007</v>
      </c>
      <c r="V48" s="299">
        <v>9.48</v>
      </c>
      <c r="W48" s="230">
        <f>V48*PARÂMETROS!$E$30</f>
        <v>55.363199999999999</v>
      </c>
      <c r="X48" s="299">
        <v>1.9279999999999999</v>
      </c>
      <c r="Y48" s="230">
        <f>X48*PARÂMETROS!$E$31</f>
        <v>29.209199999999999</v>
      </c>
      <c r="Z48" s="228">
        <f t="shared" si="4"/>
        <v>6.4000000000000001E-2</v>
      </c>
      <c r="AA48" s="230">
        <f>Z48*PARÂMETROS!$E$8</f>
        <v>1.9769600000000001</v>
      </c>
      <c r="AB48" s="228">
        <f t="shared" si="5"/>
        <v>6.1500000000000001E-3</v>
      </c>
      <c r="AC48" s="230">
        <f>AB48*PARÂMETROS!$E$8</f>
        <v>0.18997350000000002</v>
      </c>
      <c r="AF48" s="232" t="s">
        <v>1427</v>
      </c>
      <c r="AG48" s="264">
        <f t="shared" si="6"/>
        <v>3039.0510544999993</v>
      </c>
      <c r="AH48" s="23"/>
      <c r="AI48" s="224" t="s">
        <v>254</v>
      </c>
      <c r="AJ48" s="291">
        <f>PARÂMETROS!$H$3</f>
        <v>40</v>
      </c>
      <c r="AK48" s="267">
        <v>4.1666666666666699E-2</v>
      </c>
      <c r="AL48" s="267">
        <v>2.7777777777777801E-2</v>
      </c>
      <c r="AM48" s="267">
        <v>6.9444444444444503E-2</v>
      </c>
      <c r="AN48" s="267">
        <v>6.9444444444444397E-3</v>
      </c>
      <c r="AO48" s="267">
        <v>2.0833333333333301E-2</v>
      </c>
      <c r="AP48" s="267">
        <v>6.9444444444444397E-3</v>
      </c>
      <c r="AQ48" s="267">
        <v>3.125E-2</v>
      </c>
      <c r="AR48" s="271">
        <v>1</v>
      </c>
      <c r="AS48" s="292">
        <f t="shared" si="7"/>
        <v>0.20486111111111116</v>
      </c>
      <c r="AT48" s="291">
        <f t="shared" si="8"/>
        <v>196.66666666666671</v>
      </c>
      <c r="AU48" s="272">
        <f t="shared" si="9"/>
        <v>196.66666666666671</v>
      </c>
      <c r="AW48" s="273">
        <f t="shared" si="10"/>
        <v>3039.0510544999993</v>
      </c>
      <c r="AX48" s="274">
        <f t="shared" si="11"/>
        <v>196.66666666666671</v>
      </c>
      <c r="AY48" s="275">
        <v>1</v>
      </c>
      <c r="AZ48" s="276">
        <f t="shared" si="12"/>
        <v>196.66666666666671</v>
      </c>
      <c r="BA48" s="293">
        <f t="shared" si="13"/>
        <v>3235.7177211666658</v>
      </c>
      <c r="BB48" s="275">
        <v>1</v>
      </c>
      <c r="BU48" s="293">
        <v>80</v>
      </c>
      <c r="BV48" s="293">
        <f t="shared" si="14"/>
        <v>3315.7177211666658</v>
      </c>
    </row>
    <row r="49" spans="1:74" ht="25.5" customHeight="1" x14ac:dyDescent="0.3">
      <c r="A49" s="224" t="s">
        <v>258</v>
      </c>
      <c r="B49" s="225" t="s">
        <v>1409</v>
      </c>
      <c r="C49" s="228">
        <v>115</v>
      </c>
      <c r="D49" s="263">
        <f>C49*C5</f>
        <v>2252.85</v>
      </c>
      <c r="E49" s="228">
        <v>57</v>
      </c>
      <c r="F49" s="263">
        <f>E49*F5</f>
        <v>1116.6299999999999</v>
      </c>
      <c r="G49" s="227">
        <f t="shared" si="0"/>
        <v>3369.4799999999996</v>
      </c>
      <c r="H49" s="228">
        <v>7.7</v>
      </c>
      <c r="I49" s="227">
        <f>H49*PARÂMETROS!$E$22</f>
        <v>326.24899999999997</v>
      </c>
      <c r="J49" s="228">
        <v>0.71</v>
      </c>
      <c r="K49" s="227">
        <f>J49*PARÂMETROS!$E$22</f>
        <v>30.082699999999996</v>
      </c>
      <c r="L49" s="228">
        <v>2E-3</v>
      </c>
      <c r="M49" s="230">
        <f>L49*PARÂMETROS!$E$8</f>
        <v>6.1780000000000002E-2</v>
      </c>
      <c r="N49" s="228">
        <f t="shared" si="1"/>
        <v>7.6999999999999999E-2</v>
      </c>
      <c r="O49" s="230">
        <f>N49*PARÂMETROS!$E$8</f>
        <v>2.37853</v>
      </c>
      <c r="P49" s="228">
        <f t="shared" si="2"/>
        <v>7.0999999999999994E-2</v>
      </c>
      <c r="Q49" s="230">
        <f>P49*PARÂMETROS!$E$8</f>
        <v>2.19319</v>
      </c>
      <c r="R49" s="228">
        <f t="shared" si="3"/>
        <v>7.7000000000000002E-3</v>
      </c>
      <c r="S49" s="230">
        <f>R49*PARÂMETROS!$E$8</f>
        <v>0.23785300000000001</v>
      </c>
      <c r="T49" s="231">
        <v>2.2000000000000002</v>
      </c>
      <c r="U49" s="230">
        <f>T49*PARÂMETROS!$E$27</f>
        <v>6.6000000000000005</v>
      </c>
      <c r="V49" s="299">
        <v>9.64</v>
      </c>
      <c r="W49" s="230">
        <f>V49*PARÂMETROS!$E$30</f>
        <v>56.297600000000003</v>
      </c>
      <c r="X49" s="299">
        <v>1.88</v>
      </c>
      <c r="Y49" s="230">
        <f>X49*PARÂMETROS!$E$31</f>
        <v>28.481999999999999</v>
      </c>
      <c r="Z49" s="228">
        <f t="shared" si="4"/>
        <v>7.6999999999999999E-2</v>
      </c>
      <c r="AA49" s="230">
        <f>Z49*PARÂMETROS!$E$8</f>
        <v>2.37853</v>
      </c>
      <c r="AB49" s="228">
        <f t="shared" si="5"/>
        <v>7.0999999999999995E-3</v>
      </c>
      <c r="AC49" s="230">
        <f>AB49*PARÂMETROS!$E$8</f>
        <v>0.21931899999999999</v>
      </c>
      <c r="AD49" s="23"/>
      <c r="AE49" s="23"/>
      <c r="AF49" s="232" t="s">
        <v>1428</v>
      </c>
      <c r="AG49" s="264">
        <f t="shared" si="6"/>
        <v>3824.6605019999993</v>
      </c>
      <c r="AH49" s="23"/>
      <c r="AI49" s="224" t="s">
        <v>258</v>
      </c>
      <c r="AJ49" s="291">
        <f>PARÂMETROS!$H$3</f>
        <v>40</v>
      </c>
      <c r="AK49" s="267">
        <v>4.1666666666666699E-2</v>
      </c>
      <c r="AL49" s="267">
        <v>2.7777777777777801E-2</v>
      </c>
      <c r="AM49" s="267">
        <v>6.9444444444444503E-2</v>
      </c>
      <c r="AN49" s="267">
        <v>6.9444444444444397E-3</v>
      </c>
      <c r="AO49" s="267">
        <v>2.0833333333333301E-2</v>
      </c>
      <c r="AP49" s="267">
        <v>6.9444444444444397E-3</v>
      </c>
      <c r="AQ49" s="267">
        <v>3.125E-2</v>
      </c>
      <c r="AR49" s="271">
        <v>1</v>
      </c>
      <c r="AS49" s="292">
        <f t="shared" si="7"/>
        <v>0.20486111111111116</v>
      </c>
      <c r="AT49" s="291">
        <f t="shared" si="8"/>
        <v>196.66666666666671</v>
      </c>
      <c r="AU49" s="272">
        <f t="shared" si="9"/>
        <v>196.66666666666671</v>
      </c>
      <c r="AW49" s="273">
        <f t="shared" si="10"/>
        <v>3824.6605019999993</v>
      </c>
      <c r="AX49" s="274">
        <f t="shared" si="11"/>
        <v>196.66666666666671</v>
      </c>
      <c r="AY49" s="275">
        <v>1</v>
      </c>
      <c r="AZ49" s="276">
        <f t="shared" si="12"/>
        <v>196.66666666666671</v>
      </c>
      <c r="BA49" s="293">
        <f t="shared" si="13"/>
        <v>4021.3271686666658</v>
      </c>
      <c r="BB49" s="275">
        <v>1</v>
      </c>
      <c r="BU49" s="293">
        <v>80</v>
      </c>
      <c r="BV49" s="293">
        <f t="shared" si="14"/>
        <v>4101.3271686666658</v>
      </c>
    </row>
    <row r="50" spans="1:74" ht="25.5" customHeight="1" x14ac:dyDescent="0.3">
      <c r="A50" s="224" t="s">
        <v>262</v>
      </c>
      <c r="B50" s="225" t="s">
        <v>1409</v>
      </c>
      <c r="C50" s="228">
        <v>140</v>
      </c>
      <c r="D50" s="263">
        <f>C50*C5</f>
        <v>2742.6</v>
      </c>
      <c r="E50" s="228">
        <v>70</v>
      </c>
      <c r="F50" s="263">
        <f>E50*F5</f>
        <v>1371.3</v>
      </c>
      <c r="G50" s="227">
        <f t="shared" si="0"/>
        <v>4113.8999999999996</v>
      </c>
      <c r="H50" s="228">
        <v>8.4</v>
      </c>
      <c r="I50" s="227">
        <f>H50*PARÂMETROS!$E$22</f>
        <v>355.90800000000002</v>
      </c>
      <c r="J50" s="228">
        <v>0.79500000000000004</v>
      </c>
      <c r="K50" s="227">
        <f>J50*PARÂMETROS!$E$22</f>
        <v>33.684150000000002</v>
      </c>
      <c r="L50" s="228">
        <v>2E-3</v>
      </c>
      <c r="M50" s="230">
        <f>L50*PARÂMETROS!$E$8</f>
        <v>6.1780000000000002E-2</v>
      </c>
      <c r="N50" s="228">
        <f t="shared" si="1"/>
        <v>8.4000000000000005E-2</v>
      </c>
      <c r="O50" s="230">
        <f>N50*PARÂMETROS!$E$8</f>
        <v>2.5947600000000004</v>
      </c>
      <c r="P50" s="228">
        <f t="shared" si="2"/>
        <v>7.9500000000000015E-2</v>
      </c>
      <c r="Q50" s="230">
        <f>P50*PARÂMETROS!$E$8</f>
        <v>2.4557550000000004</v>
      </c>
      <c r="R50" s="228">
        <f t="shared" si="3"/>
        <v>8.4000000000000012E-3</v>
      </c>
      <c r="S50" s="230">
        <f>R50*PARÂMETROS!$E$8</f>
        <v>0.25947600000000004</v>
      </c>
      <c r="T50" s="231">
        <v>2.2999999999999998</v>
      </c>
      <c r="U50" s="230">
        <f>T50*PARÂMETROS!$E$27</f>
        <v>6.8999999999999995</v>
      </c>
      <c r="V50" s="299">
        <v>9.4</v>
      </c>
      <c r="W50" s="230">
        <f>V50*PARÂMETROS!$E$30</f>
        <v>54.896000000000001</v>
      </c>
      <c r="X50" s="299">
        <v>1.8560000000000001</v>
      </c>
      <c r="Y50" s="230">
        <f>X50*PARÂMETROS!$E$31</f>
        <v>28.118400000000001</v>
      </c>
      <c r="Z50" s="228">
        <f t="shared" si="4"/>
        <v>8.4000000000000005E-2</v>
      </c>
      <c r="AA50" s="230">
        <f>Z50*PARÂMETROS!$E$8</f>
        <v>2.5947600000000004</v>
      </c>
      <c r="AB50" s="228">
        <f t="shared" si="5"/>
        <v>7.9500000000000005E-3</v>
      </c>
      <c r="AC50" s="230">
        <f>AB50*PARÂMETROS!$E$8</f>
        <v>0.24557550000000003</v>
      </c>
      <c r="AF50" s="232" t="s">
        <v>1429</v>
      </c>
      <c r="AG50" s="264">
        <f t="shared" si="6"/>
        <v>4601.6186564999998</v>
      </c>
      <c r="AH50" s="23"/>
      <c r="AI50" s="224" t="s">
        <v>262</v>
      </c>
      <c r="AJ50" s="291">
        <f>PARÂMETROS!$H$3</f>
        <v>40</v>
      </c>
      <c r="AK50" s="267">
        <v>4.1666666666666699E-2</v>
      </c>
      <c r="AL50" s="267">
        <v>2.7777777777777801E-2</v>
      </c>
      <c r="AM50" s="267">
        <v>6.9444444444444503E-2</v>
      </c>
      <c r="AN50" s="267">
        <v>6.9444444444444397E-3</v>
      </c>
      <c r="AO50" s="267">
        <v>2.0833333333333301E-2</v>
      </c>
      <c r="AP50" s="267">
        <v>6.9444444444444397E-3</v>
      </c>
      <c r="AQ50" s="267">
        <v>3.125E-2</v>
      </c>
      <c r="AR50" s="271">
        <v>1</v>
      </c>
      <c r="AS50" s="292">
        <f t="shared" si="7"/>
        <v>0.20486111111111116</v>
      </c>
      <c r="AT50" s="291">
        <f t="shared" si="8"/>
        <v>196.66666666666671</v>
      </c>
      <c r="AU50" s="272">
        <f t="shared" si="9"/>
        <v>196.66666666666671</v>
      </c>
      <c r="AW50" s="273">
        <f t="shared" si="10"/>
        <v>4601.6186564999998</v>
      </c>
      <c r="AX50" s="274">
        <f t="shared" si="11"/>
        <v>196.66666666666671</v>
      </c>
      <c r="AY50" s="275">
        <v>1</v>
      </c>
      <c r="AZ50" s="276">
        <f t="shared" si="12"/>
        <v>196.66666666666671</v>
      </c>
      <c r="BA50" s="293">
        <f t="shared" si="13"/>
        <v>4798.2853231666668</v>
      </c>
      <c r="BB50" s="275">
        <v>1</v>
      </c>
      <c r="BU50" s="293">
        <v>80</v>
      </c>
      <c r="BV50" s="293">
        <f t="shared" si="14"/>
        <v>4878.2853231666668</v>
      </c>
    </row>
    <row r="51" spans="1:74" ht="25.5" customHeight="1" x14ac:dyDescent="0.3">
      <c r="A51" s="224" t="s">
        <v>266</v>
      </c>
      <c r="B51" s="225" t="s">
        <v>1409</v>
      </c>
      <c r="C51" s="228">
        <v>170</v>
      </c>
      <c r="D51" s="263">
        <f>C51*C5</f>
        <v>3330.3</v>
      </c>
      <c r="E51" s="228">
        <v>85</v>
      </c>
      <c r="F51" s="263">
        <f>E51*F5</f>
        <v>1665.15</v>
      </c>
      <c r="G51" s="227">
        <f t="shared" si="0"/>
        <v>4995.4500000000007</v>
      </c>
      <c r="H51" s="228">
        <v>9</v>
      </c>
      <c r="I51" s="227">
        <f>H51*PARÂMETROS!$E$22</f>
        <v>381.33</v>
      </c>
      <c r="J51" s="228">
        <v>0.88500000000000001</v>
      </c>
      <c r="K51" s="227">
        <f>J51*PARÂMETROS!$E$22</f>
        <v>37.497450000000001</v>
      </c>
      <c r="L51" s="228">
        <v>2E-3</v>
      </c>
      <c r="M51" s="230">
        <f>L51*PARÂMETROS!$E$8</f>
        <v>6.1780000000000002E-2</v>
      </c>
      <c r="N51" s="228">
        <f t="shared" si="1"/>
        <v>0.09</v>
      </c>
      <c r="O51" s="230">
        <f>N51*PARÂMETROS!$E$8</f>
        <v>2.7801</v>
      </c>
      <c r="P51" s="228">
        <f t="shared" si="2"/>
        <v>8.8500000000000009E-2</v>
      </c>
      <c r="Q51" s="230">
        <f>P51*PARÂMETROS!$E$8</f>
        <v>2.7337650000000004</v>
      </c>
      <c r="R51" s="228">
        <f t="shared" si="3"/>
        <v>8.9999999999999993E-3</v>
      </c>
      <c r="S51" s="230">
        <f>R51*PARÂMETROS!$E$8</f>
        <v>0.27800999999999998</v>
      </c>
      <c r="T51" s="231">
        <v>2.4</v>
      </c>
      <c r="U51" s="230">
        <f>T51*PARÂMETROS!$E$27</f>
        <v>7.1999999999999993</v>
      </c>
      <c r="V51" s="299">
        <v>9.2799999999999994</v>
      </c>
      <c r="W51" s="230">
        <f>V51*PARÂMETROS!$E$30</f>
        <v>54.195199999999993</v>
      </c>
      <c r="X51" s="299">
        <v>2.008</v>
      </c>
      <c r="Y51" s="230">
        <f>X51*PARÂMETROS!$E$31</f>
        <v>30.421200000000002</v>
      </c>
      <c r="Z51" s="228">
        <f t="shared" si="4"/>
        <v>0.09</v>
      </c>
      <c r="AA51" s="230">
        <f>Z51*PARÂMETROS!$E$8</f>
        <v>2.7801</v>
      </c>
      <c r="AB51" s="228">
        <f t="shared" si="5"/>
        <v>8.8500000000000002E-3</v>
      </c>
      <c r="AC51" s="230">
        <f>AB51*PARÂMETROS!$E$8</f>
        <v>0.27337650000000002</v>
      </c>
      <c r="AD51" s="23"/>
      <c r="AE51" s="23"/>
      <c r="AF51" s="232" t="s">
        <v>1430</v>
      </c>
      <c r="AG51" s="264">
        <f t="shared" si="6"/>
        <v>5515.0009815000012</v>
      </c>
      <c r="AH51" s="23"/>
      <c r="AI51" s="224" t="s">
        <v>266</v>
      </c>
      <c r="AJ51" s="291">
        <f>PARÂMETROS!$H$3</f>
        <v>40</v>
      </c>
      <c r="AK51" s="267">
        <v>8.3333333333333301E-2</v>
      </c>
      <c r="AL51" s="267">
        <v>2.7777777777777801E-2</v>
      </c>
      <c r="AM51" s="267">
        <v>6.9444444444444503E-2</v>
      </c>
      <c r="AN51" s="267">
        <v>6.9444444444444397E-3</v>
      </c>
      <c r="AO51" s="267">
        <v>2.0833333333333301E-2</v>
      </c>
      <c r="AP51" s="267">
        <v>6.9444444444444397E-3</v>
      </c>
      <c r="AQ51" s="267">
        <v>3.125E-2</v>
      </c>
      <c r="AR51" s="271">
        <v>1</v>
      </c>
      <c r="AS51" s="292">
        <f t="shared" si="7"/>
        <v>0.24652777777777779</v>
      </c>
      <c r="AT51" s="291">
        <f t="shared" si="8"/>
        <v>236.66666666666666</v>
      </c>
      <c r="AU51" s="272">
        <f t="shared" si="9"/>
        <v>236.66666666666666</v>
      </c>
      <c r="AW51" s="273">
        <f t="shared" si="10"/>
        <v>5515.0009815000012</v>
      </c>
      <c r="AX51" s="274">
        <f t="shared" si="11"/>
        <v>236.66666666666666</v>
      </c>
      <c r="AY51" s="275">
        <v>1</v>
      </c>
      <c r="AZ51" s="276">
        <f t="shared" si="12"/>
        <v>236.66666666666666</v>
      </c>
      <c r="BA51" s="293">
        <f t="shared" si="13"/>
        <v>5751.6676481666682</v>
      </c>
      <c r="BB51" s="275">
        <v>1</v>
      </c>
      <c r="BU51" s="293">
        <v>80</v>
      </c>
      <c r="BV51" s="293">
        <f t="shared" si="14"/>
        <v>5831.6676481666682</v>
      </c>
    </row>
    <row r="52" spans="1:74" ht="25.5" customHeight="1" x14ac:dyDescent="0.3">
      <c r="A52" s="224" t="s">
        <v>270</v>
      </c>
      <c r="B52" s="225" t="s">
        <v>1409</v>
      </c>
      <c r="C52" s="228">
        <v>180</v>
      </c>
      <c r="D52" s="263">
        <f>C52*C5</f>
        <v>3526.2</v>
      </c>
      <c r="E52" s="228">
        <v>90</v>
      </c>
      <c r="F52" s="263">
        <f>E52*F5</f>
        <v>1763.1</v>
      </c>
      <c r="G52" s="227">
        <f t="shared" si="0"/>
        <v>5289.2999999999993</v>
      </c>
      <c r="H52" s="228">
        <v>9.6999999999999993</v>
      </c>
      <c r="I52" s="227">
        <f>H52*PARÂMETROS!$E$22</f>
        <v>410.98899999999992</v>
      </c>
      <c r="J52" s="228">
        <v>0.96</v>
      </c>
      <c r="K52" s="227">
        <f>J52*PARÂMETROS!$E$22</f>
        <v>40.675199999999997</v>
      </c>
      <c r="L52" s="228">
        <v>2E-3</v>
      </c>
      <c r="M52" s="230">
        <f>L52*PARÂMETROS!$E$8</f>
        <v>6.1780000000000002E-2</v>
      </c>
      <c r="N52" s="228">
        <f t="shared" si="1"/>
        <v>9.6999999999999989E-2</v>
      </c>
      <c r="O52" s="230">
        <f>N52*PARÂMETROS!$E$8</f>
        <v>2.9963299999999995</v>
      </c>
      <c r="P52" s="228">
        <f t="shared" si="2"/>
        <v>9.6000000000000002E-2</v>
      </c>
      <c r="Q52" s="230">
        <f>P52*PARÂMETROS!$E$8</f>
        <v>2.9654400000000001</v>
      </c>
      <c r="R52" s="228">
        <f t="shared" si="3"/>
        <v>9.7000000000000003E-3</v>
      </c>
      <c r="S52" s="230">
        <f>R52*PARÂMETROS!$E$8</f>
        <v>0.29963300000000004</v>
      </c>
      <c r="T52" s="231">
        <v>2.5</v>
      </c>
      <c r="U52" s="230">
        <f>T52*PARÂMETROS!$E$27</f>
        <v>7.5</v>
      </c>
      <c r="V52" s="299">
        <v>10.039999999999999</v>
      </c>
      <c r="W52" s="230">
        <f>V52*PARÂMETROS!$E$30</f>
        <v>58.633599999999994</v>
      </c>
      <c r="X52" s="299">
        <v>2.1680000000000001</v>
      </c>
      <c r="Y52" s="230">
        <f>X52*PARÂMETROS!$E$31</f>
        <v>32.845200000000006</v>
      </c>
      <c r="Z52" s="228">
        <f t="shared" si="4"/>
        <v>9.6999999999999989E-2</v>
      </c>
      <c r="AA52" s="230">
        <f>Z52*PARÂMETROS!$E$8</f>
        <v>2.9963299999999995</v>
      </c>
      <c r="AB52" s="228">
        <f t="shared" si="5"/>
        <v>9.5999999999999992E-3</v>
      </c>
      <c r="AC52" s="230">
        <f>AB52*PARÂMETROS!$E$8</f>
        <v>0.29654399999999997</v>
      </c>
      <c r="AF52" s="232" t="s">
        <v>1431</v>
      </c>
      <c r="AG52" s="264">
        <f t="shared" si="6"/>
        <v>5849.5590569999986</v>
      </c>
      <c r="AH52" s="23"/>
      <c r="AI52" s="224" t="s">
        <v>270</v>
      </c>
      <c r="AJ52" s="291">
        <f>PARÂMETROS!$H$3</f>
        <v>40</v>
      </c>
      <c r="AK52" s="267">
        <v>8.3333333333333301E-2</v>
      </c>
      <c r="AL52" s="267">
        <v>2.7777777777777801E-2</v>
      </c>
      <c r="AM52" s="267">
        <v>6.9444444444444503E-2</v>
      </c>
      <c r="AN52" s="267">
        <v>6.9444444444444397E-3</v>
      </c>
      <c r="AO52" s="267">
        <v>2.0833333333333301E-2</v>
      </c>
      <c r="AP52" s="267">
        <v>6.9444444444444397E-3</v>
      </c>
      <c r="AQ52" s="267">
        <v>3.125E-2</v>
      </c>
      <c r="AR52" s="271">
        <v>1</v>
      </c>
      <c r="AS52" s="292">
        <f t="shared" si="7"/>
        <v>0.24652777777777779</v>
      </c>
      <c r="AT52" s="291">
        <f t="shared" si="8"/>
        <v>236.66666666666666</v>
      </c>
      <c r="AU52" s="272">
        <f t="shared" si="9"/>
        <v>236.66666666666666</v>
      </c>
      <c r="AW52" s="273">
        <f t="shared" si="10"/>
        <v>5849.5590569999986</v>
      </c>
      <c r="AX52" s="274">
        <f t="shared" si="11"/>
        <v>236.66666666666666</v>
      </c>
      <c r="AY52" s="275">
        <v>1</v>
      </c>
      <c r="AZ52" s="276">
        <f t="shared" si="12"/>
        <v>236.66666666666666</v>
      </c>
      <c r="BA52" s="293">
        <f t="shared" si="13"/>
        <v>6086.2257236666655</v>
      </c>
      <c r="BB52" s="275">
        <v>1</v>
      </c>
      <c r="BU52" s="293">
        <v>80</v>
      </c>
      <c r="BV52" s="293">
        <f t="shared" si="14"/>
        <v>6166.2257236666655</v>
      </c>
    </row>
    <row r="53" spans="1:74" ht="25.5" customHeight="1" x14ac:dyDescent="0.3">
      <c r="A53" s="224" t="s">
        <v>274</v>
      </c>
      <c r="B53" s="225" t="s">
        <v>1409</v>
      </c>
      <c r="C53" s="228">
        <v>200</v>
      </c>
      <c r="D53" s="263">
        <f>C53*C5</f>
        <v>3918</v>
      </c>
      <c r="E53" s="228">
        <v>100</v>
      </c>
      <c r="F53" s="263">
        <f>E53*F5</f>
        <v>1959</v>
      </c>
      <c r="G53" s="227">
        <f t="shared" si="0"/>
        <v>5877</v>
      </c>
      <c r="H53" s="228">
        <v>10.4</v>
      </c>
      <c r="I53" s="227">
        <f>H53*PARÂMETROS!$E$22</f>
        <v>440.64799999999997</v>
      </c>
      <c r="J53" s="228">
        <v>1.079</v>
      </c>
      <c r="K53" s="227">
        <f>J53*PARÂMETROS!$E$22</f>
        <v>45.717229999999994</v>
      </c>
      <c r="L53" s="228">
        <v>2E-3</v>
      </c>
      <c r="M53" s="230">
        <f>L53*PARÂMETROS!$E$8</f>
        <v>6.1780000000000002E-2</v>
      </c>
      <c r="N53" s="228">
        <f t="shared" si="1"/>
        <v>0.10400000000000001</v>
      </c>
      <c r="O53" s="230">
        <f>N53*PARÂMETROS!$E$8</f>
        <v>3.2125600000000003</v>
      </c>
      <c r="P53" s="228">
        <f t="shared" si="2"/>
        <v>0.1079</v>
      </c>
      <c r="Q53" s="230">
        <f>P53*PARÂMETROS!$E$8</f>
        <v>3.3330310000000001</v>
      </c>
      <c r="R53" s="228">
        <f t="shared" si="3"/>
        <v>1.0400000000000001E-2</v>
      </c>
      <c r="S53" s="230">
        <f>R53*PARÂMETROS!$E$8</f>
        <v>0.32125600000000004</v>
      </c>
      <c r="T53" s="231">
        <v>2.6</v>
      </c>
      <c r="U53" s="230">
        <f>T53*PARÂMETROS!$E$27</f>
        <v>7.8000000000000007</v>
      </c>
      <c r="V53" s="299">
        <v>10.84</v>
      </c>
      <c r="W53" s="230">
        <f>V53*PARÂMETROS!$E$30</f>
        <v>63.305599999999998</v>
      </c>
      <c r="X53" s="299">
        <v>2.488</v>
      </c>
      <c r="Y53" s="230">
        <f>X53*PARÂMETROS!$E$31</f>
        <v>37.693199999999997</v>
      </c>
      <c r="Z53" s="228">
        <f t="shared" si="4"/>
        <v>0.10400000000000001</v>
      </c>
      <c r="AA53" s="230">
        <f>Z53*PARÂMETROS!$E$8</f>
        <v>3.2125600000000003</v>
      </c>
      <c r="AB53" s="228">
        <f t="shared" si="5"/>
        <v>1.0789999999999999E-2</v>
      </c>
      <c r="AC53" s="230">
        <f>AB53*PARÂMETROS!$E$8</f>
        <v>0.33330309999999996</v>
      </c>
      <c r="AD53" s="23"/>
      <c r="AE53" s="23"/>
      <c r="AF53" s="232" t="s">
        <v>1432</v>
      </c>
      <c r="AG53" s="264">
        <f t="shared" si="6"/>
        <v>6482.6385200999994</v>
      </c>
      <c r="AH53" s="23"/>
      <c r="AI53" s="224" t="s">
        <v>274</v>
      </c>
      <c r="AJ53" s="291">
        <f>PARÂMETROS!$H$3</f>
        <v>40</v>
      </c>
      <c r="AK53" s="267">
        <v>8.3333333333333301E-2</v>
      </c>
      <c r="AL53" s="267">
        <v>2.7777777777777801E-2</v>
      </c>
      <c r="AM53" s="267">
        <v>6.9444444444444503E-2</v>
      </c>
      <c r="AN53" s="267">
        <v>6.9444444444444397E-3</v>
      </c>
      <c r="AO53" s="267">
        <v>2.0833333333333301E-2</v>
      </c>
      <c r="AP53" s="267">
        <v>6.9444444444444397E-3</v>
      </c>
      <c r="AQ53" s="267">
        <v>3.125E-2</v>
      </c>
      <c r="AR53" s="271">
        <v>1</v>
      </c>
      <c r="AS53" s="292">
        <f t="shared" si="7"/>
        <v>0.24652777777777779</v>
      </c>
      <c r="AT53" s="291">
        <f t="shared" si="8"/>
        <v>236.66666666666666</v>
      </c>
      <c r="AU53" s="272">
        <f t="shared" si="9"/>
        <v>236.66666666666666</v>
      </c>
      <c r="AW53" s="273">
        <f t="shared" si="10"/>
        <v>6482.6385200999994</v>
      </c>
      <c r="AX53" s="274">
        <f t="shared" si="11"/>
        <v>236.66666666666666</v>
      </c>
      <c r="AY53" s="275">
        <v>1</v>
      </c>
      <c r="AZ53" s="276">
        <f t="shared" si="12"/>
        <v>236.66666666666666</v>
      </c>
      <c r="BA53" s="293">
        <f t="shared" si="13"/>
        <v>6719.3051867666663</v>
      </c>
      <c r="BB53" s="275">
        <v>1</v>
      </c>
      <c r="BU53" s="293">
        <v>80</v>
      </c>
      <c r="BV53" s="293">
        <f t="shared" si="14"/>
        <v>6799.3051867666663</v>
      </c>
    </row>
    <row r="54" spans="1:74" ht="25.5" customHeight="1" x14ac:dyDescent="0.3">
      <c r="A54" s="224" t="s">
        <v>278</v>
      </c>
      <c r="B54" s="225" t="s">
        <v>1409</v>
      </c>
      <c r="C54" s="228">
        <v>235</v>
      </c>
      <c r="D54" s="263">
        <f>C54*C5</f>
        <v>4603.6499999999996</v>
      </c>
      <c r="E54" s="228">
        <v>117.5</v>
      </c>
      <c r="F54" s="263">
        <f>E54*F5</f>
        <v>2301.8249999999998</v>
      </c>
      <c r="G54" s="227">
        <f t="shared" si="0"/>
        <v>6905.4749999999995</v>
      </c>
      <c r="H54" s="228">
        <v>11.7</v>
      </c>
      <c r="I54" s="227">
        <f>H54*PARÂMETROS!$E$22</f>
        <v>495.72899999999993</v>
      </c>
      <c r="J54" s="228">
        <v>1.1599999999999999</v>
      </c>
      <c r="K54" s="227">
        <f>J54*PARÂMETROS!$E$22</f>
        <v>49.149199999999993</v>
      </c>
      <c r="L54" s="228">
        <v>2E-3</v>
      </c>
      <c r="M54" s="230">
        <f>L54*PARÂMETROS!$E$8</f>
        <v>6.1780000000000002E-2</v>
      </c>
      <c r="N54" s="228">
        <f t="shared" si="1"/>
        <v>0.11699999999999999</v>
      </c>
      <c r="O54" s="230">
        <f>N54*PARÂMETROS!$E$8</f>
        <v>3.6141299999999998</v>
      </c>
      <c r="P54" s="228">
        <f t="shared" si="2"/>
        <v>0.11599999999999999</v>
      </c>
      <c r="Q54" s="230">
        <f>P54*PARÂMETROS!$E$8</f>
        <v>3.58324</v>
      </c>
      <c r="R54" s="228">
        <f t="shared" si="3"/>
        <v>1.17E-2</v>
      </c>
      <c r="S54" s="230">
        <f>R54*PARÂMETROS!$E$8</f>
        <v>0.36141300000000004</v>
      </c>
      <c r="T54" s="231">
        <v>2.7</v>
      </c>
      <c r="U54" s="230">
        <f>T54*PARÂMETROS!$E$27</f>
        <v>8.1000000000000014</v>
      </c>
      <c r="V54" s="299">
        <v>12.44</v>
      </c>
      <c r="W54" s="230">
        <f>V54*PARÂMETROS!$E$30</f>
        <v>72.649599999999992</v>
      </c>
      <c r="X54" s="299">
        <v>2.7509999999999999</v>
      </c>
      <c r="Y54" s="230">
        <f>X54*PARÂMETROS!$E$31</f>
        <v>41.67765</v>
      </c>
      <c r="Z54" s="228">
        <f t="shared" si="4"/>
        <v>0.11699999999999999</v>
      </c>
      <c r="AA54" s="230">
        <f>Z54*PARÂMETROS!$E$8</f>
        <v>3.6141299999999998</v>
      </c>
      <c r="AB54" s="228">
        <f t="shared" si="5"/>
        <v>1.1599999999999999E-2</v>
      </c>
      <c r="AC54" s="230">
        <f>AB54*PARÂMETROS!$E$8</f>
        <v>0.35832399999999998</v>
      </c>
      <c r="AF54" s="232" t="s">
        <v>1433</v>
      </c>
      <c r="AG54" s="264">
        <f t="shared" si="6"/>
        <v>7584.3734669999985</v>
      </c>
      <c r="AH54" s="23"/>
      <c r="AI54" s="224" t="s">
        <v>278</v>
      </c>
      <c r="AJ54" s="291">
        <f>PARÂMETROS!$H$3</f>
        <v>40</v>
      </c>
      <c r="AK54" s="267">
        <v>8.3333333333333301E-2</v>
      </c>
      <c r="AL54" s="267">
        <v>2.7777777777777801E-2</v>
      </c>
      <c r="AM54" s="267">
        <v>6.9444444444444503E-2</v>
      </c>
      <c r="AN54" s="267">
        <v>6.9444444444444397E-3</v>
      </c>
      <c r="AO54" s="267">
        <v>2.0833333333333301E-2</v>
      </c>
      <c r="AP54" s="267">
        <v>6.9444444444444397E-3</v>
      </c>
      <c r="AQ54" s="267">
        <v>3.125E-2</v>
      </c>
      <c r="AR54" s="271">
        <v>1</v>
      </c>
      <c r="AS54" s="292">
        <f t="shared" si="7"/>
        <v>0.24652777777777779</v>
      </c>
      <c r="AT54" s="291">
        <f t="shared" si="8"/>
        <v>236.66666666666666</v>
      </c>
      <c r="AU54" s="272">
        <f t="shared" si="9"/>
        <v>236.66666666666666</v>
      </c>
      <c r="AW54" s="273">
        <f t="shared" si="10"/>
        <v>7584.3734669999985</v>
      </c>
      <c r="AX54" s="274">
        <f t="shared" si="11"/>
        <v>236.66666666666666</v>
      </c>
      <c r="AY54" s="275">
        <v>1</v>
      </c>
      <c r="AZ54" s="276">
        <f t="shared" si="12"/>
        <v>236.66666666666666</v>
      </c>
      <c r="BA54" s="293">
        <f t="shared" si="13"/>
        <v>7821.0401336666655</v>
      </c>
      <c r="BB54" s="275">
        <v>1</v>
      </c>
      <c r="BU54" s="293">
        <v>80</v>
      </c>
      <c r="BV54" s="293">
        <f t="shared" si="14"/>
        <v>7901.0401336666655</v>
      </c>
    </row>
    <row r="55" spans="1:74" s="223" customFormat="1" ht="14.25" customHeight="1" x14ac:dyDescent="0.3">
      <c r="A55" s="43"/>
      <c r="B55" s="43"/>
      <c r="C55" s="43"/>
      <c r="D55" s="246"/>
      <c r="E55" s="43"/>
      <c r="F55" s="246"/>
      <c r="G55" s="246"/>
      <c r="H55" s="43"/>
      <c r="I55" s="43"/>
      <c r="J55" s="246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305"/>
      <c r="AJ55" s="280"/>
      <c r="AK55" s="280"/>
      <c r="AL55" s="280"/>
      <c r="AM55" s="280"/>
      <c r="AN55" s="280"/>
      <c r="AO55" s="280"/>
      <c r="AP55" s="280"/>
      <c r="AQ55" s="280"/>
      <c r="AR55" s="280"/>
      <c r="AS55" s="280"/>
      <c r="AT55" s="280"/>
      <c r="AU55" s="280"/>
      <c r="AV55" s="280"/>
      <c r="AW55" s="280"/>
      <c r="AX55" s="280"/>
      <c r="BA55" s="280"/>
      <c r="BB55" s="280"/>
      <c r="BC55" s="280"/>
      <c r="BD55" s="280"/>
      <c r="BE55" s="280"/>
      <c r="BF55" s="280"/>
      <c r="BG55" s="280"/>
      <c r="BH55" s="280"/>
      <c r="BI55" s="280"/>
      <c r="BJ55" s="280"/>
      <c r="BK55" s="280"/>
      <c r="BL55" s="280"/>
      <c r="BM55" s="280"/>
      <c r="BN55" s="280"/>
      <c r="BO55" s="280"/>
      <c r="BP55" s="280"/>
      <c r="BQ55" s="280"/>
      <c r="BR55" s="280"/>
      <c r="BS55" s="280"/>
    </row>
    <row r="56" spans="1:74" s="223" customFormat="1" ht="14.25" customHeight="1" x14ac:dyDescent="0.3">
      <c r="A56" s="43"/>
      <c r="B56" s="43"/>
      <c r="C56" s="43"/>
      <c r="D56" s="246"/>
      <c r="E56" s="43"/>
      <c r="F56" s="246"/>
      <c r="G56" s="246"/>
      <c r="H56" s="43"/>
      <c r="I56" s="43"/>
      <c r="J56" s="246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305"/>
      <c r="AJ56" s="280"/>
      <c r="AK56" s="280"/>
      <c r="AL56" s="280"/>
      <c r="AM56" s="280"/>
      <c r="AN56" s="280"/>
      <c r="AO56" s="280"/>
      <c r="AP56" s="280"/>
      <c r="AQ56" s="280"/>
      <c r="AR56" s="280"/>
      <c r="AS56" s="280"/>
      <c r="AT56" s="280"/>
      <c r="AU56" s="280"/>
      <c r="AV56" s="280"/>
      <c r="AW56" s="280"/>
      <c r="AX56" s="280"/>
      <c r="BA56" s="280"/>
      <c r="BB56" s="280"/>
      <c r="BC56" s="280"/>
      <c r="BD56" s="280"/>
      <c r="BE56" s="280"/>
      <c r="BF56" s="280"/>
      <c r="BG56" s="280"/>
      <c r="BH56" s="280"/>
      <c r="BI56" s="280"/>
      <c r="BJ56" s="280"/>
      <c r="BK56" s="280"/>
      <c r="BL56" s="280"/>
      <c r="BM56" s="280"/>
      <c r="BN56" s="280"/>
      <c r="BO56" s="280"/>
      <c r="BP56" s="280"/>
      <c r="BQ56" s="280"/>
      <c r="BR56" s="280"/>
      <c r="BS56" s="280"/>
    </row>
    <row r="57" spans="1:74" s="223" customFormat="1" ht="14.25" customHeight="1" x14ac:dyDescent="0.3">
      <c r="A57" s="43"/>
      <c r="B57" s="43"/>
      <c r="C57" s="43"/>
      <c r="D57" s="246"/>
      <c r="E57" s="43"/>
      <c r="F57" s="246"/>
      <c r="G57" s="246"/>
      <c r="H57" s="43"/>
      <c r="I57" s="43"/>
      <c r="J57" s="246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305"/>
      <c r="AJ57" s="280"/>
      <c r="AK57" s="280"/>
      <c r="AL57" s="280"/>
      <c r="AM57" s="280"/>
      <c r="AN57" s="280"/>
      <c r="AO57" s="280"/>
      <c r="AP57" s="280"/>
      <c r="AQ57" s="280"/>
      <c r="AR57" s="280"/>
      <c r="AS57" s="280"/>
      <c r="AT57" s="280"/>
      <c r="AU57" s="280"/>
      <c r="AV57" s="280"/>
      <c r="AW57" s="280"/>
      <c r="AX57" s="280"/>
      <c r="BA57" s="280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  <c r="BR57" s="280"/>
      <c r="BS57" s="280"/>
    </row>
    <row r="58" spans="1:74" s="223" customFormat="1" ht="14.25" customHeight="1" x14ac:dyDescent="0.3">
      <c r="A58" s="43"/>
      <c r="B58" s="43"/>
      <c r="C58" s="43"/>
      <c r="D58" s="246"/>
      <c r="E58" s="43"/>
      <c r="F58" s="246"/>
      <c r="G58" s="246"/>
      <c r="H58" s="43"/>
      <c r="I58" s="43"/>
      <c r="J58" s="246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305"/>
      <c r="AJ58" s="280"/>
      <c r="AK58" s="280"/>
      <c r="AL58" s="280"/>
      <c r="AM58" s="280"/>
      <c r="AN58" s="280"/>
      <c r="AO58" s="280"/>
      <c r="AP58" s="280"/>
      <c r="AQ58" s="280"/>
      <c r="AR58" s="280"/>
      <c r="AS58" s="280"/>
      <c r="AT58" s="280"/>
      <c r="AU58" s="280"/>
      <c r="AV58" s="280"/>
      <c r="AW58" s="280"/>
      <c r="AX58" s="280"/>
      <c r="BA58" s="280"/>
      <c r="BB58" s="280"/>
      <c r="BC58" s="280"/>
      <c r="BD58" s="280"/>
      <c r="BE58" s="280"/>
      <c r="BF58" s="280"/>
      <c r="BG58" s="280"/>
      <c r="BH58" s="280"/>
      <c r="BI58" s="280"/>
      <c r="BJ58" s="280"/>
      <c r="BK58" s="280"/>
      <c r="BL58" s="280"/>
      <c r="BM58" s="280"/>
      <c r="BN58" s="280"/>
      <c r="BO58" s="280"/>
      <c r="BP58" s="280"/>
      <c r="BQ58" s="280"/>
      <c r="BR58" s="280"/>
      <c r="BS58" s="280"/>
    </row>
    <row r="59" spans="1:74" ht="14.25" customHeight="1" x14ac:dyDescent="0.3">
      <c r="A59" s="43"/>
      <c r="B59" s="43"/>
      <c r="C59" s="43"/>
      <c r="D59" s="246"/>
      <c r="E59" s="43"/>
      <c r="F59" s="246"/>
      <c r="G59" s="246"/>
      <c r="H59" s="43"/>
      <c r="I59" s="43"/>
      <c r="J59" s="246"/>
      <c r="K59" s="43"/>
      <c r="L59" s="43"/>
      <c r="M59" s="43"/>
      <c r="N59" s="43"/>
    </row>
  </sheetData>
  <autoFilter ref="A6:BQ54" xr:uid="{00000000-0009-0000-0000-000010000000}"/>
  <mergeCells count="29">
    <mergeCell ref="BB2:BF2"/>
    <mergeCell ref="A3:G3"/>
    <mergeCell ref="H3:M3"/>
    <mergeCell ref="N3:S3"/>
    <mergeCell ref="T3:U3"/>
    <mergeCell ref="V3:W3"/>
    <mergeCell ref="X3:Y3"/>
    <mergeCell ref="Z3:AC3"/>
    <mergeCell ref="AF4:AG5"/>
    <mergeCell ref="A2:AC2"/>
    <mergeCell ref="AX2:AZ3"/>
    <mergeCell ref="AI4:AT5"/>
    <mergeCell ref="AX4:AZ5"/>
    <mergeCell ref="D5:E5"/>
    <mergeCell ref="F5:G5"/>
    <mergeCell ref="W4:W5"/>
    <mergeCell ref="X4:X5"/>
    <mergeCell ref="Y4:Y5"/>
    <mergeCell ref="Z4:AA5"/>
    <mergeCell ref="AB4:AC5"/>
    <mergeCell ref="N4:P5"/>
    <mergeCell ref="Q4:S5"/>
    <mergeCell ref="T4:T5"/>
    <mergeCell ref="U4:U5"/>
    <mergeCell ref="V4:V5"/>
    <mergeCell ref="D4:E4"/>
    <mergeCell ref="F4:G4"/>
    <mergeCell ref="H4:J5"/>
    <mergeCell ref="K4:M5"/>
  </mergeCells>
  <hyperlinks>
    <hyperlink ref="A5" location="PAINEL!A1" tooltip="Voltar ao Painel de Navegação" display="⬅ PAINEL" xr:uid="{DDB886D1-E691-471B-8E71-F425B1C55F64}"/>
    <hyperlink ref="C2" location="PAINEL!A1" tooltip="Voltar ao Painel de Navegação" display="⬅ PAINEL" xr:uid="{FEB21BCE-D0CA-43B6-A3F0-08F9049257E9}"/>
    <hyperlink ref="A1" location="PAINEL!A1" tooltip="Voltar ao Painel de Navegação" display="⬅ PAINEL" xr:uid="{376E133D-C58C-4C98-AD21-CE70CFC0531D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pageSetUpPr fitToPage="1"/>
  </sheetPr>
  <dimension ref="A1:BV59"/>
  <sheetViews>
    <sheetView topLeftCell="AJ1" zoomScale="85" zoomScaleNormal="85" workbookViewId="0">
      <pane ySplit="5" topLeftCell="A6" activePane="bottomLeft" state="frozen"/>
      <selection activeCell="AD1" sqref="AD1"/>
      <selection pane="bottomLeft" activeCell="BB2" sqref="BB2:BF2"/>
    </sheetView>
  </sheetViews>
  <sheetFormatPr defaultColWidth="8.5546875" defaultRowHeight="14.4" x14ac:dyDescent="0.3"/>
  <cols>
    <col min="1" max="1" width="42.77734375" style="184" bestFit="1" customWidth="1"/>
    <col min="2" max="2" width="31.33203125" style="185" customWidth="1"/>
    <col min="3" max="3" width="15.6640625" style="185" customWidth="1"/>
    <col min="4" max="4" width="16.109375" style="186" customWidth="1"/>
    <col min="5" max="5" width="14.6640625" style="185" customWidth="1"/>
    <col min="6" max="6" width="19.109375" style="186" customWidth="1"/>
    <col min="7" max="7" width="20.33203125" style="186" customWidth="1"/>
    <col min="8" max="9" width="23.6640625" style="185" customWidth="1"/>
    <col min="10" max="10" width="23" style="186" customWidth="1"/>
    <col min="11" max="11" width="24" style="185" customWidth="1"/>
    <col min="12" max="12" width="20.33203125" style="187" customWidth="1"/>
    <col min="13" max="13" width="19.109375" style="188" customWidth="1"/>
    <col min="14" max="14" width="21.88671875" style="188" customWidth="1"/>
    <col min="15" max="15" width="20" style="43" customWidth="1"/>
    <col min="16" max="16" width="21.109375" style="43" customWidth="1"/>
    <col min="17" max="17" width="24.88671875" style="43" customWidth="1"/>
    <col min="18" max="18" width="17.5546875" style="43" customWidth="1"/>
    <col min="19" max="19" width="17" style="43" customWidth="1"/>
    <col min="20" max="20" width="21.88671875" style="43" customWidth="1"/>
    <col min="21" max="21" width="13.44140625" style="43" customWidth="1"/>
    <col min="22" max="22" width="41.88671875" style="43" customWidth="1"/>
    <col min="23" max="23" width="27.44140625" style="43" customWidth="1"/>
    <col min="24" max="24" width="25" style="43" customWidth="1"/>
    <col min="25" max="25" width="18.6640625" style="43" customWidth="1"/>
    <col min="26" max="28" width="27.6640625" style="43" customWidth="1"/>
    <col min="29" max="29" width="21.109375" style="43" customWidth="1"/>
    <col min="30" max="31" width="13.44140625" style="43" customWidth="1"/>
    <col min="32" max="32" width="17.6640625" style="43" customWidth="1"/>
    <col min="33" max="33" width="20.5546875" style="43" customWidth="1"/>
    <col min="34" max="46" width="8.88671875" style="23" customWidth="1"/>
    <col min="47" max="47" width="13.88671875" style="23" customWidth="1"/>
    <col min="48" max="48" width="8.88671875" style="23" customWidth="1"/>
    <col min="49" max="50" width="14" style="23" customWidth="1"/>
    <col min="51" max="51" width="8" style="23" customWidth="1"/>
    <col min="52" max="53" width="14" style="23" customWidth="1"/>
    <col min="54" max="54" width="9.6640625" style="23" customWidth="1"/>
    <col min="55" max="69" width="14" style="23" customWidth="1"/>
  </cols>
  <sheetData>
    <row r="1" spans="1:74" ht="19.95" customHeight="1" x14ac:dyDescent="0.3">
      <c r="A1" s="357" t="s">
        <v>1757</v>
      </c>
    </row>
    <row r="2" spans="1:74" ht="75" customHeight="1" x14ac:dyDescent="0.3">
      <c r="A2" s="485" t="s">
        <v>1764</v>
      </c>
      <c r="B2" s="485"/>
      <c r="C2" s="496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  <c r="AA2" s="485"/>
      <c r="AB2" s="485"/>
      <c r="AC2" s="485"/>
      <c r="AX2" s="466" t="s">
        <v>1217</v>
      </c>
      <c r="AY2" s="466"/>
      <c r="AZ2" s="466"/>
      <c r="BB2" s="497"/>
      <c r="BC2" s="497"/>
      <c r="BD2" s="497"/>
      <c r="BE2" s="497"/>
      <c r="BF2" s="497"/>
    </row>
    <row r="3" spans="1:74" ht="78" customHeight="1" x14ac:dyDescent="0.3">
      <c r="A3" s="498" t="s">
        <v>1359</v>
      </c>
      <c r="B3" s="498"/>
      <c r="C3" s="498"/>
      <c r="D3" s="498"/>
      <c r="E3" s="498"/>
      <c r="F3" s="498"/>
      <c r="G3" s="498"/>
      <c r="H3" s="485" t="s">
        <v>1435</v>
      </c>
      <c r="I3" s="485"/>
      <c r="J3" s="485"/>
      <c r="K3" s="485"/>
      <c r="L3" s="485"/>
      <c r="M3" s="485"/>
      <c r="N3" s="485" t="s">
        <v>1361</v>
      </c>
      <c r="O3" s="485"/>
      <c r="P3" s="485"/>
      <c r="Q3" s="485"/>
      <c r="R3" s="485"/>
      <c r="S3" s="485"/>
      <c r="T3" s="485" t="s">
        <v>1362</v>
      </c>
      <c r="U3" s="485"/>
      <c r="V3" s="485" t="s">
        <v>1472</v>
      </c>
      <c r="W3" s="485"/>
      <c r="X3" s="485" t="s">
        <v>1473</v>
      </c>
      <c r="Y3" s="485"/>
      <c r="Z3" s="485" t="s">
        <v>1436</v>
      </c>
      <c r="AA3" s="485"/>
      <c r="AB3" s="485"/>
      <c r="AC3" s="485"/>
      <c r="AD3" s="23"/>
      <c r="AE3" s="23"/>
      <c r="AF3" s="23"/>
      <c r="AG3" s="23"/>
      <c r="AX3" s="466"/>
      <c r="AY3" s="466"/>
      <c r="AZ3" s="466"/>
    </row>
    <row r="4" spans="1:74" ht="39.75" customHeight="1" x14ac:dyDescent="0.3">
      <c r="A4" s="321" t="s">
        <v>1758</v>
      </c>
      <c r="B4" s="320"/>
      <c r="C4" s="250" t="s">
        <v>1363</v>
      </c>
      <c r="D4" s="493" t="s">
        <v>1364</v>
      </c>
      <c r="E4" s="493"/>
      <c r="F4" s="494" t="s">
        <v>1365</v>
      </c>
      <c r="G4" s="494"/>
      <c r="H4" s="505" t="s">
        <v>1843</v>
      </c>
      <c r="I4" s="505"/>
      <c r="J4" s="505"/>
      <c r="K4" s="478">
        <f>PARÂMETROS!$E$22</f>
        <v>42.37</v>
      </c>
      <c r="L4" s="478"/>
      <c r="M4" s="478"/>
      <c r="N4" s="504" t="s">
        <v>1850</v>
      </c>
      <c r="O4" s="504"/>
      <c r="P4" s="504"/>
      <c r="Q4" s="492">
        <f>PARÂMETROS!$E$8</f>
        <v>30.89</v>
      </c>
      <c r="R4" s="492"/>
      <c r="S4" s="492"/>
      <c r="T4" s="479" t="s">
        <v>1833</v>
      </c>
      <c r="U4" s="480">
        <f>PARÂMETROS!$E$27</f>
        <v>3</v>
      </c>
      <c r="V4" s="504" t="s">
        <v>1851</v>
      </c>
      <c r="W4" s="492">
        <f>PARÂMETROS!$E$30</f>
        <v>5.84</v>
      </c>
      <c r="X4" s="479" t="s">
        <v>1849</v>
      </c>
      <c r="Y4" s="480">
        <f>PARÂMETROS!$E$31</f>
        <v>15.15</v>
      </c>
      <c r="Z4" s="500" t="s">
        <v>1847</v>
      </c>
      <c r="AA4" s="500"/>
      <c r="AB4" s="502">
        <f>PARÂMETROS!$E$26</f>
        <v>89.3</v>
      </c>
      <c r="AC4" s="502"/>
      <c r="AF4" s="472" t="s">
        <v>1852</v>
      </c>
      <c r="AG4" s="472"/>
      <c r="AI4" s="509" t="s">
        <v>1475</v>
      </c>
      <c r="AJ4" s="509"/>
      <c r="AK4" s="509"/>
      <c r="AL4" s="509"/>
      <c r="AM4" s="509"/>
      <c r="AN4" s="509"/>
      <c r="AO4" s="509"/>
      <c r="AP4" s="509"/>
      <c r="AQ4" s="509"/>
      <c r="AR4" s="509"/>
      <c r="AS4" s="509"/>
      <c r="AT4" s="509"/>
      <c r="AU4" s="297"/>
      <c r="AX4" s="499" t="s">
        <v>1459</v>
      </c>
      <c r="AY4" s="499"/>
      <c r="AZ4" s="499"/>
    </row>
    <row r="5" spans="1:74" ht="82.5" customHeight="1" x14ac:dyDescent="0.3">
      <c r="A5" s="359"/>
      <c r="B5" s="362"/>
      <c r="C5" s="252">
        <f>PARÂMETROS!$E$23</f>
        <v>19.59</v>
      </c>
      <c r="D5" s="490">
        <f>PARÂMETROS!$E$24</f>
        <v>19.59</v>
      </c>
      <c r="E5" s="490"/>
      <c r="F5" s="491">
        <f>PARÂMETROS!$E$25</f>
        <v>19.59</v>
      </c>
      <c r="G5" s="491"/>
      <c r="H5" s="505"/>
      <c r="I5" s="505"/>
      <c r="J5" s="505"/>
      <c r="K5" s="478"/>
      <c r="L5" s="478"/>
      <c r="M5" s="478"/>
      <c r="N5" s="504"/>
      <c r="O5" s="504"/>
      <c r="P5" s="504"/>
      <c r="Q5" s="492"/>
      <c r="R5" s="492"/>
      <c r="S5" s="492"/>
      <c r="T5" s="479"/>
      <c r="U5" s="480"/>
      <c r="V5" s="504"/>
      <c r="W5" s="504"/>
      <c r="X5" s="479"/>
      <c r="Y5" s="480"/>
      <c r="Z5" s="500"/>
      <c r="AA5" s="500"/>
      <c r="AB5" s="502"/>
      <c r="AC5" s="502"/>
      <c r="AD5" s="23"/>
      <c r="AE5" s="23"/>
      <c r="AF5" s="472"/>
      <c r="AG5" s="472"/>
      <c r="AI5" s="509"/>
      <c r="AJ5" s="509"/>
      <c r="AK5" s="509"/>
      <c r="AL5" s="509"/>
      <c r="AM5" s="509"/>
      <c r="AN5" s="509"/>
      <c r="AO5" s="509"/>
      <c r="AP5" s="509"/>
      <c r="AQ5" s="509"/>
      <c r="AR5" s="509"/>
      <c r="AS5" s="509"/>
      <c r="AT5" s="509"/>
      <c r="AU5" s="298"/>
      <c r="AX5" s="499"/>
      <c r="AY5" s="499"/>
      <c r="AZ5" s="499"/>
      <c r="BB5" s="366" t="s">
        <v>1816</v>
      </c>
    </row>
    <row r="6" spans="1:74" ht="34.5" customHeight="1" x14ac:dyDescent="0.3">
      <c r="A6" s="204" t="s">
        <v>10</v>
      </c>
      <c r="B6" s="205" t="s">
        <v>1235</v>
      </c>
      <c r="C6" s="206" t="s">
        <v>1369</v>
      </c>
      <c r="D6" s="253" t="s">
        <v>1370</v>
      </c>
      <c r="E6" s="206" t="s">
        <v>1371</v>
      </c>
      <c r="F6" s="253" t="s">
        <v>1372</v>
      </c>
      <c r="G6" s="254" t="s">
        <v>1373</v>
      </c>
      <c r="H6" s="206" t="s">
        <v>1440</v>
      </c>
      <c r="I6" s="253" t="s">
        <v>1441</v>
      </c>
      <c r="J6" s="206" t="s">
        <v>1442</v>
      </c>
      <c r="K6" s="207" t="s">
        <v>1460</v>
      </c>
      <c r="L6" s="206" t="s">
        <v>1240</v>
      </c>
      <c r="M6" s="207" t="s">
        <v>1443</v>
      </c>
      <c r="N6" s="208" t="s">
        <v>1444</v>
      </c>
      <c r="O6" s="209" t="s">
        <v>1445</v>
      </c>
      <c r="P6" s="208" t="s">
        <v>1374</v>
      </c>
      <c r="Q6" s="209" t="s">
        <v>1446</v>
      </c>
      <c r="R6" s="208" t="s">
        <v>1447</v>
      </c>
      <c r="S6" s="209" t="s">
        <v>1448</v>
      </c>
      <c r="T6" s="208" t="s">
        <v>1242</v>
      </c>
      <c r="U6" s="209" t="s">
        <v>1243</v>
      </c>
      <c r="V6" s="208" t="s">
        <v>1461</v>
      </c>
      <c r="W6" s="209" t="s">
        <v>1462</v>
      </c>
      <c r="X6" s="208" t="s">
        <v>1463</v>
      </c>
      <c r="Y6" s="209" t="s">
        <v>1464</v>
      </c>
      <c r="Z6" s="208" t="s">
        <v>1449</v>
      </c>
      <c r="AA6" s="209" t="s">
        <v>1450</v>
      </c>
      <c r="AB6" s="208" t="s">
        <v>1451</v>
      </c>
      <c r="AC6" s="209" t="s">
        <v>1452</v>
      </c>
      <c r="AF6" s="210" t="s">
        <v>10</v>
      </c>
      <c r="AG6" s="211" t="s">
        <v>1120</v>
      </c>
      <c r="AI6" s="285"/>
      <c r="AJ6" s="306" t="s">
        <v>880</v>
      </c>
      <c r="AK6" s="307" t="s">
        <v>1376</v>
      </c>
      <c r="AL6" s="307" t="s">
        <v>1453</v>
      </c>
      <c r="AM6" s="307" t="s">
        <v>1454</v>
      </c>
      <c r="AN6" s="307" t="s">
        <v>1377</v>
      </c>
      <c r="AO6" s="307" t="s">
        <v>1248</v>
      </c>
      <c r="AP6" s="307" t="s">
        <v>1378</v>
      </c>
      <c r="AQ6" s="307" t="s">
        <v>1251</v>
      </c>
      <c r="AR6" s="303" t="s">
        <v>1380</v>
      </c>
      <c r="AS6" s="308" t="s">
        <v>1252</v>
      </c>
      <c r="AT6" s="306" t="s">
        <v>1253</v>
      </c>
      <c r="AU6" s="260" t="s">
        <v>1382</v>
      </c>
      <c r="AW6" s="217" t="s">
        <v>1093</v>
      </c>
      <c r="AX6" s="218" t="s">
        <v>882</v>
      </c>
      <c r="AY6" s="36" t="s">
        <v>954</v>
      </c>
      <c r="AZ6" s="220" t="s">
        <v>955</v>
      </c>
      <c r="BA6" s="48" t="s">
        <v>883</v>
      </c>
      <c r="BB6" s="36" t="s">
        <v>954</v>
      </c>
      <c r="BU6" s="48" t="s">
        <v>957</v>
      </c>
      <c r="BV6" s="48" t="s">
        <v>1383</v>
      </c>
    </row>
    <row r="7" spans="1:74" ht="27" customHeight="1" x14ac:dyDescent="0.3">
      <c r="A7" s="224" t="s">
        <v>196</v>
      </c>
      <c r="B7" s="225" t="s">
        <v>1384</v>
      </c>
      <c r="C7" s="225">
        <v>5.2999999999999999E-2</v>
      </c>
      <c r="D7" s="263">
        <f>C7*D5</f>
        <v>1.03827</v>
      </c>
      <c r="E7" s="225">
        <v>2.4E-2</v>
      </c>
      <c r="F7" s="263">
        <f>E7*F5</f>
        <v>0.47016000000000002</v>
      </c>
      <c r="G7" s="227">
        <f t="shared" ref="G7:G54" si="0">D7+F7</f>
        <v>1.5084300000000002</v>
      </c>
      <c r="H7" s="228">
        <v>0.1</v>
      </c>
      <c r="I7" s="227">
        <f>H7*PARÂMETROS!$E$22</f>
        <v>4.2370000000000001</v>
      </c>
      <c r="J7" s="228">
        <v>3.0000000000000001E-3</v>
      </c>
      <c r="K7" s="227">
        <f>J7*PARÂMETROS!$E$22</f>
        <v>0.12711</v>
      </c>
      <c r="L7" s="228">
        <v>2E-3</v>
      </c>
      <c r="M7" s="230">
        <f>L7*PARÂMETROS!$E$8</f>
        <v>6.1780000000000002E-2</v>
      </c>
      <c r="N7" s="228">
        <f t="shared" ref="N7:N54" si="1">H7*0.01</f>
        <v>1E-3</v>
      </c>
      <c r="O7" s="230">
        <f>N7*PARÂMETROS!$E$8</f>
        <v>3.0890000000000001E-2</v>
      </c>
      <c r="P7" s="228">
        <f t="shared" ref="P7:P54" si="2">0.1 * J7</f>
        <v>3.0000000000000003E-4</v>
      </c>
      <c r="Q7" s="230">
        <f>P7*PARÂMETROS!$E$8</f>
        <v>9.2670000000000009E-3</v>
      </c>
      <c r="R7" s="228">
        <f t="shared" ref="R7:R54" si="3">0.1 * N7</f>
        <v>1E-4</v>
      </c>
      <c r="S7" s="230">
        <f>R7*PARÂMETROS!$E$8</f>
        <v>3.0890000000000002E-3</v>
      </c>
      <c r="T7" s="231">
        <v>0.3</v>
      </c>
      <c r="U7" s="230">
        <f>T7*PARÂMETROS!$E$27</f>
        <v>0.89999999999999991</v>
      </c>
      <c r="V7" s="299">
        <f>0.129/2</f>
        <v>6.4500000000000002E-2</v>
      </c>
      <c r="W7" s="230">
        <f>V7*PARÂMETROS!$E$30</f>
        <v>0.37668000000000001</v>
      </c>
      <c r="X7" s="299">
        <v>2.5999999999999999E-2</v>
      </c>
      <c r="Y7" s="230">
        <f>X7*PARÂMETROS!$E$31</f>
        <v>0.39389999999999997</v>
      </c>
      <c r="Z7" s="228">
        <f t="shared" ref="Z7:Z54" si="4">H7*0.01</f>
        <v>1E-3</v>
      </c>
      <c r="AA7" s="230">
        <f>Z7*PARÂMETROS!$E$8</f>
        <v>3.0890000000000001E-2</v>
      </c>
      <c r="AB7" s="229">
        <f t="shared" ref="AB7:AB54" si="5">J7*0.01</f>
        <v>3.0000000000000001E-5</v>
      </c>
      <c r="AC7" s="230">
        <f>AB7*PARÂMETROS!$E$8</f>
        <v>9.2670000000000003E-4</v>
      </c>
      <c r="AD7" s="23"/>
      <c r="AE7" s="23"/>
      <c r="AF7" s="232" t="s">
        <v>1385</v>
      </c>
      <c r="AG7" s="264">
        <f t="shared" ref="AG7:AG54" si="6">U7+S7+Q7+O7+M7+K7+I7+G7+W7+Y7+AA7+AC7</f>
        <v>7.6799627000000008</v>
      </c>
      <c r="AI7" s="224" t="s">
        <v>196</v>
      </c>
      <c r="AJ7" s="291">
        <f>PARÂMETROS!$H$3</f>
        <v>40</v>
      </c>
      <c r="AK7" s="267">
        <v>2.0833333333333301E-2</v>
      </c>
      <c r="AL7" s="267">
        <v>2.7777777777777801E-2</v>
      </c>
      <c r="AM7" s="267">
        <v>4.1666666666666699E-2</v>
      </c>
      <c r="AN7" s="267"/>
      <c r="AO7" s="267">
        <v>2.0833333333333301E-2</v>
      </c>
      <c r="AP7" s="267">
        <v>6.9444444444444397E-3</v>
      </c>
      <c r="AQ7" s="267">
        <v>3.125E-2</v>
      </c>
      <c r="AR7" s="271">
        <v>4</v>
      </c>
      <c r="AS7" s="292">
        <f t="shared" ref="AS7:AS54" si="7">AP7+AQ7+AO7+AN7+AM7+AL7+AK7</f>
        <v>0.14930555555555552</v>
      </c>
      <c r="AT7" s="291">
        <f t="shared" ref="AT7:AT54" si="8">AJ7*AS7*24</f>
        <v>143.33333333333331</v>
      </c>
      <c r="AU7" s="272">
        <f t="shared" ref="AU7:AU54" si="9">AT7/AR7</f>
        <v>35.833333333333329</v>
      </c>
      <c r="AW7" s="273">
        <f t="shared" ref="AW7:AW54" si="10">AG7</f>
        <v>7.6799627000000008</v>
      </c>
      <c r="AX7" s="274">
        <f t="shared" ref="AX7:AX54" si="11">AT7</f>
        <v>143.33333333333331</v>
      </c>
      <c r="AY7" s="275">
        <v>4</v>
      </c>
      <c r="AZ7" s="276">
        <f t="shared" ref="AZ7:AZ54" si="12">IFERROR(AX7/AY7,0)</f>
        <v>35.833333333333329</v>
      </c>
      <c r="BA7" s="293">
        <f t="shared" ref="BA7:BA54" si="13">AZ7+AW7</f>
        <v>43.513296033333333</v>
      </c>
      <c r="BB7" s="275">
        <v>4</v>
      </c>
      <c r="BU7" s="293">
        <v>80</v>
      </c>
      <c r="BV7" s="293">
        <f t="shared" ref="BV7:BV54" si="14">BA7+BU7</f>
        <v>123.51329603333333</v>
      </c>
    </row>
    <row r="8" spans="1:74" ht="27" customHeight="1" x14ac:dyDescent="0.3">
      <c r="A8" s="224" t="s">
        <v>200</v>
      </c>
      <c r="B8" s="225" t="s">
        <v>1384</v>
      </c>
      <c r="C8" s="228">
        <v>0.1</v>
      </c>
      <c r="D8" s="263">
        <f>C8*D5</f>
        <v>1.9590000000000001</v>
      </c>
      <c r="E8" s="228">
        <v>4.4999999999999998E-2</v>
      </c>
      <c r="F8" s="263">
        <f>E8*F5</f>
        <v>0.88154999999999994</v>
      </c>
      <c r="G8" s="227">
        <f t="shared" si="0"/>
        <v>2.8405499999999999</v>
      </c>
      <c r="H8" s="228">
        <v>0.14000000000000001</v>
      </c>
      <c r="I8" s="227">
        <f>H8*PARÂMETROS!$E$22</f>
        <v>5.9318</v>
      </c>
      <c r="J8" s="228">
        <v>6.0000000000000001E-3</v>
      </c>
      <c r="K8" s="227">
        <f>J8*PARÂMETROS!$E$22</f>
        <v>0.25422</v>
      </c>
      <c r="L8" s="228">
        <v>2E-3</v>
      </c>
      <c r="M8" s="230">
        <f>L8*PARÂMETROS!$E$8</f>
        <v>6.1780000000000002E-2</v>
      </c>
      <c r="N8" s="228">
        <f t="shared" si="1"/>
        <v>1.4000000000000002E-3</v>
      </c>
      <c r="O8" s="230">
        <f>N8*PARÂMETROS!$E$8</f>
        <v>4.3246000000000007E-2</v>
      </c>
      <c r="P8" s="228">
        <f t="shared" si="2"/>
        <v>6.0000000000000006E-4</v>
      </c>
      <c r="Q8" s="230">
        <f>P8*PARÂMETROS!$E$8</f>
        <v>1.8534000000000002E-2</v>
      </c>
      <c r="R8" s="228">
        <f t="shared" si="3"/>
        <v>1.4000000000000001E-4</v>
      </c>
      <c r="S8" s="230">
        <f>R8*PARÂMETROS!$E$8</f>
        <v>4.3246000000000005E-3</v>
      </c>
      <c r="T8" s="231">
        <v>0.36</v>
      </c>
      <c r="U8" s="230">
        <f>T8*PARÂMETROS!$E$27</f>
        <v>1.08</v>
      </c>
      <c r="V8" s="299">
        <f>0.255/2</f>
        <v>0.1275</v>
      </c>
      <c r="W8" s="230">
        <f>V8*PARÂMETROS!$E$30</f>
        <v>0.74460000000000004</v>
      </c>
      <c r="X8" s="299">
        <v>5.0999999999999997E-2</v>
      </c>
      <c r="Y8" s="230">
        <f>X8*PARÂMETROS!$E$31</f>
        <v>0.77264999999999995</v>
      </c>
      <c r="Z8" s="228">
        <f t="shared" si="4"/>
        <v>1.4000000000000002E-3</v>
      </c>
      <c r="AA8" s="230">
        <f>Z8*PARÂMETROS!$E$8</f>
        <v>4.3246000000000007E-2</v>
      </c>
      <c r="AB8" s="229">
        <f t="shared" si="5"/>
        <v>6.0000000000000002E-5</v>
      </c>
      <c r="AC8" s="230">
        <f>AB8*PARÂMETROS!$E$8</f>
        <v>1.8534000000000001E-3</v>
      </c>
      <c r="AF8" s="232" t="s">
        <v>1386</v>
      </c>
      <c r="AG8" s="264">
        <f t="shared" si="6"/>
        <v>11.796804</v>
      </c>
      <c r="AI8" s="224" t="s">
        <v>200</v>
      </c>
      <c r="AJ8" s="291">
        <f>PARÂMETROS!$H$3</f>
        <v>40</v>
      </c>
      <c r="AK8" s="267">
        <v>2.0833333333333301E-2</v>
      </c>
      <c r="AL8" s="267">
        <v>2.7777777777777801E-2</v>
      </c>
      <c r="AM8" s="267">
        <v>4.1666666666666699E-2</v>
      </c>
      <c r="AN8" s="267"/>
      <c r="AO8" s="267">
        <v>2.0833333333333301E-2</v>
      </c>
      <c r="AP8" s="267">
        <v>6.9444444444444397E-3</v>
      </c>
      <c r="AQ8" s="267">
        <v>3.125E-2</v>
      </c>
      <c r="AR8" s="271">
        <v>4</v>
      </c>
      <c r="AS8" s="292">
        <f t="shared" si="7"/>
        <v>0.14930555555555552</v>
      </c>
      <c r="AT8" s="291">
        <f t="shared" si="8"/>
        <v>143.33333333333331</v>
      </c>
      <c r="AU8" s="272">
        <f t="shared" si="9"/>
        <v>35.833333333333329</v>
      </c>
      <c r="AW8" s="273">
        <f t="shared" si="10"/>
        <v>11.796804</v>
      </c>
      <c r="AX8" s="274">
        <f t="shared" si="11"/>
        <v>143.33333333333331</v>
      </c>
      <c r="AY8" s="275">
        <v>4</v>
      </c>
      <c r="AZ8" s="276">
        <f t="shared" si="12"/>
        <v>35.833333333333329</v>
      </c>
      <c r="BA8" s="293">
        <f t="shared" si="13"/>
        <v>47.63013733333333</v>
      </c>
      <c r="BB8" s="275">
        <v>4</v>
      </c>
      <c r="BU8" s="293">
        <v>80</v>
      </c>
      <c r="BV8" s="293">
        <f t="shared" si="14"/>
        <v>127.63013733333332</v>
      </c>
    </row>
    <row r="9" spans="1:74" ht="27" customHeight="1" x14ac:dyDescent="0.3">
      <c r="A9" s="224" t="s">
        <v>185</v>
      </c>
      <c r="B9" s="225" t="s">
        <v>1384</v>
      </c>
      <c r="C9" s="228">
        <v>0.16800000000000001</v>
      </c>
      <c r="D9" s="263">
        <f>C9*D5</f>
        <v>3.2911200000000003</v>
      </c>
      <c r="E9" s="228">
        <v>7.5999999999999998E-2</v>
      </c>
      <c r="F9" s="263">
        <f>E9*F5</f>
        <v>1.4888399999999999</v>
      </c>
      <c r="G9" s="227">
        <f t="shared" si="0"/>
        <v>4.77996</v>
      </c>
      <c r="H9" s="228">
        <v>0.26</v>
      </c>
      <c r="I9" s="227">
        <f>H9*PARÂMETROS!$E$22</f>
        <v>11.0162</v>
      </c>
      <c r="J9" s="228">
        <v>1.0999999999999999E-2</v>
      </c>
      <c r="K9" s="227">
        <f>J9*PARÂMETROS!$E$22</f>
        <v>0.46606999999999993</v>
      </c>
      <c r="L9" s="228">
        <v>2E-3</v>
      </c>
      <c r="M9" s="230">
        <f>L9*PARÂMETROS!$E$8</f>
        <v>6.1780000000000002E-2</v>
      </c>
      <c r="N9" s="228">
        <f t="shared" si="1"/>
        <v>2.6000000000000003E-3</v>
      </c>
      <c r="O9" s="230">
        <f>N9*PARÂMETROS!$E$8</f>
        <v>8.031400000000001E-2</v>
      </c>
      <c r="P9" s="228">
        <f t="shared" si="2"/>
        <v>1.1000000000000001E-3</v>
      </c>
      <c r="Q9" s="230">
        <f>P9*PARÂMETROS!$E$8</f>
        <v>3.3979000000000002E-2</v>
      </c>
      <c r="R9" s="228">
        <f t="shared" si="3"/>
        <v>2.6000000000000003E-4</v>
      </c>
      <c r="S9" s="230">
        <f>R9*PARÂMETROS!$E$8</f>
        <v>8.031400000000001E-3</v>
      </c>
      <c r="T9" s="231">
        <v>0.41</v>
      </c>
      <c r="U9" s="230">
        <f>T9*PARÂMETROS!$E$27</f>
        <v>1.23</v>
      </c>
      <c r="V9" s="299">
        <f>0.476/2</f>
        <v>0.23799999999999999</v>
      </c>
      <c r="W9" s="230">
        <f>V9*PARÂMETROS!$E$30</f>
        <v>1.3899199999999998</v>
      </c>
      <c r="X9" s="299">
        <v>9.5000000000000001E-2</v>
      </c>
      <c r="Y9" s="230">
        <f>X9*PARÂMETROS!$E$31</f>
        <v>1.4392500000000001</v>
      </c>
      <c r="Z9" s="228">
        <f t="shared" si="4"/>
        <v>2.6000000000000003E-3</v>
      </c>
      <c r="AA9" s="230">
        <f>Z9*PARÂMETROS!$E$8</f>
        <v>8.031400000000001E-2</v>
      </c>
      <c r="AB9" s="229">
        <f t="shared" si="5"/>
        <v>1.0999999999999999E-4</v>
      </c>
      <c r="AC9" s="230">
        <f>AB9*PARÂMETROS!$E$8</f>
        <v>3.3978999999999997E-3</v>
      </c>
      <c r="AD9" s="23"/>
      <c r="AE9" s="23"/>
      <c r="AF9" s="232" t="s">
        <v>1387</v>
      </c>
      <c r="AG9" s="264">
        <f t="shared" si="6"/>
        <v>20.5892163</v>
      </c>
      <c r="AI9" s="224" t="s">
        <v>185</v>
      </c>
      <c r="AJ9" s="291">
        <f>PARÂMETROS!$H$3</f>
        <v>40</v>
      </c>
      <c r="AK9" s="267">
        <v>2.0833333333333301E-2</v>
      </c>
      <c r="AL9" s="267">
        <v>2.7777777777777801E-2</v>
      </c>
      <c r="AM9" s="267">
        <v>4.1666666666666699E-2</v>
      </c>
      <c r="AN9" s="267"/>
      <c r="AO9" s="267">
        <v>2.0833333333333301E-2</v>
      </c>
      <c r="AP9" s="267">
        <v>6.9444444444444397E-3</v>
      </c>
      <c r="AQ9" s="267">
        <v>3.125E-2</v>
      </c>
      <c r="AR9" s="271">
        <v>4</v>
      </c>
      <c r="AS9" s="292">
        <f t="shared" si="7"/>
        <v>0.14930555555555552</v>
      </c>
      <c r="AT9" s="291">
        <f t="shared" si="8"/>
        <v>143.33333333333331</v>
      </c>
      <c r="AU9" s="272">
        <f t="shared" si="9"/>
        <v>35.833333333333329</v>
      </c>
      <c r="AW9" s="273">
        <f t="shared" si="10"/>
        <v>20.5892163</v>
      </c>
      <c r="AX9" s="274">
        <f t="shared" si="11"/>
        <v>143.33333333333331</v>
      </c>
      <c r="AY9" s="275">
        <v>3</v>
      </c>
      <c r="AZ9" s="276">
        <f t="shared" si="12"/>
        <v>47.777777777777771</v>
      </c>
      <c r="BA9" s="293">
        <f t="shared" si="13"/>
        <v>68.366994077777775</v>
      </c>
      <c r="BB9" s="275">
        <v>3</v>
      </c>
      <c r="BU9" s="293">
        <v>80</v>
      </c>
      <c r="BV9" s="293">
        <f t="shared" si="14"/>
        <v>148.36699407777778</v>
      </c>
    </row>
    <row r="10" spans="1:74" ht="25.5" customHeight="1" x14ac:dyDescent="0.3">
      <c r="A10" s="224" t="s">
        <v>39</v>
      </c>
      <c r="B10" s="225" t="s">
        <v>1384</v>
      </c>
      <c r="C10" s="228">
        <v>0.624</v>
      </c>
      <c r="D10" s="263">
        <f>C10*D5</f>
        <v>12.224159999999999</v>
      </c>
      <c r="E10" s="228">
        <v>0.28100000000000003</v>
      </c>
      <c r="F10" s="263">
        <f>E10*F5</f>
        <v>5.5047900000000007</v>
      </c>
      <c r="G10" s="227">
        <f t="shared" si="0"/>
        <v>17.728950000000001</v>
      </c>
      <c r="H10" s="228">
        <v>0.5</v>
      </c>
      <c r="I10" s="227">
        <f>H10*PARÂMETROS!$E$22</f>
        <v>21.184999999999999</v>
      </c>
      <c r="J10" s="228">
        <v>2.5000000000000001E-2</v>
      </c>
      <c r="K10" s="227">
        <f>J10*PARÂMETROS!$E$22</f>
        <v>1.05925</v>
      </c>
      <c r="L10" s="228">
        <v>2E-3</v>
      </c>
      <c r="M10" s="230">
        <f>L10*PARÂMETROS!$E$8</f>
        <v>6.1780000000000002E-2</v>
      </c>
      <c r="N10" s="228">
        <f t="shared" si="1"/>
        <v>5.0000000000000001E-3</v>
      </c>
      <c r="O10" s="230">
        <f>N10*PARÂMETROS!$E$8</f>
        <v>0.15445</v>
      </c>
      <c r="P10" s="228">
        <f t="shared" si="2"/>
        <v>2.5000000000000005E-3</v>
      </c>
      <c r="Q10" s="230">
        <f>P10*PARÂMETROS!$E$8</f>
        <v>7.7225000000000016E-2</v>
      </c>
      <c r="R10" s="228">
        <f t="shared" si="3"/>
        <v>5.0000000000000001E-4</v>
      </c>
      <c r="S10" s="230">
        <f>R10*PARÂMETROS!$E$8</f>
        <v>1.5445E-2</v>
      </c>
      <c r="T10" s="231">
        <v>0.82</v>
      </c>
      <c r="U10" s="230">
        <f>T10*PARÂMETROS!$E$27</f>
        <v>2.46</v>
      </c>
      <c r="V10" s="299">
        <f>0.78/2</f>
        <v>0.39</v>
      </c>
      <c r="W10" s="230">
        <f>V10*PARÂMETROS!$E$30</f>
        <v>2.2776000000000001</v>
      </c>
      <c r="X10" s="299">
        <v>0.156</v>
      </c>
      <c r="Y10" s="230">
        <f>X10*PARÂMETROS!$E$31</f>
        <v>2.3633999999999999</v>
      </c>
      <c r="Z10" s="228">
        <f t="shared" si="4"/>
        <v>5.0000000000000001E-3</v>
      </c>
      <c r="AA10" s="230">
        <f>Z10*PARÂMETROS!$E$8</f>
        <v>0.15445</v>
      </c>
      <c r="AB10" s="229">
        <f t="shared" si="5"/>
        <v>2.5000000000000001E-4</v>
      </c>
      <c r="AC10" s="230">
        <f>AB10*PARÂMETROS!$E$8</f>
        <v>7.7225000000000002E-3</v>
      </c>
      <c r="AF10" s="232" t="s">
        <v>1388</v>
      </c>
      <c r="AG10" s="264">
        <f t="shared" si="6"/>
        <v>47.545272499999996</v>
      </c>
      <c r="AI10" s="224" t="s">
        <v>39</v>
      </c>
      <c r="AJ10" s="291">
        <f>PARÂMETROS!$H$3</f>
        <v>40</v>
      </c>
      <c r="AK10" s="267">
        <v>2.0833333333333301E-2</v>
      </c>
      <c r="AL10" s="267">
        <v>2.7777777777777801E-2</v>
      </c>
      <c r="AM10" s="267">
        <v>4.1666666666666699E-2</v>
      </c>
      <c r="AN10" s="267"/>
      <c r="AO10" s="267">
        <v>2.0833333333333301E-2</v>
      </c>
      <c r="AP10" s="267">
        <v>6.9444444444444397E-3</v>
      </c>
      <c r="AQ10" s="267">
        <v>3.125E-2</v>
      </c>
      <c r="AR10" s="271">
        <v>4</v>
      </c>
      <c r="AS10" s="292">
        <f t="shared" si="7"/>
        <v>0.14930555555555552</v>
      </c>
      <c r="AT10" s="291">
        <f t="shared" si="8"/>
        <v>143.33333333333331</v>
      </c>
      <c r="AU10" s="272">
        <f t="shared" si="9"/>
        <v>35.833333333333329</v>
      </c>
      <c r="AW10" s="273">
        <f t="shared" si="10"/>
        <v>47.545272499999996</v>
      </c>
      <c r="AX10" s="274">
        <f t="shared" si="11"/>
        <v>143.33333333333331</v>
      </c>
      <c r="AY10" s="275">
        <v>3</v>
      </c>
      <c r="AZ10" s="276">
        <f t="shared" si="12"/>
        <v>47.777777777777771</v>
      </c>
      <c r="BA10" s="293">
        <f t="shared" si="13"/>
        <v>95.323050277777767</v>
      </c>
      <c r="BB10" s="275">
        <v>3</v>
      </c>
      <c r="BU10" s="293">
        <v>80</v>
      </c>
      <c r="BV10" s="293">
        <f t="shared" si="14"/>
        <v>175.32305027777778</v>
      </c>
    </row>
    <row r="11" spans="1:74" ht="27" customHeight="1" x14ac:dyDescent="0.3">
      <c r="A11" s="224" t="s">
        <v>300</v>
      </c>
      <c r="B11" s="225" t="s">
        <v>1384</v>
      </c>
      <c r="C11" s="228">
        <v>0.94799999999999995</v>
      </c>
      <c r="D11" s="263">
        <f>C11*D5</f>
        <v>18.57132</v>
      </c>
      <c r="E11" s="228">
        <v>0.42699999999999999</v>
      </c>
      <c r="F11" s="263">
        <f>E11*F5</f>
        <v>8.3649299999999993</v>
      </c>
      <c r="G11" s="227">
        <f t="shared" si="0"/>
        <v>26.936250000000001</v>
      </c>
      <c r="H11" s="228">
        <v>0.65</v>
      </c>
      <c r="I11" s="227">
        <f>H11*PARÂMETROS!$E$22</f>
        <v>27.540499999999998</v>
      </c>
      <c r="J11" s="228">
        <v>3.2000000000000001E-2</v>
      </c>
      <c r="K11" s="227">
        <f>J11*PARÂMETROS!$E$22</f>
        <v>1.3558399999999999</v>
      </c>
      <c r="L11" s="228">
        <v>2E-3</v>
      </c>
      <c r="M11" s="230">
        <f>L11*PARÂMETROS!$E$8</f>
        <v>6.1780000000000002E-2</v>
      </c>
      <c r="N11" s="228">
        <f t="shared" si="1"/>
        <v>6.5000000000000006E-3</v>
      </c>
      <c r="O11" s="230">
        <f>N11*PARÂMETROS!$E$8</f>
        <v>0.20078500000000002</v>
      </c>
      <c r="P11" s="228">
        <f t="shared" si="2"/>
        <v>3.2000000000000002E-3</v>
      </c>
      <c r="Q11" s="230">
        <f>P11*PARÂMETROS!$E$8</f>
        <v>9.8848000000000005E-2</v>
      </c>
      <c r="R11" s="228">
        <f t="shared" si="3"/>
        <v>6.5000000000000008E-4</v>
      </c>
      <c r="S11" s="230">
        <f>R11*PARÂMETROS!$E$8</f>
        <v>2.0078500000000003E-2</v>
      </c>
      <c r="T11" s="231">
        <v>0.86</v>
      </c>
      <c r="U11" s="230">
        <f>T11*PARÂMETROS!$E$27</f>
        <v>2.58</v>
      </c>
      <c r="V11" s="299">
        <v>1.24</v>
      </c>
      <c r="W11" s="230">
        <f>V11*PARÂMETROS!$E$30</f>
        <v>7.2416</v>
      </c>
      <c r="X11" s="299">
        <v>0.248</v>
      </c>
      <c r="Y11" s="230">
        <f>X11*PARÂMETROS!$E$31</f>
        <v>3.7572000000000001</v>
      </c>
      <c r="Z11" s="228">
        <f t="shared" si="4"/>
        <v>6.5000000000000006E-3</v>
      </c>
      <c r="AA11" s="230">
        <f>Z11*PARÂMETROS!$E$8</f>
        <v>0.20078500000000002</v>
      </c>
      <c r="AB11" s="229">
        <f t="shared" si="5"/>
        <v>3.2000000000000003E-4</v>
      </c>
      <c r="AC11" s="230">
        <f>AB11*PARÂMETROS!$E$8</f>
        <v>9.8848000000000009E-3</v>
      </c>
      <c r="AD11" s="23"/>
      <c r="AE11" s="23"/>
      <c r="AF11" s="232" t="s">
        <v>1389</v>
      </c>
      <c r="AG11" s="264">
        <f t="shared" si="6"/>
        <v>70.003551299999984</v>
      </c>
      <c r="AI11" s="224" t="s">
        <v>300</v>
      </c>
      <c r="AJ11" s="291">
        <f>PARÂMETROS!$H$3</f>
        <v>40</v>
      </c>
      <c r="AK11" s="267">
        <v>2.0833333333333301E-2</v>
      </c>
      <c r="AL11" s="267">
        <v>2.7777777777777801E-2</v>
      </c>
      <c r="AM11" s="267">
        <v>2.7777777777777801E-2</v>
      </c>
      <c r="AN11" s="267"/>
      <c r="AO11" s="267">
        <v>2.0833333333333301E-2</v>
      </c>
      <c r="AP11" s="267">
        <v>6.9444444444444397E-3</v>
      </c>
      <c r="AQ11" s="267">
        <v>3.125E-2</v>
      </c>
      <c r="AR11" s="271">
        <v>2</v>
      </c>
      <c r="AS11" s="292">
        <f t="shared" si="7"/>
        <v>0.13541666666666663</v>
      </c>
      <c r="AT11" s="291">
        <f t="shared" si="8"/>
        <v>129.99999999999997</v>
      </c>
      <c r="AU11" s="272">
        <f t="shared" si="9"/>
        <v>64.999999999999986</v>
      </c>
      <c r="AW11" s="273">
        <f t="shared" si="10"/>
        <v>70.003551299999984</v>
      </c>
      <c r="AX11" s="274">
        <f t="shared" si="11"/>
        <v>129.99999999999997</v>
      </c>
      <c r="AY11" s="275">
        <v>3</v>
      </c>
      <c r="AZ11" s="276">
        <f t="shared" si="12"/>
        <v>43.333333333333321</v>
      </c>
      <c r="BA11" s="293">
        <f t="shared" si="13"/>
        <v>113.33688463333331</v>
      </c>
      <c r="BB11" s="275">
        <v>3</v>
      </c>
      <c r="BU11" s="293">
        <v>80</v>
      </c>
      <c r="BV11" s="293">
        <f t="shared" si="14"/>
        <v>193.33688463333331</v>
      </c>
    </row>
    <row r="12" spans="1:74" ht="27" customHeight="1" x14ac:dyDescent="0.3">
      <c r="A12" s="224" t="s">
        <v>41</v>
      </c>
      <c r="B12" s="225" t="s">
        <v>1384</v>
      </c>
      <c r="C12" s="228">
        <v>1.3089999999999999</v>
      </c>
      <c r="D12" s="263">
        <f>C12*D5</f>
        <v>25.64331</v>
      </c>
      <c r="E12" s="228">
        <v>0.58899999999999997</v>
      </c>
      <c r="F12" s="263">
        <f>E12*F5</f>
        <v>11.538509999999999</v>
      </c>
      <c r="G12" s="227">
        <f t="shared" si="0"/>
        <v>37.181820000000002</v>
      </c>
      <c r="H12" s="228">
        <v>0.8</v>
      </c>
      <c r="I12" s="227">
        <f>H12*PARÂMETROS!$E$22</f>
        <v>33.896000000000001</v>
      </c>
      <c r="J12" s="228">
        <v>4.2000000000000003E-2</v>
      </c>
      <c r="K12" s="227">
        <f>J12*PARÂMETROS!$E$22</f>
        <v>1.7795399999999999</v>
      </c>
      <c r="L12" s="228">
        <v>2E-3</v>
      </c>
      <c r="M12" s="230">
        <f>L12*PARÂMETROS!$E$8</f>
        <v>6.1780000000000002E-2</v>
      </c>
      <c r="N12" s="228">
        <f t="shared" si="1"/>
        <v>8.0000000000000002E-3</v>
      </c>
      <c r="O12" s="230">
        <f>N12*PARÂMETROS!$E$8</f>
        <v>0.24712000000000001</v>
      </c>
      <c r="P12" s="228">
        <f t="shared" si="2"/>
        <v>4.2000000000000006E-3</v>
      </c>
      <c r="Q12" s="230">
        <f>P12*PARÂMETROS!$E$8</f>
        <v>0.12973800000000002</v>
      </c>
      <c r="R12" s="228">
        <f t="shared" si="3"/>
        <v>8.0000000000000004E-4</v>
      </c>
      <c r="S12" s="230">
        <f>R12*PARÂMETROS!$E$8</f>
        <v>2.4712000000000001E-2</v>
      </c>
      <c r="T12" s="231">
        <v>0.92</v>
      </c>
      <c r="U12" s="230">
        <f>T12*PARÂMETROS!$E$27</f>
        <v>2.7600000000000002</v>
      </c>
      <c r="V12" s="299">
        <v>1.35</v>
      </c>
      <c r="W12" s="230">
        <f>V12*PARÂMETROS!$E$30</f>
        <v>7.8840000000000003</v>
      </c>
      <c r="X12" s="299">
        <v>0.27</v>
      </c>
      <c r="Y12" s="230">
        <f>X12*PARÂMETROS!$E$31</f>
        <v>4.0905000000000005</v>
      </c>
      <c r="Z12" s="228">
        <f t="shared" si="4"/>
        <v>8.0000000000000002E-3</v>
      </c>
      <c r="AA12" s="230">
        <f>Z12*PARÂMETROS!$E$8</f>
        <v>0.24712000000000001</v>
      </c>
      <c r="AB12" s="229">
        <f t="shared" si="5"/>
        <v>4.2000000000000002E-4</v>
      </c>
      <c r="AC12" s="230">
        <f>AB12*PARÂMETROS!$E$8</f>
        <v>1.2973800000000001E-2</v>
      </c>
      <c r="AF12" s="232" t="s">
        <v>1390</v>
      </c>
      <c r="AG12" s="264">
        <f t="shared" si="6"/>
        <v>88.315303800000009</v>
      </c>
      <c r="AI12" s="224" t="s">
        <v>41</v>
      </c>
      <c r="AJ12" s="291">
        <f>PARÂMETROS!$H$3</f>
        <v>40</v>
      </c>
      <c r="AK12" s="267">
        <v>2.0833333333333301E-2</v>
      </c>
      <c r="AL12" s="267">
        <v>2.7777777777777801E-2</v>
      </c>
      <c r="AM12" s="267">
        <v>2.7777777777777801E-2</v>
      </c>
      <c r="AN12" s="267"/>
      <c r="AO12" s="267">
        <v>2.0833333333333301E-2</v>
      </c>
      <c r="AP12" s="267">
        <v>6.9444444444444397E-3</v>
      </c>
      <c r="AQ12" s="267">
        <v>3.125E-2</v>
      </c>
      <c r="AR12" s="271">
        <v>2</v>
      </c>
      <c r="AS12" s="292">
        <f t="shared" si="7"/>
        <v>0.13541666666666663</v>
      </c>
      <c r="AT12" s="291">
        <f t="shared" si="8"/>
        <v>129.99999999999997</v>
      </c>
      <c r="AU12" s="272">
        <f t="shared" si="9"/>
        <v>64.999999999999986</v>
      </c>
      <c r="AW12" s="273">
        <f t="shared" si="10"/>
        <v>88.315303800000009</v>
      </c>
      <c r="AX12" s="274">
        <f t="shared" si="11"/>
        <v>129.99999999999997</v>
      </c>
      <c r="AY12" s="275">
        <v>2</v>
      </c>
      <c r="AZ12" s="276">
        <f t="shared" si="12"/>
        <v>64.999999999999986</v>
      </c>
      <c r="BA12" s="293">
        <f t="shared" si="13"/>
        <v>153.31530379999998</v>
      </c>
      <c r="BB12" s="275">
        <v>2</v>
      </c>
      <c r="BU12" s="293">
        <v>80</v>
      </c>
      <c r="BV12" s="293">
        <f t="shared" si="14"/>
        <v>233.31530379999998</v>
      </c>
    </row>
    <row r="13" spans="1:74" ht="27" customHeight="1" x14ac:dyDescent="0.3">
      <c r="A13" s="224" t="s">
        <v>43</v>
      </c>
      <c r="B13" s="225" t="s">
        <v>1384</v>
      </c>
      <c r="C13" s="228">
        <v>2.774</v>
      </c>
      <c r="D13" s="263">
        <f>C13*D5</f>
        <v>54.342660000000002</v>
      </c>
      <c r="E13" s="228">
        <v>1.248</v>
      </c>
      <c r="F13" s="263">
        <f>E13*F5</f>
        <v>24.448319999999999</v>
      </c>
      <c r="G13" s="227">
        <f t="shared" si="0"/>
        <v>78.790980000000005</v>
      </c>
      <c r="H13" s="228">
        <v>1</v>
      </c>
      <c r="I13" s="227">
        <f>H13*PARÂMETROS!$E$22</f>
        <v>42.37</v>
      </c>
      <c r="J13" s="228">
        <v>6.5000000000000002E-2</v>
      </c>
      <c r="K13" s="227">
        <f>J13*PARÂMETROS!$E$22</f>
        <v>2.7540499999999999</v>
      </c>
      <c r="L13" s="228">
        <v>2E-3</v>
      </c>
      <c r="M13" s="230">
        <f>L13*PARÂMETROS!$E$8</f>
        <v>6.1780000000000002E-2</v>
      </c>
      <c r="N13" s="228">
        <f t="shared" si="1"/>
        <v>0.01</v>
      </c>
      <c r="O13" s="230">
        <f>N13*PARÂMETROS!$E$8</f>
        <v>0.30890000000000001</v>
      </c>
      <c r="P13" s="228">
        <f t="shared" si="2"/>
        <v>6.5000000000000006E-3</v>
      </c>
      <c r="Q13" s="230">
        <f>P13*PARÂMETROS!$E$8</f>
        <v>0.20078500000000002</v>
      </c>
      <c r="R13" s="228">
        <f t="shared" si="3"/>
        <v>1E-3</v>
      </c>
      <c r="S13" s="230">
        <f>R13*PARÂMETROS!$E$8</f>
        <v>3.0890000000000001E-2</v>
      </c>
      <c r="T13" s="231">
        <v>1.02</v>
      </c>
      <c r="U13" s="230">
        <f>T13*PARÂMETROS!$E$27</f>
        <v>3.06</v>
      </c>
      <c r="V13" s="299">
        <v>1.7250000000000001</v>
      </c>
      <c r="W13" s="230">
        <f>V13*PARÂMETROS!$E$30</f>
        <v>10.074</v>
      </c>
      <c r="X13" s="299">
        <v>0.34499999999999997</v>
      </c>
      <c r="Y13" s="230">
        <f>X13*PARÂMETROS!$E$31</f>
        <v>5.22675</v>
      </c>
      <c r="Z13" s="228">
        <f t="shared" si="4"/>
        <v>0.01</v>
      </c>
      <c r="AA13" s="230">
        <f>Z13*PARÂMETROS!$E$8</f>
        <v>0.30890000000000001</v>
      </c>
      <c r="AB13" s="228">
        <f t="shared" si="5"/>
        <v>6.5000000000000008E-4</v>
      </c>
      <c r="AC13" s="230">
        <f>AB13*PARÂMETROS!$E$8</f>
        <v>2.0078500000000003E-2</v>
      </c>
      <c r="AD13" s="23"/>
      <c r="AE13" s="23"/>
      <c r="AF13" s="232" t="s">
        <v>1391</v>
      </c>
      <c r="AG13" s="264">
        <f t="shared" si="6"/>
        <v>143.20711350000002</v>
      </c>
      <c r="AI13" s="224" t="s">
        <v>43</v>
      </c>
      <c r="AJ13" s="291">
        <f>PARÂMETROS!$H$3</f>
        <v>40</v>
      </c>
      <c r="AK13" s="267">
        <v>2.0833333333333301E-2</v>
      </c>
      <c r="AL13" s="267">
        <v>2.7777777777777801E-2</v>
      </c>
      <c r="AM13" s="267">
        <v>2.7777777777777801E-2</v>
      </c>
      <c r="AN13" s="267">
        <v>6.9444444444444397E-3</v>
      </c>
      <c r="AO13" s="267">
        <v>2.0833333333333301E-2</v>
      </c>
      <c r="AP13" s="267">
        <v>6.9444444444444397E-3</v>
      </c>
      <c r="AQ13" s="267">
        <v>3.125E-2</v>
      </c>
      <c r="AR13" s="271">
        <v>2</v>
      </c>
      <c r="AS13" s="292">
        <f t="shared" si="7"/>
        <v>0.1423611111111111</v>
      </c>
      <c r="AT13" s="291">
        <f t="shared" si="8"/>
        <v>136.66666666666669</v>
      </c>
      <c r="AU13" s="272">
        <f t="shared" si="9"/>
        <v>68.333333333333343</v>
      </c>
      <c r="AW13" s="273">
        <f t="shared" si="10"/>
        <v>143.20711350000002</v>
      </c>
      <c r="AX13" s="274">
        <f t="shared" si="11"/>
        <v>136.66666666666669</v>
      </c>
      <c r="AY13" s="275">
        <v>2</v>
      </c>
      <c r="AZ13" s="276">
        <f t="shared" si="12"/>
        <v>68.333333333333343</v>
      </c>
      <c r="BA13" s="293">
        <f t="shared" si="13"/>
        <v>211.54044683333336</v>
      </c>
      <c r="BB13" s="275">
        <v>2</v>
      </c>
      <c r="BU13" s="293">
        <v>80</v>
      </c>
      <c r="BV13" s="293">
        <f t="shared" si="14"/>
        <v>291.54044683333336</v>
      </c>
    </row>
    <row r="14" spans="1:74" ht="27" customHeight="1" x14ac:dyDescent="0.3">
      <c r="A14" s="224" t="s">
        <v>45</v>
      </c>
      <c r="B14" s="225" t="s">
        <v>1384</v>
      </c>
      <c r="C14" s="228">
        <v>4.58</v>
      </c>
      <c r="D14" s="263">
        <f>C14*D5</f>
        <v>89.722200000000001</v>
      </c>
      <c r="E14" s="228">
        <v>2.0609999999999999</v>
      </c>
      <c r="F14" s="263">
        <f>E14*F5</f>
        <v>40.374989999999997</v>
      </c>
      <c r="G14" s="227">
        <f t="shared" si="0"/>
        <v>130.09719000000001</v>
      </c>
      <c r="H14" s="228">
        <v>1.4</v>
      </c>
      <c r="I14" s="227">
        <f>H14*PARÂMETROS!$E$22</f>
        <v>59.317999999999991</v>
      </c>
      <c r="J14" s="228">
        <v>9.1999999999999998E-2</v>
      </c>
      <c r="K14" s="227">
        <f>J14*PARÂMETROS!$E$22</f>
        <v>3.8980399999999995</v>
      </c>
      <c r="L14" s="228">
        <v>2E-3</v>
      </c>
      <c r="M14" s="230">
        <f>L14*PARÂMETROS!$E$8</f>
        <v>6.1780000000000002E-2</v>
      </c>
      <c r="N14" s="228">
        <f t="shared" si="1"/>
        <v>1.3999999999999999E-2</v>
      </c>
      <c r="O14" s="230">
        <f>N14*PARÂMETROS!$E$8</f>
        <v>0.43245999999999996</v>
      </c>
      <c r="P14" s="228">
        <f t="shared" si="2"/>
        <v>9.1999999999999998E-3</v>
      </c>
      <c r="Q14" s="230">
        <f>P14*PARÂMETROS!$E$8</f>
        <v>0.284188</v>
      </c>
      <c r="R14" s="228">
        <f t="shared" si="3"/>
        <v>1.4E-3</v>
      </c>
      <c r="S14" s="230">
        <f>R14*PARÂMETROS!$E$8</f>
        <v>4.3246E-2</v>
      </c>
      <c r="T14" s="231">
        <v>1.1200000000000001</v>
      </c>
      <c r="U14" s="230">
        <f>T14*PARÂMETROS!$E$27</f>
        <v>3.3600000000000003</v>
      </c>
      <c r="V14" s="299">
        <v>2.3250000000000002</v>
      </c>
      <c r="W14" s="230">
        <f>V14*PARÂMETROS!$E$30</f>
        <v>13.578000000000001</v>
      </c>
      <c r="X14" s="299">
        <v>0.46500000000000002</v>
      </c>
      <c r="Y14" s="230">
        <f>X14*PARÂMETROS!$E$31</f>
        <v>7.0447500000000005</v>
      </c>
      <c r="Z14" s="228">
        <f t="shared" si="4"/>
        <v>1.3999999999999999E-2</v>
      </c>
      <c r="AA14" s="230">
        <f>Z14*PARÂMETROS!$E$8</f>
        <v>0.43245999999999996</v>
      </c>
      <c r="AB14" s="228">
        <f t="shared" si="5"/>
        <v>9.2000000000000003E-4</v>
      </c>
      <c r="AC14" s="230">
        <f>AB14*PARÂMETROS!$E$8</f>
        <v>2.8418800000000001E-2</v>
      </c>
      <c r="AF14" s="232" t="s">
        <v>1392</v>
      </c>
      <c r="AG14" s="264">
        <f t="shared" si="6"/>
        <v>218.5785328</v>
      </c>
      <c r="AI14" s="224" t="s">
        <v>45</v>
      </c>
      <c r="AJ14" s="291">
        <f>PARÂMETROS!$H$3</f>
        <v>40</v>
      </c>
      <c r="AK14" s="267">
        <v>2.0833333333333301E-2</v>
      </c>
      <c r="AL14" s="267">
        <v>2.7777777777777801E-2</v>
      </c>
      <c r="AM14" s="267">
        <v>2.7777777777777801E-2</v>
      </c>
      <c r="AN14" s="267">
        <v>6.9444444444444397E-3</v>
      </c>
      <c r="AO14" s="267">
        <v>2.0833333333333301E-2</v>
      </c>
      <c r="AP14" s="267">
        <v>6.9444444444444397E-3</v>
      </c>
      <c r="AQ14" s="267">
        <v>3.125E-2</v>
      </c>
      <c r="AR14" s="271">
        <v>2</v>
      </c>
      <c r="AS14" s="292">
        <f t="shared" si="7"/>
        <v>0.1423611111111111</v>
      </c>
      <c r="AT14" s="291">
        <f t="shared" si="8"/>
        <v>136.66666666666669</v>
      </c>
      <c r="AU14" s="272">
        <f t="shared" si="9"/>
        <v>68.333333333333343</v>
      </c>
      <c r="AW14" s="273">
        <f t="shared" si="10"/>
        <v>218.5785328</v>
      </c>
      <c r="AX14" s="274">
        <f t="shared" si="11"/>
        <v>136.66666666666669</v>
      </c>
      <c r="AY14" s="275">
        <v>2</v>
      </c>
      <c r="AZ14" s="276">
        <f t="shared" si="12"/>
        <v>68.333333333333343</v>
      </c>
      <c r="BA14" s="293">
        <f t="shared" si="13"/>
        <v>286.91186613333332</v>
      </c>
      <c r="BB14" s="275">
        <v>2</v>
      </c>
      <c r="BU14" s="293">
        <v>80</v>
      </c>
      <c r="BV14" s="293">
        <f t="shared" si="14"/>
        <v>366.91186613333332</v>
      </c>
    </row>
    <row r="15" spans="1:74" ht="27" customHeight="1" x14ac:dyDescent="0.3">
      <c r="A15" s="224" t="s">
        <v>47</v>
      </c>
      <c r="B15" s="225" t="s">
        <v>1384</v>
      </c>
      <c r="C15" s="228">
        <v>6.7759999999999998</v>
      </c>
      <c r="D15" s="263">
        <f>C15*D5</f>
        <v>132.74184</v>
      </c>
      <c r="E15" s="228">
        <v>3.0489999999999999</v>
      </c>
      <c r="F15" s="263">
        <f>E15*F5</f>
        <v>59.729909999999997</v>
      </c>
      <c r="G15" s="227">
        <f t="shared" si="0"/>
        <v>192.47174999999999</v>
      </c>
      <c r="H15" s="228">
        <v>1.8</v>
      </c>
      <c r="I15" s="227">
        <f>H15*PARÂMETROS!$E$22</f>
        <v>76.265999999999991</v>
      </c>
      <c r="J15" s="228">
        <v>0.124</v>
      </c>
      <c r="K15" s="227">
        <f>J15*PARÂMETROS!$E$22</f>
        <v>5.2538799999999997</v>
      </c>
      <c r="L15" s="228">
        <v>2E-3</v>
      </c>
      <c r="M15" s="230">
        <f>L15*PARÂMETROS!$E$8</f>
        <v>6.1780000000000002E-2</v>
      </c>
      <c r="N15" s="228">
        <f t="shared" si="1"/>
        <v>1.8000000000000002E-2</v>
      </c>
      <c r="O15" s="230">
        <f>N15*PARÂMETROS!$E$8</f>
        <v>0.55602000000000007</v>
      </c>
      <c r="P15" s="228">
        <f t="shared" si="2"/>
        <v>1.2400000000000001E-2</v>
      </c>
      <c r="Q15" s="230">
        <f>P15*PARÂMETROS!$E$8</f>
        <v>0.38303600000000004</v>
      </c>
      <c r="R15" s="228">
        <f t="shared" si="3"/>
        <v>1.8000000000000004E-3</v>
      </c>
      <c r="S15" s="230">
        <f>R15*PARÂMETROS!$E$8</f>
        <v>5.5602000000000013E-2</v>
      </c>
      <c r="T15" s="231">
        <v>1.22</v>
      </c>
      <c r="U15" s="230">
        <f>T15*PARÂMETROS!$E$27</f>
        <v>3.66</v>
      </c>
      <c r="V15" s="299">
        <v>3.03</v>
      </c>
      <c r="W15" s="230">
        <f>V15*PARÂMETROS!$E$30</f>
        <v>17.6952</v>
      </c>
      <c r="X15" s="299">
        <v>0.60599999999999998</v>
      </c>
      <c r="Y15" s="230">
        <f>X15*PARÂMETROS!$E$31</f>
        <v>9.1808999999999994</v>
      </c>
      <c r="Z15" s="228">
        <f t="shared" si="4"/>
        <v>1.8000000000000002E-2</v>
      </c>
      <c r="AA15" s="230">
        <f>Z15*PARÂMETROS!$E$8</f>
        <v>0.55602000000000007</v>
      </c>
      <c r="AB15" s="228">
        <f t="shared" si="5"/>
        <v>1.24E-3</v>
      </c>
      <c r="AC15" s="230">
        <f>AB15*PARÂMETROS!$E$8</f>
        <v>3.83036E-2</v>
      </c>
      <c r="AD15" s="23"/>
      <c r="AE15" s="23"/>
      <c r="AF15" s="232" t="s">
        <v>1393</v>
      </c>
      <c r="AG15" s="264">
        <f t="shared" si="6"/>
        <v>306.17849159999997</v>
      </c>
      <c r="AI15" s="224" t="s">
        <v>47</v>
      </c>
      <c r="AJ15" s="291">
        <f>PARÂMETROS!$H$3</f>
        <v>40</v>
      </c>
      <c r="AK15" s="267">
        <v>1.0416666666666701E-2</v>
      </c>
      <c r="AL15" s="267">
        <v>2.0833333333333301E-2</v>
      </c>
      <c r="AM15" s="267">
        <v>1.7361111111111101E-2</v>
      </c>
      <c r="AN15" s="267">
        <v>6.9444444444444397E-3</v>
      </c>
      <c r="AO15" s="267">
        <v>2.0833333333333301E-2</v>
      </c>
      <c r="AP15" s="267">
        <v>6.9444444444444397E-3</v>
      </c>
      <c r="AQ15" s="267">
        <v>3.125E-2</v>
      </c>
      <c r="AR15" s="271">
        <v>1</v>
      </c>
      <c r="AS15" s="292">
        <f t="shared" si="7"/>
        <v>0.11458333333333329</v>
      </c>
      <c r="AT15" s="291">
        <f t="shared" si="8"/>
        <v>109.99999999999994</v>
      </c>
      <c r="AU15" s="272">
        <f t="shared" si="9"/>
        <v>109.99999999999994</v>
      </c>
      <c r="AW15" s="273">
        <f t="shared" si="10"/>
        <v>306.17849159999997</v>
      </c>
      <c r="AX15" s="274">
        <f t="shared" si="11"/>
        <v>109.99999999999994</v>
      </c>
      <c r="AY15" s="275">
        <v>1</v>
      </c>
      <c r="AZ15" s="276">
        <f t="shared" si="12"/>
        <v>109.99999999999994</v>
      </c>
      <c r="BA15" s="293">
        <f t="shared" si="13"/>
        <v>416.17849159999992</v>
      </c>
      <c r="BB15" s="275">
        <v>1</v>
      </c>
      <c r="BU15" s="293">
        <v>80</v>
      </c>
      <c r="BV15" s="293">
        <f t="shared" si="14"/>
        <v>496.17849159999992</v>
      </c>
    </row>
    <row r="16" spans="1:74" ht="27" customHeight="1" x14ac:dyDescent="0.3">
      <c r="A16" s="224" t="s">
        <v>222</v>
      </c>
      <c r="B16" s="225" t="s">
        <v>1384</v>
      </c>
      <c r="C16" s="228">
        <v>9</v>
      </c>
      <c r="D16" s="263">
        <f>C16*D5</f>
        <v>176.31</v>
      </c>
      <c r="E16" s="228">
        <v>4.05</v>
      </c>
      <c r="F16" s="263">
        <f>E16*F5</f>
        <v>79.339500000000001</v>
      </c>
      <c r="G16" s="227">
        <f t="shared" si="0"/>
        <v>255.64949999999999</v>
      </c>
      <c r="H16" s="228">
        <v>2.5</v>
      </c>
      <c r="I16" s="227">
        <f>H16*PARÂMETROS!$E$22</f>
        <v>105.925</v>
      </c>
      <c r="J16" s="228">
        <v>0.161</v>
      </c>
      <c r="K16" s="227">
        <f>J16*PARÂMETROS!$E$22</f>
        <v>6.8215699999999995</v>
      </c>
      <c r="L16" s="228">
        <v>2E-3</v>
      </c>
      <c r="M16" s="230">
        <f>L16*PARÂMETROS!$E$8</f>
        <v>6.1780000000000002E-2</v>
      </c>
      <c r="N16" s="228">
        <f t="shared" si="1"/>
        <v>2.5000000000000001E-2</v>
      </c>
      <c r="O16" s="230">
        <f>N16*PARÂMETROS!$E$8</f>
        <v>0.7722500000000001</v>
      </c>
      <c r="P16" s="228">
        <f t="shared" si="2"/>
        <v>1.61E-2</v>
      </c>
      <c r="Q16" s="230">
        <f>P16*PARÂMETROS!$E$8</f>
        <v>0.49732900000000002</v>
      </c>
      <c r="R16" s="228">
        <f t="shared" si="3"/>
        <v>2.5000000000000005E-3</v>
      </c>
      <c r="S16" s="230">
        <f>R16*PARÂMETROS!$E$8</f>
        <v>7.7225000000000016E-2</v>
      </c>
      <c r="T16" s="231">
        <v>1.31</v>
      </c>
      <c r="U16" s="230">
        <f>T16*PARÂMETROS!$E$27</f>
        <v>3.93</v>
      </c>
      <c r="V16" s="299">
        <v>3.21</v>
      </c>
      <c r="W16" s="230">
        <f>V16*PARÂMETROS!$E$30</f>
        <v>18.746399999999998</v>
      </c>
      <c r="X16" s="299">
        <v>0.64200000000000002</v>
      </c>
      <c r="Y16" s="230">
        <f>X16*PARÂMETROS!$E$31</f>
        <v>9.7263000000000002</v>
      </c>
      <c r="Z16" s="228">
        <f t="shared" si="4"/>
        <v>2.5000000000000001E-2</v>
      </c>
      <c r="AA16" s="230">
        <f>Z16*PARÂMETROS!$E$8</f>
        <v>0.7722500000000001</v>
      </c>
      <c r="AB16" s="228">
        <f t="shared" si="5"/>
        <v>1.6100000000000001E-3</v>
      </c>
      <c r="AC16" s="230">
        <f>AB16*PARÂMETROS!$E$8</f>
        <v>4.9732900000000003E-2</v>
      </c>
      <c r="AF16" s="232" t="s">
        <v>1394</v>
      </c>
      <c r="AG16" s="264">
        <f t="shared" si="6"/>
        <v>403.02933689999992</v>
      </c>
      <c r="AI16" s="224" t="s">
        <v>222</v>
      </c>
      <c r="AJ16" s="291">
        <f>PARÂMETROS!$H$3</f>
        <v>40</v>
      </c>
      <c r="AK16" s="267">
        <v>1.7361111111111101E-2</v>
      </c>
      <c r="AL16" s="267">
        <v>2.7777777777777801E-2</v>
      </c>
      <c r="AM16" s="267">
        <v>2.0833333333333301E-2</v>
      </c>
      <c r="AN16" s="267">
        <v>6.9444444444444397E-3</v>
      </c>
      <c r="AO16" s="267">
        <v>2.0833333333333301E-2</v>
      </c>
      <c r="AP16" s="267">
        <v>6.9444444444444397E-3</v>
      </c>
      <c r="AQ16" s="267">
        <v>3.125E-2</v>
      </c>
      <c r="AR16" s="271">
        <v>1</v>
      </c>
      <c r="AS16" s="292">
        <f t="shared" si="7"/>
        <v>0.13194444444444439</v>
      </c>
      <c r="AT16" s="291">
        <f t="shared" si="8"/>
        <v>126.66666666666663</v>
      </c>
      <c r="AU16" s="272">
        <f t="shared" si="9"/>
        <v>126.66666666666663</v>
      </c>
      <c r="AW16" s="273">
        <f t="shared" si="10"/>
        <v>403.02933689999992</v>
      </c>
      <c r="AX16" s="274">
        <f t="shared" si="11"/>
        <v>126.66666666666663</v>
      </c>
      <c r="AY16" s="275">
        <v>1</v>
      </c>
      <c r="AZ16" s="276">
        <f t="shared" si="12"/>
        <v>126.66666666666663</v>
      </c>
      <c r="BA16" s="293">
        <f t="shared" si="13"/>
        <v>529.6960035666666</v>
      </c>
      <c r="BB16" s="275">
        <v>1</v>
      </c>
      <c r="BU16" s="293">
        <v>80</v>
      </c>
      <c r="BV16" s="293">
        <f t="shared" si="14"/>
        <v>609.6960035666666</v>
      </c>
    </row>
    <row r="17" spans="1:74" ht="27" customHeight="1" x14ac:dyDescent="0.3">
      <c r="A17" s="224" t="s">
        <v>226</v>
      </c>
      <c r="B17" s="225" t="s">
        <v>1384</v>
      </c>
      <c r="C17" s="228">
        <v>15.164</v>
      </c>
      <c r="D17" s="263">
        <f>C17*D5</f>
        <v>297.06275999999997</v>
      </c>
      <c r="E17" s="228">
        <v>6.8239999999999998</v>
      </c>
      <c r="F17" s="263">
        <f>E17*F5</f>
        <v>133.68215999999998</v>
      </c>
      <c r="G17" s="227">
        <f t="shared" si="0"/>
        <v>430.74491999999998</v>
      </c>
      <c r="H17" s="228">
        <v>3</v>
      </c>
      <c r="I17" s="227">
        <f>H17*PARÂMETROS!$E$22</f>
        <v>127.10999999999999</v>
      </c>
      <c r="J17" s="228">
        <v>0.19400000000000001</v>
      </c>
      <c r="K17" s="227">
        <f>J17*PARÂMETROS!$E$22</f>
        <v>8.2197800000000001</v>
      </c>
      <c r="L17" s="228">
        <v>2E-3</v>
      </c>
      <c r="M17" s="230">
        <f>L17*PARÂMETROS!$E$8</f>
        <v>6.1780000000000002E-2</v>
      </c>
      <c r="N17" s="228">
        <f t="shared" si="1"/>
        <v>0.03</v>
      </c>
      <c r="O17" s="230">
        <f>N17*PARÂMETROS!$E$8</f>
        <v>0.92669999999999997</v>
      </c>
      <c r="P17" s="228">
        <f t="shared" si="2"/>
        <v>1.9400000000000001E-2</v>
      </c>
      <c r="Q17" s="230">
        <f>P17*PARÂMETROS!$E$8</f>
        <v>0.59926600000000008</v>
      </c>
      <c r="R17" s="228">
        <f t="shared" si="3"/>
        <v>3.0000000000000001E-3</v>
      </c>
      <c r="S17" s="230">
        <f>R17*PARÂMETROS!$E$8</f>
        <v>9.2670000000000002E-2</v>
      </c>
      <c r="T17" s="231">
        <v>1.4</v>
      </c>
      <c r="U17" s="230">
        <f>T17*PARÂMETROS!$E$27</f>
        <v>4.1999999999999993</v>
      </c>
      <c r="V17" s="299">
        <v>4.3049999999999997</v>
      </c>
      <c r="W17" s="230">
        <f>V17*PARÂMETROS!$E$30</f>
        <v>25.141199999999998</v>
      </c>
      <c r="X17" s="299">
        <v>0.86099999999999999</v>
      </c>
      <c r="Y17" s="230">
        <f>X17*PARÂMETROS!$E$31</f>
        <v>13.04415</v>
      </c>
      <c r="Z17" s="228">
        <f t="shared" si="4"/>
        <v>0.03</v>
      </c>
      <c r="AA17" s="230">
        <f>Z17*PARÂMETROS!$E$8</f>
        <v>0.92669999999999997</v>
      </c>
      <c r="AB17" s="228">
        <f t="shared" si="5"/>
        <v>1.9400000000000001E-3</v>
      </c>
      <c r="AC17" s="230">
        <f>AB17*PARÂMETROS!$E$8</f>
        <v>5.9926600000000003E-2</v>
      </c>
      <c r="AD17" s="23"/>
      <c r="AE17" s="23"/>
      <c r="AF17" s="232" t="s">
        <v>1395</v>
      </c>
      <c r="AG17" s="264">
        <f t="shared" si="6"/>
        <v>611.12709259999997</v>
      </c>
      <c r="AI17" s="224" t="s">
        <v>226</v>
      </c>
      <c r="AJ17" s="291">
        <f>PARÂMETROS!$H$3</f>
        <v>40</v>
      </c>
      <c r="AK17" s="267">
        <v>1.7361111111111101E-2</v>
      </c>
      <c r="AL17" s="267">
        <v>2.7777777777777801E-2</v>
      </c>
      <c r="AM17" s="267">
        <v>2.0833333333333301E-2</v>
      </c>
      <c r="AN17" s="267">
        <v>6.9444444444444397E-3</v>
      </c>
      <c r="AO17" s="267">
        <v>2.0833333333333301E-2</v>
      </c>
      <c r="AP17" s="267">
        <v>6.9444444444444397E-3</v>
      </c>
      <c r="AQ17" s="267">
        <v>3.125E-2</v>
      </c>
      <c r="AR17" s="271">
        <v>1</v>
      </c>
      <c r="AS17" s="292">
        <f t="shared" si="7"/>
        <v>0.13194444444444439</v>
      </c>
      <c r="AT17" s="291">
        <f t="shared" si="8"/>
        <v>126.66666666666663</v>
      </c>
      <c r="AU17" s="272">
        <f t="shared" si="9"/>
        <v>126.66666666666663</v>
      </c>
      <c r="AW17" s="273">
        <f t="shared" si="10"/>
        <v>611.12709259999997</v>
      </c>
      <c r="AX17" s="274">
        <f t="shared" si="11"/>
        <v>126.66666666666663</v>
      </c>
      <c r="AY17" s="275">
        <v>1</v>
      </c>
      <c r="AZ17" s="276">
        <f t="shared" si="12"/>
        <v>126.66666666666663</v>
      </c>
      <c r="BA17" s="293">
        <f t="shared" si="13"/>
        <v>737.7937592666666</v>
      </c>
      <c r="BB17" s="275">
        <v>1</v>
      </c>
      <c r="BU17" s="293">
        <v>80</v>
      </c>
      <c r="BV17" s="293">
        <f t="shared" si="14"/>
        <v>817.7937592666666</v>
      </c>
    </row>
    <row r="18" spans="1:74" ht="27" customHeight="1" x14ac:dyDescent="0.3">
      <c r="A18" s="224" t="s">
        <v>230</v>
      </c>
      <c r="B18" s="225" t="s">
        <v>1384</v>
      </c>
      <c r="C18" s="228">
        <v>21</v>
      </c>
      <c r="D18" s="263">
        <f>C18*D5</f>
        <v>411.39</v>
      </c>
      <c r="E18" s="228">
        <v>9.4</v>
      </c>
      <c r="F18" s="263">
        <f>E18*F5</f>
        <v>184.14600000000002</v>
      </c>
      <c r="G18" s="227">
        <f t="shared" si="0"/>
        <v>595.53600000000006</v>
      </c>
      <c r="H18" s="228">
        <v>3.4</v>
      </c>
      <c r="I18" s="227">
        <f>H18*PARÂMETROS!$E$22</f>
        <v>144.05799999999999</v>
      </c>
      <c r="J18" s="228">
        <v>0.25</v>
      </c>
      <c r="K18" s="227">
        <f>J18*PARÂMETROS!$E$22</f>
        <v>10.592499999999999</v>
      </c>
      <c r="L18" s="228">
        <v>2E-3</v>
      </c>
      <c r="M18" s="230">
        <f>L18*PARÂMETROS!$E$8</f>
        <v>6.1780000000000002E-2</v>
      </c>
      <c r="N18" s="228">
        <f t="shared" si="1"/>
        <v>3.4000000000000002E-2</v>
      </c>
      <c r="O18" s="230">
        <f>N18*PARÂMETROS!$E$8</f>
        <v>1.0502600000000002</v>
      </c>
      <c r="P18" s="228">
        <f t="shared" si="2"/>
        <v>2.5000000000000001E-2</v>
      </c>
      <c r="Q18" s="230">
        <f>P18*PARÂMETROS!$E$8</f>
        <v>0.7722500000000001</v>
      </c>
      <c r="R18" s="228">
        <f t="shared" si="3"/>
        <v>3.4000000000000002E-3</v>
      </c>
      <c r="S18" s="230">
        <f>R18*PARÂMETROS!$E$8</f>
        <v>0.10502600000000001</v>
      </c>
      <c r="T18" s="231">
        <v>1.52</v>
      </c>
      <c r="U18" s="230">
        <f>T18*PARÂMETROS!$E$27</f>
        <v>4.5600000000000005</v>
      </c>
      <c r="V18" s="299">
        <v>5.48</v>
      </c>
      <c r="W18" s="230">
        <f>V18*PARÂMETROS!$E$30</f>
        <v>32.0032</v>
      </c>
      <c r="X18" s="299">
        <v>1.0960000000000001</v>
      </c>
      <c r="Y18" s="230">
        <f>X18*PARÂMETROS!$E$31</f>
        <v>16.604400000000002</v>
      </c>
      <c r="Z18" s="228">
        <f t="shared" si="4"/>
        <v>3.4000000000000002E-2</v>
      </c>
      <c r="AA18" s="230">
        <f>Z18*PARÂMETROS!$E$8</f>
        <v>1.0502600000000002</v>
      </c>
      <c r="AB18" s="228">
        <f t="shared" si="5"/>
        <v>2.5000000000000001E-3</v>
      </c>
      <c r="AC18" s="230">
        <f>AB18*PARÂMETROS!$E$8</f>
        <v>7.7225000000000002E-2</v>
      </c>
      <c r="AF18" s="232" t="s">
        <v>1396</v>
      </c>
      <c r="AG18" s="264">
        <f t="shared" si="6"/>
        <v>806.47090100000014</v>
      </c>
      <c r="AI18" s="224" t="s">
        <v>230</v>
      </c>
      <c r="AJ18" s="291">
        <f>PARÂMETROS!$H$3</f>
        <v>40</v>
      </c>
      <c r="AK18" s="267">
        <v>1.7361111111111101E-2</v>
      </c>
      <c r="AL18" s="267">
        <v>2.7777777777777801E-2</v>
      </c>
      <c r="AM18" s="267">
        <v>2.7777777777777801E-2</v>
      </c>
      <c r="AN18" s="267">
        <v>6.9444444444444397E-3</v>
      </c>
      <c r="AO18" s="267">
        <v>2.0833333333333301E-2</v>
      </c>
      <c r="AP18" s="267">
        <v>6.9444444444444397E-3</v>
      </c>
      <c r="AQ18" s="267">
        <v>3.125E-2</v>
      </c>
      <c r="AR18" s="271">
        <v>1</v>
      </c>
      <c r="AS18" s="292">
        <f t="shared" si="7"/>
        <v>0.1388888888888889</v>
      </c>
      <c r="AT18" s="291">
        <f t="shared" si="8"/>
        <v>133.33333333333331</v>
      </c>
      <c r="AU18" s="272">
        <f t="shared" si="9"/>
        <v>133.33333333333331</v>
      </c>
      <c r="AW18" s="273">
        <f t="shared" si="10"/>
        <v>806.47090100000014</v>
      </c>
      <c r="AX18" s="274">
        <f t="shared" si="11"/>
        <v>133.33333333333331</v>
      </c>
      <c r="AY18" s="275">
        <v>1</v>
      </c>
      <c r="AZ18" s="276">
        <f t="shared" si="12"/>
        <v>133.33333333333331</v>
      </c>
      <c r="BA18" s="293">
        <f t="shared" si="13"/>
        <v>939.8042343333334</v>
      </c>
      <c r="BB18" s="275">
        <v>1</v>
      </c>
      <c r="BU18" s="293">
        <v>80</v>
      </c>
      <c r="BV18" s="293">
        <f t="shared" si="14"/>
        <v>1019.8042343333334</v>
      </c>
    </row>
    <row r="19" spans="1:74" ht="27" customHeight="1" x14ac:dyDescent="0.3">
      <c r="A19" s="224" t="s">
        <v>234</v>
      </c>
      <c r="B19" s="225" t="s">
        <v>1384</v>
      </c>
      <c r="C19" s="228">
        <v>30</v>
      </c>
      <c r="D19" s="263">
        <f>C19*D5</f>
        <v>587.70000000000005</v>
      </c>
      <c r="E19" s="228">
        <v>13.5</v>
      </c>
      <c r="F19" s="263">
        <f>E19*F5</f>
        <v>264.46499999999997</v>
      </c>
      <c r="G19" s="227">
        <f t="shared" si="0"/>
        <v>852.16499999999996</v>
      </c>
      <c r="H19" s="228">
        <v>3.9</v>
      </c>
      <c r="I19" s="227">
        <f>H19*PARÂMETROS!$E$22</f>
        <v>165.24299999999999</v>
      </c>
      <c r="J19" s="228">
        <v>0.30099999999999999</v>
      </c>
      <c r="K19" s="227">
        <f>J19*PARÂMETROS!$E$22</f>
        <v>12.753369999999999</v>
      </c>
      <c r="L19" s="228">
        <v>2E-3</v>
      </c>
      <c r="M19" s="230">
        <f>L19*PARÂMETROS!$E$8</f>
        <v>6.1780000000000002E-2</v>
      </c>
      <c r="N19" s="228">
        <f t="shared" si="1"/>
        <v>3.9E-2</v>
      </c>
      <c r="O19" s="230">
        <f>N19*PARÂMETROS!$E$8</f>
        <v>1.2047099999999999</v>
      </c>
      <c r="P19" s="228">
        <f t="shared" si="2"/>
        <v>3.0100000000000002E-2</v>
      </c>
      <c r="Q19" s="230">
        <f>P19*PARÂMETROS!$E$8</f>
        <v>0.92978900000000009</v>
      </c>
      <c r="R19" s="228">
        <f t="shared" si="3"/>
        <v>3.9000000000000003E-3</v>
      </c>
      <c r="S19" s="230">
        <f>R19*PARÂMETROS!$E$8</f>
        <v>0.12047100000000001</v>
      </c>
      <c r="T19" s="231">
        <v>1.62</v>
      </c>
      <c r="U19" s="230">
        <f>T19*PARÂMETROS!$E$27</f>
        <v>4.8600000000000003</v>
      </c>
      <c r="V19" s="299">
        <v>4.2</v>
      </c>
      <c r="W19" s="230">
        <f>V19*PARÂMETROS!$E$30</f>
        <v>24.527999999999999</v>
      </c>
      <c r="X19" s="299">
        <v>0.84</v>
      </c>
      <c r="Y19" s="230">
        <f>X19*PARÂMETROS!$E$31</f>
        <v>12.725999999999999</v>
      </c>
      <c r="Z19" s="228">
        <f t="shared" si="4"/>
        <v>3.9E-2</v>
      </c>
      <c r="AA19" s="230">
        <f>Z19*PARÂMETROS!$E$8</f>
        <v>1.2047099999999999</v>
      </c>
      <c r="AB19" s="228">
        <f t="shared" si="5"/>
        <v>3.0100000000000001E-3</v>
      </c>
      <c r="AC19" s="230">
        <f>AB19*PARÂMETROS!$E$8</f>
        <v>9.2978900000000003E-2</v>
      </c>
      <c r="AD19" s="23"/>
      <c r="AE19" s="23"/>
      <c r="AF19" s="232" t="s">
        <v>1397</v>
      </c>
      <c r="AG19" s="264">
        <f t="shared" si="6"/>
        <v>1075.8898088999997</v>
      </c>
      <c r="AI19" s="224" t="s">
        <v>234</v>
      </c>
      <c r="AJ19" s="291">
        <f>PARÂMETROS!$H$3</f>
        <v>40</v>
      </c>
      <c r="AK19" s="267">
        <v>1.7361111111111101E-2</v>
      </c>
      <c r="AL19" s="267">
        <v>2.7777777777777801E-2</v>
      </c>
      <c r="AM19" s="267">
        <v>2.7777777777777801E-2</v>
      </c>
      <c r="AN19" s="267">
        <v>6.9444444444444397E-3</v>
      </c>
      <c r="AO19" s="267">
        <v>2.0833333333333301E-2</v>
      </c>
      <c r="AP19" s="267">
        <v>6.9444444444444397E-3</v>
      </c>
      <c r="AQ19" s="267">
        <v>3.125E-2</v>
      </c>
      <c r="AR19" s="271">
        <v>1</v>
      </c>
      <c r="AS19" s="292">
        <f t="shared" si="7"/>
        <v>0.1388888888888889</v>
      </c>
      <c r="AT19" s="291">
        <f t="shared" si="8"/>
        <v>133.33333333333331</v>
      </c>
      <c r="AU19" s="272">
        <f t="shared" si="9"/>
        <v>133.33333333333331</v>
      </c>
      <c r="AW19" s="273">
        <f t="shared" si="10"/>
        <v>1075.8898088999997</v>
      </c>
      <c r="AX19" s="274">
        <f t="shared" si="11"/>
        <v>133.33333333333331</v>
      </c>
      <c r="AY19" s="275">
        <v>1</v>
      </c>
      <c r="AZ19" s="276">
        <f t="shared" si="12"/>
        <v>133.33333333333331</v>
      </c>
      <c r="BA19" s="293">
        <f t="shared" si="13"/>
        <v>1209.223142233333</v>
      </c>
      <c r="BB19" s="275">
        <v>1</v>
      </c>
      <c r="BU19" s="293">
        <v>80</v>
      </c>
      <c r="BV19" s="293">
        <f t="shared" si="14"/>
        <v>1289.223142233333</v>
      </c>
    </row>
    <row r="20" spans="1:74" ht="27" customHeight="1" x14ac:dyDescent="0.3">
      <c r="A20" s="224" t="s">
        <v>238</v>
      </c>
      <c r="B20" s="225" t="s">
        <v>1384</v>
      </c>
      <c r="C20" s="228">
        <v>34</v>
      </c>
      <c r="D20" s="263">
        <f>C20*D5</f>
        <v>666.06</v>
      </c>
      <c r="E20" s="228">
        <v>15.3</v>
      </c>
      <c r="F20" s="263">
        <f>E20*F5</f>
        <v>299.72700000000003</v>
      </c>
      <c r="G20" s="227">
        <f t="shared" si="0"/>
        <v>965.78700000000003</v>
      </c>
      <c r="H20" s="228">
        <v>4.5</v>
      </c>
      <c r="I20" s="227">
        <f>H20*PARÂMETROS!$E$22</f>
        <v>190.66499999999999</v>
      </c>
      <c r="J20" s="228">
        <v>0.35699999999999998</v>
      </c>
      <c r="K20" s="227">
        <f>J20*PARÂMETROS!$E$22</f>
        <v>15.126089999999998</v>
      </c>
      <c r="L20" s="228">
        <v>2E-3</v>
      </c>
      <c r="M20" s="230">
        <f>L20*PARÂMETROS!$E$8</f>
        <v>6.1780000000000002E-2</v>
      </c>
      <c r="N20" s="228">
        <f t="shared" si="1"/>
        <v>4.4999999999999998E-2</v>
      </c>
      <c r="O20" s="230">
        <f>N20*PARÂMETROS!$E$8</f>
        <v>1.39005</v>
      </c>
      <c r="P20" s="228">
        <f t="shared" si="2"/>
        <v>3.5700000000000003E-2</v>
      </c>
      <c r="Q20" s="230">
        <f>P20*PARÂMETROS!$E$8</f>
        <v>1.102773</v>
      </c>
      <c r="R20" s="228">
        <f t="shared" si="3"/>
        <v>4.4999999999999997E-3</v>
      </c>
      <c r="S20" s="230">
        <f>R20*PARÂMETROS!$E$8</f>
        <v>0.13900499999999999</v>
      </c>
      <c r="T20" s="231">
        <v>1.72</v>
      </c>
      <c r="U20" s="230">
        <f>T20*PARÂMETROS!$E$27</f>
        <v>5.16</v>
      </c>
      <c r="V20" s="299">
        <v>6.84</v>
      </c>
      <c r="W20" s="230">
        <f>V20*PARÂMETROS!$E$30</f>
        <v>39.945599999999999</v>
      </c>
      <c r="X20" s="299">
        <v>1.3680000000000001</v>
      </c>
      <c r="Y20" s="230">
        <f>X20*PARÂMETROS!$E$31</f>
        <v>20.725200000000001</v>
      </c>
      <c r="Z20" s="228">
        <f t="shared" si="4"/>
        <v>4.4999999999999998E-2</v>
      </c>
      <c r="AA20" s="230">
        <f>Z20*PARÂMETROS!$E$8</f>
        <v>1.39005</v>
      </c>
      <c r="AB20" s="228">
        <f t="shared" si="5"/>
        <v>3.5699999999999998E-3</v>
      </c>
      <c r="AC20" s="230">
        <f>AB20*PARÂMETROS!$E$8</f>
        <v>0.11027729999999999</v>
      </c>
      <c r="AF20" s="232" t="s">
        <v>1398</v>
      </c>
      <c r="AG20" s="264">
        <f t="shared" si="6"/>
        <v>1241.6028253000002</v>
      </c>
      <c r="AI20" s="224" t="s">
        <v>238</v>
      </c>
      <c r="AJ20" s="291">
        <f>PARÂMETROS!$H$3</f>
        <v>40</v>
      </c>
      <c r="AK20" s="267">
        <v>1.7361111111111101E-2</v>
      </c>
      <c r="AL20" s="267">
        <v>2.7777777777777801E-2</v>
      </c>
      <c r="AM20" s="267">
        <v>2.7777777777777801E-2</v>
      </c>
      <c r="AN20" s="267">
        <v>6.9444444444444397E-3</v>
      </c>
      <c r="AO20" s="267">
        <v>2.0833333333333301E-2</v>
      </c>
      <c r="AP20" s="267">
        <v>6.9444444444444397E-3</v>
      </c>
      <c r="AQ20" s="267">
        <v>3.125E-2</v>
      </c>
      <c r="AR20" s="271">
        <v>1</v>
      </c>
      <c r="AS20" s="292">
        <f t="shared" si="7"/>
        <v>0.1388888888888889</v>
      </c>
      <c r="AT20" s="291">
        <f t="shared" si="8"/>
        <v>133.33333333333331</v>
      </c>
      <c r="AU20" s="272">
        <f t="shared" si="9"/>
        <v>133.33333333333331</v>
      </c>
      <c r="AW20" s="273">
        <f t="shared" si="10"/>
        <v>1241.6028253000002</v>
      </c>
      <c r="AX20" s="274">
        <f t="shared" si="11"/>
        <v>133.33333333333331</v>
      </c>
      <c r="AY20" s="275">
        <v>1</v>
      </c>
      <c r="AZ20" s="276">
        <f t="shared" si="12"/>
        <v>133.33333333333331</v>
      </c>
      <c r="BA20" s="293">
        <f t="shared" si="13"/>
        <v>1374.9361586333334</v>
      </c>
      <c r="BB20" s="275">
        <v>1</v>
      </c>
      <c r="BU20" s="293">
        <v>80</v>
      </c>
      <c r="BV20" s="293">
        <f t="shared" si="14"/>
        <v>1454.9361586333334</v>
      </c>
    </row>
    <row r="21" spans="1:74" ht="27" customHeight="1" x14ac:dyDescent="0.3">
      <c r="A21" s="224" t="s">
        <v>242</v>
      </c>
      <c r="B21" s="225" t="s">
        <v>1384</v>
      </c>
      <c r="C21" s="228">
        <v>42</v>
      </c>
      <c r="D21" s="263">
        <f>C21*D5</f>
        <v>822.78</v>
      </c>
      <c r="E21" s="228">
        <v>18.899999999999999</v>
      </c>
      <c r="F21" s="263">
        <f>E21*F5</f>
        <v>370.25099999999998</v>
      </c>
      <c r="G21" s="227">
        <f t="shared" si="0"/>
        <v>1193.0309999999999</v>
      </c>
      <c r="H21" s="228">
        <v>5</v>
      </c>
      <c r="I21" s="227">
        <f>H21*PARÂMETROS!$E$22</f>
        <v>211.85</v>
      </c>
      <c r="J21" s="228">
        <v>0.41799999999999998</v>
      </c>
      <c r="K21" s="227">
        <f>J21*PARÂMETROS!$E$22</f>
        <v>17.710659999999997</v>
      </c>
      <c r="L21" s="228">
        <v>2E-3</v>
      </c>
      <c r="M21" s="230">
        <f>L21*PARÂMETROS!$E$8</f>
        <v>6.1780000000000002E-2</v>
      </c>
      <c r="N21" s="228">
        <f t="shared" si="1"/>
        <v>0.05</v>
      </c>
      <c r="O21" s="230">
        <f>N21*PARÂMETROS!$E$8</f>
        <v>1.5445000000000002</v>
      </c>
      <c r="P21" s="228">
        <f t="shared" si="2"/>
        <v>4.1800000000000004E-2</v>
      </c>
      <c r="Q21" s="230">
        <f>P21*PARÂMETROS!$E$8</f>
        <v>1.2912020000000002</v>
      </c>
      <c r="R21" s="228">
        <f t="shared" si="3"/>
        <v>5.000000000000001E-3</v>
      </c>
      <c r="S21" s="230">
        <f>R21*PARÂMETROS!$E$8</f>
        <v>0.15445000000000003</v>
      </c>
      <c r="T21" s="231">
        <v>1.82</v>
      </c>
      <c r="U21" s="230">
        <f>T21*PARÂMETROS!$E$27</f>
        <v>5.46</v>
      </c>
      <c r="V21" s="299">
        <v>6.88</v>
      </c>
      <c r="W21" s="230">
        <f>V21*PARÂMETROS!$E$30</f>
        <v>40.179200000000002</v>
      </c>
      <c r="X21" s="299">
        <v>1.766</v>
      </c>
      <c r="Y21" s="230">
        <f>X21*PARÂMETROS!$E$31</f>
        <v>26.754899999999999</v>
      </c>
      <c r="Z21" s="228">
        <f t="shared" si="4"/>
        <v>0.05</v>
      </c>
      <c r="AA21" s="230">
        <f>Z21*PARÂMETROS!$E$8</f>
        <v>1.5445000000000002</v>
      </c>
      <c r="AB21" s="228">
        <f t="shared" si="5"/>
        <v>4.1799999999999997E-3</v>
      </c>
      <c r="AC21" s="230">
        <f>AB21*PARÂMETROS!$E$8</f>
        <v>0.12912019999999999</v>
      </c>
      <c r="AD21" s="23"/>
      <c r="AE21" s="23"/>
      <c r="AF21" s="232" t="s">
        <v>1399</v>
      </c>
      <c r="AG21" s="264">
        <f t="shared" si="6"/>
        <v>1499.7113121999998</v>
      </c>
      <c r="AI21" s="224" t="s">
        <v>242</v>
      </c>
      <c r="AJ21" s="291">
        <f>PARÂMETROS!$H$3</f>
        <v>40</v>
      </c>
      <c r="AK21" s="267">
        <v>1.7361111111111101E-2</v>
      </c>
      <c r="AL21" s="267">
        <v>4.1666666666666699E-2</v>
      </c>
      <c r="AM21" s="267">
        <v>2.7777777777777801E-2</v>
      </c>
      <c r="AN21" s="267">
        <v>6.9444444444444397E-3</v>
      </c>
      <c r="AO21" s="267">
        <v>2.0833333333333301E-2</v>
      </c>
      <c r="AP21" s="267">
        <v>6.9444444444444397E-3</v>
      </c>
      <c r="AQ21" s="267">
        <v>3.125E-2</v>
      </c>
      <c r="AR21" s="271">
        <v>1</v>
      </c>
      <c r="AS21" s="292">
        <f t="shared" si="7"/>
        <v>0.15277777777777779</v>
      </c>
      <c r="AT21" s="291">
        <f t="shared" si="8"/>
        <v>146.66666666666669</v>
      </c>
      <c r="AU21" s="272">
        <f t="shared" si="9"/>
        <v>146.66666666666669</v>
      </c>
      <c r="AW21" s="273">
        <f t="shared" si="10"/>
        <v>1499.7113121999998</v>
      </c>
      <c r="AX21" s="274">
        <f t="shared" si="11"/>
        <v>146.66666666666669</v>
      </c>
      <c r="AY21" s="275">
        <v>1</v>
      </c>
      <c r="AZ21" s="276">
        <f t="shared" si="12"/>
        <v>146.66666666666669</v>
      </c>
      <c r="BA21" s="293">
        <f t="shared" si="13"/>
        <v>1646.3779788666666</v>
      </c>
      <c r="BB21" s="275">
        <v>1</v>
      </c>
      <c r="BU21" s="293">
        <v>80</v>
      </c>
      <c r="BV21" s="293">
        <f t="shared" si="14"/>
        <v>1726.3779788666666</v>
      </c>
    </row>
    <row r="22" spans="1:74" ht="27" customHeight="1" x14ac:dyDescent="0.3">
      <c r="A22" s="224" t="s">
        <v>246</v>
      </c>
      <c r="B22" s="225" t="s">
        <v>1384</v>
      </c>
      <c r="C22" s="228">
        <v>49</v>
      </c>
      <c r="D22" s="263">
        <f>C22*D5</f>
        <v>959.91</v>
      </c>
      <c r="E22" s="228">
        <v>22.05</v>
      </c>
      <c r="F22" s="263">
        <f>E22*F5</f>
        <v>431.95949999999999</v>
      </c>
      <c r="G22" s="227">
        <f t="shared" si="0"/>
        <v>1391.8695</v>
      </c>
      <c r="H22" s="228">
        <v>5.4</v>
      </c>
      <c r="I22" s="227">
        <f>H22*PARÂMETROS!$E$22</f>
        <v>228.798</v>
      </c>
      <c r="J22" s="228">
        <v>0.498</v>
      </c>
      <c r="K22" s="227">
        <f>J22*PARÂMETROS!$E$22</f>
        <v>21.100259999999999</v>
      </c>
      <c r="L22" s="228">
        <v>2E-3</v>
      </c>
      <c r="M22" s="230">
        <f>L22*PARÂMETROS!$E$8</f>
        <v>6.1780000000000002E-2</v>
      </c>
      <c r="N22" s="228">
        <f t="shared" si="1"/>
        <v>5.4000000000000006E-2</v>
      </c>
      <c r="O22" s="230">
        <f>N22*PARÂMETROS!$E$8</f>
        <v>1.6680600000000003</v>
      </c>
      <c r="P22" s="228">
        <f t="shared" si="2"/>
        <v>4.9800000000000004E-2</v>
      </c>
      <c r="Q22" s="230">
        <f>P22*PARÂMETROS!$E$8</f>
        <v>1.5383220000000002</v>
      </c>
      <c r="R22" s="228">
        <f t="shared" si="3"/>
        <v>5.4000000000000012E-3</v>
      </c>
      <c r="S22" s="230">
        <f>R22*PARÂMETROS!$E$8</f>
        <v>0.16680600000000004</v>
      </c>
      <c r="T22" s="231">
        <v>1.92</v>
      </c>
      <c r="U22" s="230">
        <f>T22*PARÂMETROS!$E$27</f>
        <v>5.76</v>
      </c>
      <c r="V22" s="299">
        <v>6.76</v>
      </c>
      <c r="W22" s="230">
        <f>V22*PARÂMETROS!$E$30</f>
        <v>39.478400000000001</v>
      </c>
      <c r="X22" s="299">
        <v>1.3560000000000001</v>
      </c>
      <c r="Y22" s="230">
        <f>X22*PARÂMETROS!$E$31</f>
        <v>20.543400000000002</v>
      </c>
      <c r="Z22" s="228">
        <f t="shared" si="4"/>
        <v>5.4000000000000006E-2</v>
      </c>
      <c r="AA22" s="230">
        <f>Z22*PARÂMETROS!$E$8</f>
        <v>1.6680600000000003</v>
      </c>
      <c r="AB22" s="228">
        <f t="shared" si="5"/>
        <v>4.9800000000000001E-3</v>
      </c>
      <c r="AC22" s="230">
        <f>AB22*PARÂMETROS!$E$8</f>
        <v>0.1538322</v>
      </c>
      <c r="AF22" s="232" t="s">
        <v>1400</v>
      </c>
      <c r="AG22" s="264">
        <f t="shared" si="6"/>
        <v>1712.8064201999998</v>
      </c>
      <c r="AI22" s="224" t="s">
        <v>246</v>
      </c>
      <c r="AJ22" s="291">
        <f>PARÂMETROS!$H$3</f>
        <v>40</v>
      </c>
      <c r="AK22" s="267">
        <v>1.7361111111111101E-2</v>
      </c>
      <c r="AL22" s="267">
        <v>4.1666666666666699E-2</v>
      </c>
      <c r="AM22" s="267">
        <v>6.9444444444444503E-2</v>
      </c>
      <c r="AN22" s="267">
        <v>6.9444444444444397E-3</v>
      </c>
      <c r="AO22" s="267">
        <v>2.0833333333333301E-2</v>
      </c>
      <c r="AP22" s="267">
        <v>6.9444444444444397E-3</v>
      </c>
      <c r="AQ22" s="267">
        <v>3.125E-2</v>
      </c>
      <c r="AR22" s="271">
        <v>1</v>
      </c>
      <c r="AS22" s="292">
        <f t="shared" si="7"/>
        <v>0.19444444444444448</v>
      </c>
      <c r="AT22" s="291">
        <f t="shared" si="8"/>
        <v>186.66666666666669</v>
      </c>
      <c r="AU22" s="272">
        <f t="shared" si="9"/>
        <v>186.66666666666669</v>
      </c>
      <c r="AW22" s="273">
        <f t="shared" si="10"/>
        <v>1712.8064201999998</v>
      </c>
      <c r="AX22" s="274">
        <f t="shared" si="11"/>
        <v>186.66666666666669</v>
      </c>
      <c r="AY22" s="275">
        <v>1</v>
      </c>
      <c r="AZ22" s="276">
        <f t="shared" si="12"/>
        <v>186.66666666666669</v>
      </c>
      <c r="BA22" s="293">
        <f t="shared" si="13"/>
        <v>1899.4730868666666</v>
      </c>
      <c r="BB22" s="275">
        <v>1</v>
      </c>
      <c r="BU22" s="293">
        <v>80</v>
      </c>
      <c r="BV22" s="293">
        <f t="shared" si="14"/>
        <v>1979.4730868666666</v>
      </c>
    </row>
    <row r="23" spans="1:74" ht="27" customHeight="1" x14ac:dyDescent="0.3">
      <c r="A23" s="224" t="s">
        <v>250</v>
      </c>
      <c r="B23" s="225" t="s">
        <v>1384</v>
      </c>
      <c r="C23" s="228">
        <v>74</v>
      </c>
      <c r="D23" s="263">
        <f>C23*D5</f>
        <v>1449.66</v>
      </c>
      <c r="E23" s="228">
        <v>33.299999999999997</v>
      </c>
      <c r="F23" s="263">
        <f>E23*F5</f>
        <v>652.34699999999998</v>
      </c>
      <c r="G23" s="227">
        <f t="shared" si="0"/>
        <v>2102.0070000000001</v>
      </c>
      <c r="H23" s="228">
        <v>6</v>
      </c>
      <c r="I23" s="227">
        <f>H23*PARÂMETROS!$E$22</f>
        <v>254.21999999999997</v>
      </c>
      <c r="J23" s="228">
        <v>0.54</v>
      </c>
      <c r="K23" s="227">
        <f>J23*PARÂMETROS!$E$22</f>
        <v>22.879799999999999</v>
      </c>
      <c r="L23" s="228">
        <v>2E-3</v>
      </c>
      <c r="M23" s="230">
        <f>L23*PARÂMETROS!$E$8</f>
        <v>6.1780000000000002E-2</v>
      </c>
      <c r="N23" s="228">
        <f t="shared" si="1"/>
        <v>0.06</v>
      </c>
      <c r="O23" s="230">
        <f>N23*PARÂMETROS!$E$8</f>
        <v>1.8533999999999999</v>
      </c>
      <c r="P23" s="228">
        <f t="shared" si="2"/>
        <v>5.4000000000000006E-2</v>
      </c>
      <c r="Q23" s="230">
        <f>P23*PARÂMETROS!$E$8</f>
        <v>1.6680600000000003</v>
      </c>
      <c r="R23" s="228">
        <f t="shared" si="3"/>
        <v>6.0000000000000001E-3</v>
      </c>
      <c r="S23" s="230">
        <f>R23*PARÂMETROS!$E$8</f>
        <v>0.18534</v>
      </c>
      <c r="T23" s="231">
        <v>2</v>
      </c>
      <c r="U23" s="230">
        <f>T23*PARÂMETROS!$E$27</f>
        <v>6</v>
      </c>
      <c r="V23" s="299">
        <v>7.84</v>
      </c>
      <c r="W23" s="230">
        <f>V23*PARÂMETROS!$E$30</f>
        <v>45.785599999999995</v>
      </c>
      <c r="X23" s="299">
        <v>1.5680000000000001</v>
      </c>
      <c r="Y23" s="230">
        <f>X23*PARÂMETROS!$E$31</f>
        <v>23.755200000000002</v>
      </c>
      <c r="Z23" s="228">
        <f t="shared" si="4"/>
        <v>0.06</v>
      </c>
      <c r="AA23" s="230">
        <f>Z23*PARÂMETROS!$E$8</f>
        <v>1.8533999999999999</v>
      </c>
      <c r="AB23" s="228">
        <f t="shared" si="5"/>
        <v>5.4000000000000003E-3</v>
      </c>
      <c r="AC23" s="230">
        <f>AB23*PARÂMETROS!$E$8</f>
        <v>0.16680600000000001</v>
      </c>
      <c r="AD23" s="23"/>
      <c r="AE23" s="23"/>
      <c r="AF23" s="232" t="s">
        <v>1401</v>
      </c>
      <c r="AG23" s="264">
        <f t="shared" si="6"/>
        <v>2460.4363860000003</v>
      </c>
      <c r="AI23" s="224" t="s">
        <v>250</v>
      </c>
      <c r="AJ23" s="291">
        <f>PARÂMETROS!$H$3</f>
        <v>40</v>
      </c>
      <c r="AK23" s="267">
        <v>2.4305555555555601E-2</v>
      </c>
      <c r="AL23" s="267">
        <v>8.3333333333333301E-2</v>
      </c>
      <c r="AM23" s="267">
        <v>6.9444444444444503E-2</v>
      </c>
      <c r="AN23" s="267">
        <v>6.9444444444444397E-3</v>
      </c>
      <c r="AO23" s="267">
        <v>2.0833333333333301E-2</v>
      </c>
      <c r="AP23" s="267">
        <v>6.9444444444444397E-3</v>
      </c>
      <c r="AQ23" s="267">
        <v>3.125E-2</v>
      </c>
      <c r="AR23" s="271">
        <v>1</v>
      </c>
      <c r="AS23" s="292">
        <f t="shared" si="7"/>
        <v>0.24305555555555561</v>
      </c>
      <c r="AT23" s="291">
        <f t="shared" si="8"/>
        <v>233.3333333333334</v>
      </c>
      <c r="AU23" s="272">
        <f t="shared" si="9"/>
        <v>233.3333333333334</v>
      </c>
      <c r="AW23" s="273">
        <f t="shared" si="10"/>
        <v>2460.4363860000003</v>
      </c>
      <c r="AX23" s="274">
        <f t="shared" si="11"/>
        <v>233.3333333333334</v>
      </c>
      <c r="AY23" s="275">
        <v>1</v>
      </c>
      <c r="AZ23" s="276">
        <f t="shared" si="12"/>
        <v>233.3333333333334</v>
      </c>
      <c r="BA23" s="293">
        <f t="shared" si="13"/>
        <v>2693.7697193333338</v>
      </c>
      <c r="BB23" s="275">
        <v>1</v>
      </c>
      <c r="BU23" s="293">
        <v>80</v>
      </c>
      <c r="BV23" s="293">
        <f t="shared" si="14"/>
        <v>2773.7697193333338</v>
      </c>
    </row>
    <row r="24" spans="1:74" ht="27" customHeight="1" x14ac:dyDescent="0.3">
      <c r="A24" s="224" t="s">
        <v>254</v>
      </c>
      <c r="B24" s="225" t="s">
        <v>1384</v>
      </c>
      <c r="C24" s="228">
        <v>84</v>
      </c>
      <c r="D24" s="263">
        <f>C24*D5</f>
        <v>1645.56</v>
      </c>
      <c r="E24" s="228">
        <v>37.799999999999997</v>
      </c>
      <c r="F24" s="263">
        <f>E24*F5</f>
        <v>740.50199999999995</v>
      </c>
      <c r="G24" s="227">
        <f t="shared" si="0"/>
        <v>2386.0619999999999</v>
      </c>
      <c r="H24" s="228">
        <v>6.4</v>
      </c>
      <c r="I24" s="227">
        <f>H24*PARÂMETROS!$E$22</f>
        <v>271.16800000000001</v>
      </c>
      <c r="J24" s="228">
        <v>0.61499999999999999</v>
      </c>
      <c r="K24" s="227">
        <f>J24*PARÂMETROS!$E$22</f>
        <v>26.057549999999999</v>
      </c>
      <c r="L24" s="228">
        <v>2E-3</v>
      </c>
      <c r="M24" s="230">
        <f>L24*PARÂMETROS!$E$8</f>
        <v>6.1780000000000002E-2</v>
      </c>
      <c r="N24" s="228">
        <f t="shared" si="1"/>
        <v>6.4000000000000001E-2</v>
      </c>
      <c r="O24" s="230">
        <f>N24*PARÂMETROS!$E$8</f>
        <v>1.9769600000000001</v>
      </c>
      <c r="P24" s="228">
        <f t="shared" si="2"/>
        <v>6.1499999999999999E-2</v>
      </c>
      <c r="Q24" s="230">
        <f>P24*PARÂMETROS!$E$8</f>
        <v>1.899735</v>
      </c>
      <c r="R24" s="228">
        <f t="shared" si="3"/>
        <v>6.4000000000000003E-3</v>
      </c>
      <c r="S24" s="230">
        <f>R24*PARÂMETROS!$E$8</f>
        <v>0.19769600000000001</v>
      </c>
      <c r="T24" s="231">
        <v>2.1</v>
      </c>
      <c r="U24" s="230">
        <f>T24*PARÂMETROS!$E$27</f>
        <v>6.3000000000000007</v>
      </c>
      <c r="V24" s="299">
        <v>9.48</v>
      </c>
      <c r="W24" s="230">
        <f>V24*PARÂMETROS!$E$30</f>
        <v>55.363199999999999</v>
      </c>
      <c r="X24" s="299">
        <v>1.9279999999999999</v>
      </c>
      <c r="Y24" s="230">
        <f>X24*PARÂMETROS!$E$31</f>
        <v>29.209199999999999</v>
      </c>
      <c r="Z24" s="228">
        <f t="shared" si="4"/>
        <v>6.4000000000000001E-2</v>
      </c>
      <c r="AA24" s="230">
        <f>Z24*PARÂMETROS!$E$8</f>
        <v>1.9769600000000001</v>
      </c>
      <c r="AB24" s="228">
        <f t="shared" si="5"/>
        <v>6.1500000000000001E-3</v>
      </c>
      <c r="AC24" s="230">
        <f>AB24*PARÂMETROS!$E$8</f>
        <v>0.18997350000000002</v>
      </c>
      <c r="AF24" s="232" t="s">
        <v>1402</v>
      </c>
      <c r="AG24" s="264">
        <f t="shared" si="6"/>
        <v>2780.4630544999995</v>
      </c>
      <c r="AI24" s="224" t="s">
        <v>254</v>
      </c>
      <c r="AJ24" s="291">
        <f>PARÂMETROS!$H$3</f>
        <v>40</v>
      </c>
      <c r="AK24" s="267">
        <v>2.4305555555555601E-2</v>
      </c>
      <c r="AL24" s="267">
        <v>8.3333333333333301E-2</v>
      </c>
      <c r="AM24" s="267">
        <v>6.9444444444444503E-2</v>
      </c>
      <c r="AN24" s="267">
        <v>6.9444444444444397E-3</v>
      </c>
      <c r="AO24" s="267">
        <v>2.0833333333333301E-2</v>
      </c>
      <c r="AP24" s="267">
        <v>6.9444444444444397E-3</v>
      </c>
      <c r="AQ24" s="267">
        <v>3.125E-2</v>
      </c>
      <c r="AR24" s="271">
        <v>1</v>
      </c>
      <c r="AS24" s="292">
        <f t="shared" si="7"/>
        <v>0.24305555555555561</v>
      </c>
      <c r="AT24" s="291">
        <f t="shared" si="8"/>
        <v>233.3333333333334</v>
      </c>
      <c r="AU24" s="272">
        <f t="shared" si="9"/>
        <v>233.3333333333334</v>
      </c>
      <c r="AW24" s="273">
        <f t="shared" si="10"/>
        <v>2780.4630544999995</v>
      </c>
      <c r="AX24" s="274">
        <f t="shared" si="11"/>
        <v>233.3333333333334</v>
      </c>
      <c r="AY24" s="275">
        <v>1</v>
      </c>
      <c r="AZ24" s="276">
        <f t="shared" si="12"/>
        <v>233.3333333333334</v>
      </c>
      <c r="BA24" s="293">
        <f t="shared" si="13"/>
        <v>3013.796387833333</v>
      </c>
      <c r="BB24" s="275">
        <v>1</v>
      </c>
      <c r="BU24" s="293">
        <v>80</v>
      </c>
      <c r="BV24" s="293">
        <f t="shared" si="14"/>
        <v>3093.796387833333</v>
      </c>
    </row>
    <row r="25" spans="1:74" ht="27" customHeight="1" x14ac:dyDescent="0.3">
      <c r="A25" s="224" t="s">
        <v>258</v>
      </c>
      <c r="B25" s="225" t="s">
        <v>1384</v>
      </c>
      <c r="C25" s="228">
        <v>95</v>
      </c>
      <c r="D25" s="263">
        <f>C25*D5</f>
        <v>1861.05</v>
      </c>
      <c r="E25" s="228">
        <v>42.75</v>
      </c>
      <c r="F25" s="263">
        <f>E25*F5</f>
        <v>837.47249999999997</v>
      </c>
      <c r="G25" s="227">
        <f t="shared" si="0"/>
        <v>2698.5225</v>
      </c>
      <c r="H25" s="228">
        <v>7.7</v>
      </c>
      <c r="I25" s="227">
        <f>H25*PARÂMETROS!$E$22</f>
        <v>326.24899999999997</v>
      </c>
      <c r="J25" s="228">
        <v>0.71</v>
      </c>
      <c r="K25" s="227">
        <f>J25*PARÂMETROS!$E$22</f>
        <v>30.082699999999996</v>
      </c>
      <c r="L25" s="228">
        <v>2E-3</v>
      </c>
      <c r="M25" s="230">
        <f>L25*PARÂMETROS!$E$8</f>
        <v>6.1780000000000002E-2</v>
      </c>
      <c r="N25" s="228">
        <f t="shared" si="1"/>
        <v>7.6999999999999999E-2</v>
      </c>
      <c r="O25" s="230">
        <f>N25*PARÂMETROS!$E$8</f>
        <v>2.37853</v>
      </c>
      <c r="P25" s="228">
        <f t="shared" si="2"/>
        <v>7.0999999999999994E-2</v>
      </c>
      <c r="Q25" s="230">
        <f>P25*PARÂMETROS!$E$8</f>
        <v>2.19319</v>
      </c>
      <c r="R25" s="228">
        <f t="shared" si="3"/>
        <v>7.7000000000000002E-3</v>
      </c>
      <c r="S25" s="230">
        <f>R25*PARÂMETROS!$E$8</f>
        <v>0.23785300000000001</v>
      </c>
      <c r="T25" s="231">
        <v>2.2000000000000002</v>
      </c>
      <c r="U25" s="230">
        <f>T25*PARÂMETROS!$E$27</f>
        <v>6.6000000000000005</v>
      </c>
      <c r="V25" s="299">
        <v>9.64</v>
      </c>
      <c r="W25" s="230">
        <f>V25*PARÂMETROS!$E$30</f>
        <v>56.297600000000003</v>
      </c>
      <c r="X25" s="299">
        <v>1.88</v>
      </c>
      <c r="Y25" s="230">
        <f>X25*PARÂMETROS!$E$31</f>
        <v>28.481999999999999</v>
      </c>
      <c r="Z25" s="228">
        <f t="shared" si="4"/>
        <v>7.6999999999999999E-2</v>
      </c>
      <c r="AA25" s="230">
        <f>Z25*PARÂMETROS!$E$8</f>
        <v>2.37853</v>
      </c>
      <c r="AB25" s="228">
        <f t="shared" si="5"/>
        <v>7.0999999999999995E-3</v>
      </c>
      <c r="AC25" s="230">
        <f>AB25*PARÂMETROS!$E$8</f>
        <v>0.21931899999999999</v>
      </c>
      <c r="AD25" s="23"/>
      <c r="AE25" s="23"/>
      <c r="AF25" s="232" t="s">
        <v>1403</v>
      </c>
      <c r="AG25" s="264">
        <f t="shared" si="6"/>
        <v>3153.7030019999997</v>
      </c>
      <c r="AI25" s="224" t="s">
        <v>258</v>
      </c>
      <c r="AJ25" s="291">
        <f>PARÂMETROS!$H$3</f>
        <v>40</v>
      </c>
      <c r="AK25" s="267">
        <v>2.4305555555555601E-2</v>
      </c>
      <c r="AL25" s="267">
        <v>8.3333333333333301E-2</v>
      </c>
      <c r="AM25" s="267">
        <v>6.9444444444444503E-2</v>
      </c>
      <c r="AN25" s="267">
        <v>6.9444444444444397E-3</v>
      </c>
      <c r="AO25" s="267">
        <v>2.0833333333333301E-2</v>
      </c>
      <c r="AP25" s="267">
        <v>6.9444444444444397E-3</v>
      </c>
      <c r="AQ25" s="267">
        <v>3.125E-2</v>
      </c>
      <c r="AR25" s="271">
        <v>1</v>
      </c>
      <c r="AS25" s="292">
        <f t="shared" si="7"/>
        <v>0.24305555555555561</v>
      </c>
      <c r="AT25" s="291">
        <f t="shared" si="8"/>
        <v>233.3333333333334</v>
      </c>
      <c r="AU25" s="272">
        <f t="shared" si="9"/>
        <v>233.3333333333334</v>
      </c>
      <c r="AW25" s="273">
        <f t="shared" si="10"/>
        <v>3153.7030019999997</v>
      </c>
      <c r="AX25" s="274">
        <f t="shared" si="11"/>
        <v>233.3333333333334</v>
      </c>
      <c r="AY25" s="275">
        <v>1</v>
      </c>
      <c r="AZ25" s="276">
        <f t="shared" si="12"/>
        <v>233.3333333333334</v>
      </c>
      <c r="BA25" s="293">
        <f t="shared" si="13"/>
        <v>3387.0363353333332</v>
      </c>
      <c r="BB25" s="275">
        <v>1</v>
      </c>
      <c r="BU25" s="293">
        <v>80</v>
      </c>
      <c r="BV25" s="293">
        <f t="shared" si="14"/>
        <v>3467.0363353333332</v>
      </c>
    </row>
    <row r="26" spans="1:74" ht="27" customHeight="1" x14ac:dyDescent="0.3">
      <c r="A26" s="224" t="s">
        <v>262</v>
      </c>
      <c r="B26" s="225" t="s">
        <v>1384</v>
      </c>
      <c r="C26" s="228">
        <v>120</v>
      </c>
      <c r="D26" s="263">
        <f>C26*D5</f>
        <v>2350.8000000000002</v>
      </c>
      <c r="E26" s="228">
        <v>45</v>
      </c>
      <c r="F26" s="263">
        <f>E26*F5</f>
        <v>881.55</v>
      </c>
      <c r="G26" s="227">
        <f t="shared" si="0"/>
        <v>3232.3500000000004</v>
      </c>
      <c r="H26" s="228">
        <v>8.4</v>
      </c>
      <c r="I26" s="227">
        <f>H26*PARÂMETROS!$E$22</f>
        <v>355.90800000000002</v>
      </c>
      <c r="J26" s="228">
        <v>0.79500000000000004</v>
      </c>
      <c r="K26" s="227">
        <f>J26*PARÂMETROS!$E$22</f>
        <v>33.684150000000002</v>
      </c>
      <c r="L26" s="228">
        <v>2E-3</v>
      </c>
      <c r="M26" s="230">
        <f>L26*PARÂMETROS!$E$8</f>
        <v>6.1780000000000002E-2</v>
      </c>
      <c r="N26" s="228">
        <f t="shared" si="1"/>
        <v>8.4000000000000005E-2</v>
      </c>
      <c r="O26" s="230">
        <f>N26*PARÂMETROS!$E$8</f>
        <v>2.5947600000000004</v>
      </c>
      <c r="P26" s="228">
        <f t="shared" si="2"/>
        <v>7.9500000000000015E-2</v>
      </c>
      <c r="Q26" s="230">
        <f>P26*PARÂMETROS!$E$8</f>
        <v>2.4557550000000004</v>
      </c>
      <c r="R26" s="228">
        <f t="shared" si="3"/>
        <v>8.4000000000000012E-3</v>
      </c>
      <c r="S26" s="230">
        <f>R26*PARÂMETROS!$E$8</f>
        <v>0.25947600000000004</v>
      </c>
      <c r="T26" s="231">
        <v>2.2999999999999998</v>
      </c>
      <c r="U26" s="230">
        <f>T26*PARÂMETROS!$E$27</f>
        <v>6.8999999999999995</v>
      </c>
      <c r="V26" s="299">
        <v>9.4</v>
      </c>
      <c r="W26" s="230">
        <f>V26*PARÂMETROS!$E$30</f>
        <v>54.896000000000001</v>
      </c>
      <c r="X26" s="299">
        <v>1.8560000000000001</v>
      </c>
      <c r="Y26" s="230">
        <f>X26*PARÂMETROS!$E$31</f>
        <v>28.118400000000001</v>
      </c>
      <c r="Z26" s="228">
        <f t="shared" si="4"/>
        <v>8.4000000000000005E-2</v>
      </c>
      <c r="AA26" s="230">
        <f>Z26*PARÂMETROS!$E$8</f>
        <v>2.5947600000000004</v>
      </c>
      <c r="AB26" s="228">
        <f t="shared" si="5"/>
        <v>7.9500000000000005E-3</v>
      </c>
      <c r="AC26" s="230">
        <f>AB26*PARÂMETROS!$E$8</f>
        <v>0.24557550000000003</v>
      </c>
      <c r="AF26" s="232" t="s">
        <v>1404</v>
      </c>
      <c r="AG26" s="264">
        <f t="shared" si="6"/>
        <v>3720.0686565000005</v>
      </c>
      <c r="AI26" s="224" t="s">
        <v>262</v>
      </c>
      <c r="AJ26" s="291">
        <f>PARÂMETROS!$H$3</f>
        <v>40</v>
      </c>
      <c r="AK26" s="267">
        <v>2.4305555555555601E-2</v>
      </c>
      <c r="AL26" s="267">
        <v>8.3333333333333301E-2</v>
      </c>
      <c r="AM26" s="267">
        <v>6.9444444444444503E-2</v>
      </c>
      <c r="AN26" s="267">
        <v>6.9444444444444397E-3</v>
      </c>
      <c r="AO26" s="267">
        <v>2.0833333333333301E-2</v>
      </c>
      <c r="AP26" s="267">
        <v>6.9444444444444397E-3</v>
      </c>
      <c r="AQ26" s="267">
        <v>3.125E-2</v>
      </c>
      <c r="AR26" s="271">
        <v>1</v>
      </c>
      <c r="AS26" s="292">
        <f t="shared" si="7"/>
        <v>0.24305555555555561</v>
      </c>
      <c r="AT26" s="291">
        <f t="shared" si="8"/>
        <v>233.3333333333334</v>
      </c>
      <c r="AU26" s="272">
        <f t="shared" si="9"/>
        <v>233.3333333333334</v>
      </c>
      <c r="AW26" s="273">
        <f t="shared" si="10"/>
        <v>3720.0686565000005</v>
      </c>
      <c r="AX26" s="274">
        <f t="shared" si="11"/>
        <v>233.3333333333334</v>
      </c>
      <c r="AY26" s="275">
        <v>1</v>
      </c>
      <c r="AZ26" s="276">
        <f t="shared" si="12"/>
        <v>233.3333333333334</v>
      </c>
      <c r="BA26" s="293">
        <f t="shared" si="13"/>
        <v>3953.401989833334</v>
      </c>
      <c r="BB26" s="275">
        <v>1</v>
      </c>
      <c r="BU26" s="293">
        <v>80</v>
      </c>
      <c r="BV26" s="293">
        <f t="shared" si="14"/>
        <v>4033.401989833334</v>
      </c>
    </row>
    <row r="27" spans="1:74" ht="27" customHeight="1" x14ac:dyDescent="0.3">
      <c r="A27" s="224" t="s">
        <v>266</v>
      </c>
      <c r="B27" s="225" t="s">
        <v>1384</v>
      </c>
      <c r="C27" s="228">
        <v>140</v>
      </c>
      <c r="D27" s="263">
        <f>C27*D5</f>
        <v>2742.6</v>
      </c>
      <c r="E27" s="228">
        <v>63</v>
      </c>
      <c r="F27" s="263">
        <f>E27*F5</f>
        <v>1234.17</v>
      </c>
      <c r="G27" s="227">
        <f t="shared" si="0"/>
        <v>3976.77</v>
      </c>
      <c r="H27" s="228">
        <v>9</v>
      </c>
      <c r="I27" s="227">
        <f>H27*PARÂMETROS!$E$22</f>
        <v>381.33</v>
      </c>
      <c r="J27" s="228">
        <v>0.88500000000000001</v>
      </c>
      <c r="K27" s="227">
        <f>J27*PARÂMETROS!$E$22</f>
        <v>37.497450000000001</v>
      </c>
      <c r="L27" s="228">
        <v>2E-3</v>
      </c>
      <c r="M27" s="230">
        <f>L27*PARÂMETROS!$E$8</f>
        <v>6.1780000000000002E-2</v>
      </c>
      <c r="N27" s="228">
        <f t="shared" si="1"/>
        <v>0.09</v>
      </c>
      <c r="O27" s="230">
        <f>N27*PARÂMETROS!$E$8</f>
        <v>2.7801</v>
      </c>
      <c r="P27" s="228">
        <f t="shared" si="2"/>
        <v>8.8500000000000009E-2</v>
      </c>
      <c r="Q27" s="230">
        <f>P27*PARÂMETROS!$E$8</f>
        <v>2.7337650000000004</v>
      </c>
      <c r="R27" s="228">
        <f t="shared" si="3"/>
        <v>8.9999999999999993E-3</v>
      </c>
      <c r="S27" s="230">
        <f>R27*PARÂMETROS!$E$8</f>
        <v>0.27800999999999998</v>
      </c>
      <c r="T27" s="231">
        <v>2.4</v>
      </c>
      <c r="U27" s="230">
        <f>T27*PARÂMETROS!$E$27</f>
        <v>7.1999999999999993</v>
      </c>
      <c r="V27" s="299">
        <v>9.2799999999999994</v>
      </c>
      <c r="W27" s="230">
        <f>V27*PARÂMETROS!$E$30</f>
        <v>54.195199999999993</v>
      </c>
      <c r="X27" s="299">
        <v>2.008</v>
      </c>
      <c r="Y27" s="230">
        <f>X27*PARÂMETROS!$E$31</f>
        <v>30.421200000000002</v>
      </c>
      <c r="Z27" s="228">
        <f t="shared" si="4"/>
        <v>0.09</v>
      </c>
      <c r="AA27" s="230">
        <f>Z27*PARÂMETROS!$E$8</f>
        <v>2.7801</v>
      </c>
      <c r="AB27" s="228">
        <f t="shared" si="5"/>
        <v>8.8500000000000002E-3</v>
      </c>
      <c r="AC27" s="230">
        <f>AB27*PARÂMETROS!$E$8</f>
        <v>0.27337650000000002</v>
      </c>
      <c r="AD27" s="23"/>
      <c r="AE27" s="23"/>
      <c r="AF27" s="232" t="s">
        <v>1405</v>
      </c>
      <c r="AG27" s="264">
        <f t="shared" si="6"/>
        <v>4496.3209815</v>
      </c>
      <c r="AI27" s="224" t="s">
        <v>266</v>
      </c>
      <c r="AJ27" s="291">
        <f>PARÂMETROS!$H$3</f>
        <v>40</v>
      </c>
      <c r="AK27" s="267">
        <v>2.7777777777777801E-2</v>
      </c>
      <c r="AL27" s="267">
        <v>0.11111111111111099</v>
      </c>
      <c r="AM27" s="267">
        <v>6.9444444444444503E-2</v>
      </c>
      <c r="AN27" s="267">
        <v>6.9444444444444397E-3</v>
      </c>
      <c r="AO27" s="267">
        <v>2.0833333333333301E-2</v>
      </c>
      <c r="AP27" s="267">
        <v>6.9444444444444397E-3</v>
      </c>
      <c r="AQ27" s="267">
        <v>3.125E-2</v>
      </c>
      <c r="AR27" s="271">
        <v>1</v>
      </c>
      <c r="AS27" s="292">
        <f t="shared" si="7"/>
        <v>0.27430555555555547</v>
      </c>
      <c r="AT27" s="291">
        <f t="shared" si="8"/>
        <v>263.33333333333326</v>
      </c>
      <c r="AU27" s="272">
        <f t="shared" si="9"/>
        <v>263.33333333333326</v>
      </c>
      <c r="AW27" s="273">
        <f t="shared" si="10"/>
        <v>4496.3209815</v>
      </c>
      <c r="AX27" s="274">
        <f t="shared" si="11"/>
        <v>263.33333333333326</v>
      </c>
      <c r="AY27" s="275">
        <v>1</v>
      </c>
      <c r="AZ27" s="276">
        <f t="shared" si="12"/>
        <v>263.33333333333326</v>
      </c>
      <c r="BA27" s="293">
        <f t="shared" si="13"/>
        <v>4759.654314833333</v>
      </c>
      <c r="BB27" s="275">
        <v>1</v>
      </c>
      <c r="BU27" s="293">
        <v>80</v>
      </c>
      <c r="BV27" s="293">
        <f t="shared" si="14"/>
        <v>4839.654314833333</v>
      </c>
    </row>
    <row r="28" spans="1:74" ht="27" customHeight="1" x14ac:dyDescent="0.3">
      <c r="A28" s="224" t="s">
        <v>270</v>
      </c>
      <c r="B28" s="225" t="s">
        <v>1384</v>
      </c>
      <c r="C28" s="228">
        <v>150</v>
      </c>
      <c r="D28" s="263">
        <f>C28*D5</f>
        <v>2938.5</v>
      </c>
      <c r="E28" s="228">
        <v>68</v>
      </c>
      <c r="F28" s="263">
        <f>E28*F5</f>
        <v>1332.12</v>
      </c>
      <c r="G28" s="227">
        <f t="shared" si="0"/>
        <v>4270.62</v>
      </c>
      <c r="H28" s="228">
        <v>9.6999999999999993</v>
      </c>
      <c r="I28" s="227">
        <f>H28*PARÂMETROS!$E$22</f>
        <v>410.98899999999992</v>
      </c>
      <c r="J28" s="228">
        <v>0.96</v>
      </c>
      <c r="K28" s="227">
        <f>J28*PARÂMETROS!$E$22</f>
        <v>40.675199999999997</v>
      </c>
      <c r="L28" s="228">
        <v>2E-3</v>
      </c>
      <c r="M28" s="230">
        <f>L28*PARÂMETROS!$E$8</f>
        <v>6.1780000000000002E-2</v>
      </c>
      <c r="N28" s="228">
        <f t="shared" si="1"/>
        <v>9.6999999999999989E-2</v>
      </c>
      <c r="O28" s="230">
        <f>N28*PARÂMETROS!$E$8</f>
        <v>2.9963299999999995</v>
      </c>
      <c r="P28" s="228">
        <f t="shared" si="2"/>
        <v>9.6000000000000002E-2</v>
      </c>
      <c r="Q28" s="230">
        <f>P28*PARÂMETROS!$E$8</f>
        <v>2.9654400000000001</v>
      </c>
      <c r="R28" s="228">
        <f t="shared" si="3"/>
        <v>9.7000000000000003E-3</v>
      </c>
      <c r="S28" s="230">
        <f>R28*PARÂMETROS!$E$8</f>
        <v>0.29963300000000004</v>
      </c>
      <c r="T28" s="231">
        <v>2.5</v>
      </c>
      <c r="U28" s="230">
        <f>T28*PARÂMETROS!$E$27</f>
        <v>7.5</v>
      </c>
      <c r="V28" s="299">
        <v>10.039999999999999</v>
      </c>
      <c r="W28" s="230">
        <f>V28*PARÂMETROS!$E$30</f>
        <v>58.633599999999994</v>
      </c>
      <c r="X28" s="299">
        <v>2.1680000000000001</v>
      </c>
      <c r="Y28" s="230">
        <f>X28*PARÂMETROS!$E$31</f>
        <v>32.845200000000006</v>
      </c>
      <c r="Z28" s="228">
        <f t="shared" si="4"/>
        <v>9.6999999999999989E-2</v>
      </c>
      <c r="AA28" s="230">
        <f>Z28*PARÂMETROS!$E$8</f>
        <v>2.9963299999999995</v>
      </c>
      <c r="AB28" s="228">
        <f t="shared" si="5"/>
        <v>9.5999999999999992E-3</v>
      </c>
      <c r="AC28" s="230">
        <f>AB28*PARÂMETROS!$E$8</f>
        <v>0.29654399999999997</v>
      </c>
      <c r="AF28" s="232" t="s">
        <v>1406</v>
      </c>
      <c r="AG28" s="264">
        <f t="shared" si="6"/>
        <v>4830.8790569999992</v>
      </c>
      <c r="AI28" s="224" t="s">
        <v>270</v>
      </c>
      <c r="AJ28" s="291">
        <f>PARÂMETROS!$H$3</f>
        <v>40</v>
      </c>
      <c r="AK28" s="267">
        <v>2.7777777777777801E-2</v>
      </c>
      <c r="AL28" s="267">
        <v>0.11111111111111099</v>
      </c>
      <c r="AM28" s="267">
        <v>6.9444444444444503E-2</v>
      </c>
      <c r="AN28" s="267">
        <v>6.9444444444444397E-3</v>
      </c>
      <c r="AO28" s="267">
        <v>2.0833333333333301E-2</v>
      </c>
      <c r="AP28" s="267">
        <v>6.9444444444444397E-3</v>
      </c>
      <c r="AQ28" s="267">
        <v>3.125E-2</v>
      </c>
      <c r="AR28" s="271">
        <v>1</v>
      </c>
      <c r="AS28" s="292">
        <f t="shared" si="7"/>
        <v>0.27430555555555547</v>
      </c>
      <c r="AT28" s="291">
        <f t="shared" si="8"/>
        <v>263.33333333333326</v>
      </c>
      <c r="AU28" s="272">
        <f t="shared" si="9"/>
        <v>263.33333333333326</v>
      </c>
      <c r="AW28" s="273">
        <f t="shared" si="10"/>
        <v>4830.8790569999992</v>
      </c>
      <c r="AX28" s="274">
        <f t="shared" si="11"/>
        <v>263.33333333333326</v>
      </c>
      <c r="AY28" s="275">
        <v>1</v>
      </c>
      <c r="AZ28" s="276">
        <f t="shared" si="12"/>
        <v>263.33333333333326</v>
      </c>
      <c r="BA28" s="293">
        <f t="shared" si="13"/>
        <v>5094.2123903333322</v>
      </c>
      <c r="BB28" s="275">
        <v>1</v>
      </c>
      <c r="BU28" s="293">
        <v>80</v>
      </c>
      <c r="BV28" s="293">
        <f t="shared" si="14"/>
        <v>5174.2123903333322</v>
      </c>
    </row>
    <row r="29" spans="1:74" ht="27" customHeight="1" x14ac:dyDescent="0.3">
      <c r="A29" s="224" t="s">
        <v>274</v>
      </c>
      <c r="B29" s="225" t="s">
        <v>1384</v>
      </c>
      <c r="C29" s="228">
        <v>170</v>
      </c>
      <c r="D29" s="263">
        <f>C29*D5</f>
        <v>3330.3</v>
      </c>
      <c r="E29" s="228">
        <v>76.5</v>
      </c>
      <c r="F29" s="263">
        <f>E29*F5</f>
        <v>1498.635</v>
      </c>
      <c r="G29" s="227">
        <f t="shared" si="0"/>
        <v>4828.9350000000004</v>
      </c>
      <c r="H29" s="228">
        <v>10.4</v>
      </c>
      <c r="I29" s="227">
        <f>H29*PARÂMETROS!$E$22</f>
        <v>440.64799999999997</v>
      </c>
      <c r="J29" s="228">
        <v>1.079</v>
      </c>
      <c r="K29" s="227">
        <f>J29*PARÂMETROS!$E$22</f>
        <v>45.717229999999994</v>
      </c>
      <c r="L29" s="228">
        <v>2E-3</v>
      </c>
      <c r="M29" s="230">
        <f>L29*PARÂMETROS!$E$8</f>
        <v>6.1780000000000002E-2</v>
      </c>
      <c r="N29" s="228">
        <f t="shared" si="1"/>
        <v>0.10400000000000001</v>
      </c>
      <c r="O29" s="230">
        <f>N29*PARÂMETROS!$E$8</f>
        <v>3.2125600000000003</v>
      </c>
      <c r="P29" s="228">
        <f t="shared" si="2"/>
        <v>0.1079</v>
      </c>
      <c r="Q29" s="230">
        <f>P29*PARÂMETROS!$E$8</f>
        <v>3.3330310000000001</v>
      </c>
      <c r="R29" s="228">
        <f t="shared" si="3"/>
        <v>1.0400000000000001E-2</v>
      </c>
      <c r="S29" s="230">
        <f>R29*PARÂMETROS!$E$8</f>
        <v>0.32125600000000004</v>
      </c>
      <c r="T29" s="231">
        <v>2.6</v>
      </c>
      <c r="U29" s="230">
        <f>T29*PARÂMETROS!$E$27</f>
        <v>7.8000000000000007</v>
      </c>
      <c r="V29" s="299">
        <v>10.84</v>
      </c>
      <c r="W29" s="230">
        <f>V29*PARÂMETROS!$E$30</f>
        <v>63.305599999999998</v>
      </c>
      <c r="X29" s="299">
        <v>2.488</v>
      </c>
      <c r="Y29" s="230">
        <f>X29*PARÂMETROS!$E$31</f>
        <v>37.693199999999997</v>
      </c>
      <c r="Z29" s="228">
        <f t="shared" si="4"/>
        <v>0.10400000000000001</v>
      </c>
      <c r="AA29" s="230">
        <f>Z29*PARÂMETROS!$E$8</f>
        <v>3.2125600000000003</v>
      </c>
      <c r="AB29" s="228">
        <f t="shared" si="5"/>
        <v>1.0789999999999999E-2</v>
      </c>
      <c r="AC29" s="230">
        <f>AB29*PARÂMETROS!$E$8</f>
        <v>0.33330309999999996</v>
      </c>
      <c r="AD29" s="23"/>
      <c r="AE29" s="23"/>
      <c r="AF29" s="232" t="s">
        <v>1407</v>
      </c>
      <c r="AG29" s="264">
        <f t="shared" si="6"/>
        <v>5434.5735200999998</v>
      </c>
      <c r="AI29" s="224" t="s">
        <v>274</v>
      </c>
      <c r="AJ29" s="291">
        <f>PARÂMETROS!$H$3</f>
        <v>40</v>
      </c>
      <c r="AK29" s="267">
        <v>2.7777777777777801E-2</v>
      </c>
      <c r="AL29" s="267">
        <v>0.11111111111111099</v>
      </c>
      <c r="AM29" s="267">
        <v>6.9444444444444503E-2</v>
      </c>
      <c r="AN29" s="267">
        <v>6.9444444444444397E-3</v>
      </c>
      <c r="AO29" s="267">
        <v>2.0833333333333301E-2</v>
      </c>
      <c r="AP29" s="267">
        <v>6.9444444444444397E-3</v>
      </c>
      <c r="AQ29" s="267">
        <v>3.125E-2</v>
      </c>
      <c r="AR29" s="271">
        <v>1</v>
      </c>
      <c r="AS29" s="292">
        <f t="shared" si="7"/>
        <v>0.27430555555555547</v>
      </c>
      <c r="AT29" s="291">
        <f t="shared" si="8"/>
        <v>263.33333333333326</v>
      </c>
      <c r="AU29" s="272">
        <f t="shared" si="9"/>
        <v>263.33333333333326</v>
      </c>
      <c r="AW29" s="273">
        <f t="shared" si="10"/>
        <v>5434.5735200999998</v>
      </c>
      <c r="AX29" s="274">
        <f t="shared" si="11"/>
        <v>263.33333333333326</v>
      </c>
      <c r="AY29" s="275">
        <v>1</v>
      </c>
      <c r="AZ29" s="276">
        <f t="shared" si="12"/>
        <v>263.33333333333326</v>
      </c>
      <c r="BA29" s="293">
        <f t="shared" si="13"/>
        <v>5697.9068534333328</v>
      </c>
      <c r="BB29" s="275">
        <v>1</v>
      </c>
      <c r="BU29" s="293">
        <v>80</v>
      </c>
      <c r="BV29" s="293">
        <f t="shared" si="14"/>
        <v>5777.9068534333328</v>
      </c>
    </row>
    <row r="30" spans="1:74" ht="25.5" customHeight="1" x14ac:dyDescent="0.3">
      <c r="A30" s="224" t="s">
        <v>278</v>
      </c>
      <c r="B30" s="225" t="s">
        <v>1384</v>
      </c>
      <c r="C30" s="228">
        <v>200</v>
      </c>
      <c r="D30" s="263">
        <f>C30*D5</f>
        <v>3918</v>
      </c>
      <c r="E30" s="228">
        <v>90</v>
      </c>
      <c r="F30" s="263">
        <f>E30*F5</f>
        <v>1763.1</v>
      </c>
      <c r="G30" s="227">
        <f t="shared" si="0"/>
        <v>5681.1</v>
      </c>
      <c r="H30" s="228">
        <v>11.7</v>
      </c>
      <c r="I30" s="227">
        <f>H30*PARÂMETROS!$E$22</f>
        <v>495.72899999999993</v>
      </c>
      <c r="J30" s="228">
        <v>1.1599999999999999</v>
      </c>
      <c r="K30" s="227">
        <f>J30*PARÂMETROS!$E$22</f>
        <v>49.149199999999993</v>
      </c>
      <c r="L30" s="228">
        <v>2E-3</v>
      </c>
      <c r="M30" s="230">
        <f>L30*PARÂMETROS!$E$8</f>
        <v>6.1780000000000002E-2</v>
      </c>
      <c r="N30" s="228">
        <f t="shared" si="1"/>
        <v>0.11699999999999999</v>
      </c>
      <c r="O30" s="230">
        <f>N30*PARÂMETROS!$E$8</f>
        <v>3.6141299999999998</v>
      </c>
      <c r="P30" s="228">
        <f t="shared" si="2"/>
        <v>0.11599999999999999</v>
      </c>
      <c r="Q30" s="230">
        <f>P30*PARÂMETROS!$E$8</f>
        <v>3.58324</v>
      </c>
      <c r="R30" s="228">
        <f t="shared" si="3"/>
        <v>1.17E-2</v>
      </c>
      <c r="S30" s="230">
        <f>R30*PARÂMETROS!$E$8</f>
        <v>0.36141300000000004</v>
      </c>
      <c r="T30" s="231">
        <v>2.7</v>
      </c>
      <c r="U30" s="230">
        <f>T30*PARÂMETROS!$E$27</f>
        <v>8.1000000000000014</v>
      </c>
      <c r="V30" s="299">
        <v>12.44</v>
      </c>
      <c r="W30" s="230">
        <f>V30*PARÂMETROS!$E$30</f>
        <v>72.649599999999992</v>
      </c>
      <c r="X30" s="299">
        <v>2.7509999999999999</v>
      </c>
      <c r="Y30" s="230">
        <f>X30*PARÂMETROS!$E$31</f>
        <v>41.67765</v>
      </c>
      <c r="Z30" s="228">
        <f t="shared" si="4"/>
        <v>0.11699999999999999</v>
      </c>
      <c r="AA30" s="230">
        <f>Z30*PARÂMETROS!$E$8</f>
        <v>3.6141299999999998</v>
      </c>
      <c r="AB30" s="228">
        <f t="shared" si="5"/>
        <v>1.1599999999999999E-2</v>
      </c>
      <c r="AC30" s="230">
        <f>AB30*PARÂMETROS!$E$8</f>
        <v>0.35832399999999998</v>
      </c>
      <c r="AF30" s="232" t="s">
        <v>1408</v>
      </c>
      <c r="AG30" s="264">
        <f t="shared" si="6"/>
        <v>6359.9984669999994</v>
      </c>
      <c r="AI30" s="224" t="s">
        <v>278</v>
      </c>
      <c r="AJ30" s="291">
        <f>PARÂMETROS!$H$3</f>
        <v>40</v>
      </c>
      <c r="AK30" s="267">
        <v>2.7777777777777801E-2</v>
      </c>
      <c r="AL30" s="267">
        <v>0.11111111111111099</v>
      </c>
      <c r="AM30" s="267">
        <v>6.9444444444444503E-2</v>
      </c>
      <c r="AN30" s="267">
        <v>6.9444444444444397E-3</v>
      </c>
      <c r="AO30" s="267">
        <v>2.0833333333333301E-2</v>
      </c>
      <c r="AP30" s="267">
        <v>6.9444444444444397E-3</v>
      </c>
      <c r="AQ30" s="267">
        <v>3.125E-2</v>
      </c>
      <c r="AR30" s="271">
        <v>1</v>
      </c>
      <c r="AS30" s="292">
        <f t="shared" si="7"/>
        <v>0.27430555555555547</v>
      </c>
      <c r="AT30" s="291">
        <f t="shared" si="8"/>
        <v>263.33333333333326</v>
      </c>
      <c r="AU30" s="272">
        <f t="shared" si="9"/>
        <v>263.33333333333326</v>
      </c>
      <c r="AW30" s="273">
        <f t="shared" si="10"/>
        <v>6359.9984669999994</v>
      </c>
      <c r="AX30" s="274">
        <f t="shared" si="11"/>
        <v>263.33333333333326</v>
      </c>
      <c r="AY30" s="275">
        <v>1</v>
      </c>
      <c r="AZ30" s="276">
        <f t="shared" si="12"/>
        <v>263.33333333333326</v>
      </c>
      <c r="BA30" s="293">
        <f t="shared" si="13"/>
        <v>6623.3318003333325</v>
      </c>
      <c r="BB30" s="275">
        <v>1</v>
      </c>
      <c r="BU30" s="293">
        <v>80</v>
      </c>
      <c r="BV30" s="293">
        <f t="shared" si="14"/>
        <v>6703.3318003333325</v>
      </c>
    </row>
    <row r="31" spans="1:74" ht="25.5" customHeight="1" x14ac:dyDescent="0.3">
      <c r="A31" s="224" t="s">
        <v>196</v>
      </c>
      <c r="B31" s="225" t="s">
        <v>1409</v>
      </c>
      <c r="C31" s="228">
        <v>0.06</v>
      </c>
      <c r="D31" s="263">
        <f>C31*C5</f>
        <v>1.1754</v>
      </c>
      <c r="E31" s="228">
        <v>0.03</v>
      </c>
      <c r="F31" s="263">
        <f>E31*F5</f>
        <v>0.5877</v>
      </c>
      <c r="G31" s="227">
        <f t="shared" si="0"/>
        <v>1.7631000000000001</v>
      </c>
      <c r="H31" s="228">
        <v>0.1</v>
      </c>
      <c r="I31" s="227">
        <f>H31*PARÂMETROS!$E$22</f>
        <v>4.2370000000000001</v>
      </c>
      <c r="J31" s="228">
        <v>3.0000000000000001E-3</v>
      </c>
      <c r="K31" s="227">
        <f>J31*PARÂMETROS!$E$22</f>
        <v>0.12711</v>
      </c>
      <c r="L31" s="228">
        <v>2E-3</v>
      </c>
      <c r="M31" s="230">
        <f>L31*PARÂMETROS!$E$8</f>
        <v>6.1780000000000002E-2</v>
      </c>
      <c r="N31" s="228">
        <f t="shared" si="1"/>
        <v>1E-3</v>
      </c>
      <c r="O31" s="230">
        <f>N31*PARÂMETROS!$E$8</f>
        <v>3.0890000000000001E-2</v>
      </c>
      <c r="P31" s="228">
        <f t="shared" si="2"/>
        <v>3.0000000000000003E-4</v>
      </c>
      <c r="Q31" s="230">
        <f>P31*PARÂMETROS!$E$8</f>
        <v>9.2670000000000009E-3</v>
      </c>
      <c r="R31" s="228">
        <f t="shared" si="3"/>
        <v>1E-4</v>
      </c>
      <c r="S31" s="230">
        <f>R31*PARÂMETROS!$E$8</f>
        <v>3.0890000000000002E-3</v>
      </c>
      <c r="T31" s="231">
        <v>0.3</v>
      </c>
      <c r="U31" s="230">
        <f>T31*PARÂMETROS!$E$27</f>
        <v>0.89999999999999991</v>
      </c>
      <c r="V31" s="299">
        <f>0.129/2</f>
        <v>6.4500000000000002E-2</v>
      </c>
      <c r="W31" s="230">
        <f>V31*PARÂMETROS!$E$30</f>
        <v>0.37668000000000001</v>
      </c>
      <c r="X31" s="299">
        <v>2.5999999999999999E-2</v>
      </c>
      <c r="Y31" s="230">
        <f>X31*PARÂMETROS!$E$31</f>
        <v>0.39389999999999997</v>
      </c>
      <c r="Z31" s="228">
        <f t="shared" si="4"/>
        <v>1E-3</v>
      </c>
      <c r="AA31" s="230">
        <f>Z31*PARÂMETROS!$E$8</f>
        <v>3.0890000000000001E-2</v>
      </c>
      <c r="AB31" s="229">
        <f t="shared" si="5"/>
        <v>3.0000000000000001E-5</v>
      </c>
      <c r="AC31" s="230">
        <f>AB31*PARÂMETROS!$E$8</f>
        <v>9.2670000000000003E-4</v>
      </c>
      <c r="AD31" s="23"/>
      <c r="AE31" s="23"/>
      <c r="AF31" s="232" t="s">
        <v>1410</v>
      </c>
      <c r="AG31" s="264">
        <f t="shared" si="6"/>
        <v>7.9346327000000016</v>
      </c>
      <c r="AI31" s="224" t="s">
        <v>196</v>
      </c>
      <c r="AJ31" s="291">
        <f>PARÂMETROS!$H$3</f>
        <v>40</v>
      </c>
      <c r="AK31" s="267">
        <v>2.0833333333333301E-2</v>
      </c>
      <c r="AL31" s="267">
        <v>2.7777777777777801E-2</v>
      </c>
      <c r="AM31" s="267">
        <v>4.1666666666666699E-2</v>
      </c>
      <c r="AN31" s="267"/>
      <c r="AO31" s="267">
        <v>2.0833333333333301E-2</v>
      </c>
      <c r="AP31" s="267">
        <v>6.9444444444444397E-3</v>
      </c>
      <c r="AQ31" s="267">
        <v>3.125E-2</v>
      </c>
      <c r="AR31" s="271">
        <v>4</v>
      </c>
      <c r="AS31" s="292">
        <f t="shared" si="7"/>
        <v>0.14930555555555552</v>
      </c>
      <c r="AT31" s="291">
        <f t="shared" si="8"/>
        <v>143.33333333333331</v>
      </c>
      <c r="AU31" s="272">
        <f t="shared" si="9"/>
        <v>35.833333333333329</v>
      </c>
      <c r="AW31" s="273">
        <f t="shared" si="10"/>
        <v>7.9346327000000016</v>
      </c>
      <c r="AX31" s="274">
        <f t="shared" si="11"/>
        <v>143.33333333333331</v>
      </c>
      <c r="AY31" s="275">
        <v>4</v>
      </c>
      <c r="AZ31" s="276">
        <f t="shared" si="12"/>
        <v>35.833333333333329</v>
      </c>
      <c r="BA31" s="293">
        <f t="shared" si="13"/>
        <v>43.76796603333333</v>
      </c>
      <c r="BB31" s="275">
        <v>4</v>
      </c>
      <c r="BU31" s="293">
        <v>80</v>
      </c>
      <c r="BV31" s="293">
        <f t="shared" si="14"/>
        <v>123.76796603333332</v>
      </c>
    </row>
    <row r="32" spans="1:74" ht="25.5" customHeight="1" x14ac:dyDescent="0.3">
      <c r="A32" s="224" t="s">
        <v>200</v>
      </c>
      <c r="B32" s="225" t="s">
        <v>1409</v>
      </c>
      <c r="C32" s="228">
        <v>0.11</v>
      </c>
      <c r="D32" s="263">
        <f>C32*C5</f>
        <v>2.1549</v>
      </c>
      <c r="E32" s="228">
        <v>5.5E-2</v>
      </c>
      <c r="F32" s="263">
        <f>E32*F5</f>
        <v>1.07745</v>
      </c>
      <c r="G32" s="227">
        <f t="shared" si="0"/>
        <v>3.2323500000000003</v>
      </c>
      <c r="H32" s="228">
        <v>0.14000000000000001</v>
      </c>
      <c r="I32" s="227">
        <f>H32*PARÂMETROS!$E$22</f>
        <v>5.9318</v>
      </c>
      <c r="J32" s="228">
        <v>6.0000000000000001E-3</v>
      </c>
      <c r="K32" s="227">
        <f>J32*PARÂMETROS!$E$22</f>
        <v>0.25422</v>
      </c>
      <c r="L32" s="228">
        <v>2E-3</v>
      </c>
      <c r="M32" s="230">
        <f>L32*PARÂMETROS!$E$8</f>
        <v>6.1780000000000002E-2</v>
      </c>
      <c r="N32" s="228">
        <f t="shared" si="1"/>
        <v>1.4000000000000002E-3</v>
      </c>
      <c r="O32" s="230">
        <f>N32*PARÂMETROS!$E$8</f>
        <v>4.3246000000000007E-2</v>
      </c>
      <c r="P32" s="228">
        <f t="shared" si="2"/>
        <v>6.0000000000000006E-4</v>
      </c>
      <c r="Q32" s="230">
        <f>P32*PARÂMETROS!$E$8</f>
        <v>1.8534000000000002E-2</v>
      </c>
      <c r="R32" s="228">
        <f t="shared" si="3"/>
        <v>1.4000000000000001E-4</v>
      </c>
      <c r="S32" s="230">
        <f>R32*PARÂMETROS!$E$8</f>
        <v>4.3246000000000005E-3</v>
      </c>
      <c r="T32" s="231">
        <v>0.36</v>
      </c>
      <c r="U32" s="230">
        <f>T32*PARÂMETROS!$E$27</f>
        <v>1.08</v>
      </c>
      <c r="V32" s="299">
        <f>0.255/2</f>
        <v>0.1275</v>
      </c>
      <c r="W32" s="230">
        <f>V32*PARÂMETROS!$E$30</f>
        <v>0.74460000000000004</v>
      </c>
      <c r="X32" s="299">
        <v>5.0999999999999997E-2</v>
      </c>
      <c r="Y32" s="230">
        <f>X32*PARÂMETROS!$E$31</f>
        <v>0.77264999999999995</v>
      </c>
      <c r="Z32" s="228">
        <f t="shared" si="4"/>
        <v>1.4000000000000002E-3</v>
      </c>
      <c r="AA32" s="230">
        <f>Z32*PARÂMETROS!$E$8</f>
        <v>4.3246000000000007E-2</v>
      </c>
      <c r="AB32" s="229">
        <f t="shared" si="5"/>
        <v>6.0000000000000002E-5</v>
      </c>
      <c r="AC32" s="230">
        <f>AB32*PARÂMETROS!$E$8</f>
        <v>1.8534000000000001E-3</v>
      </c>
      <c r="AF32" s="232" t="s">
        <v>1411</v>
      </c>
      <c r="AG32" s="264">
        <f t="shared" si="6"/>
        <v>12.188604</v>
      </c>
      <c r="AI32" s="224" t="s">
        <v>200</v>
      </c>
      <c r="AJ32" s="291">
        <f>PARÂMETROS!$H$3</f>
        <v>40</v>
      </c>
      <c r="AK32" s="267">
        <v>2.0833333333333301E-2</v>
      </c>
      <c r="AL32" s="267">
        <v>2.7777777777777801E-2</v>
      </c>
      <c r="AM32" s="267">
        <v>4.1666666666666699E-2</v>
      </c>
      <c r="AN32" s="267"/>
      <c r="AO32" s="267">
        <v>2.0833333333333301E-2</v>
      </c>
      <c r="AP32" s="267">
        <v>6.9444444444444397E-3</v>
      </c>
      <c r="AQ32" s="267">
        <v>3.125E-2</v>
      </c>
      <c r="AR32" s="271">
        <v>4</v>
      </c>
      <c r="AS32" s="292">
        <f t="shared" si="7"/>
        <v>0.14930555555555552</v>
      </c>
      <c r="AT32" s="291">
        <f t="shared" si="8"/>
        <v>143.33333333333331</v>
      </c>
      <c r="AU32" s="272">
        <f t="shared" si="9"/>
        <v>35.833333333333329</v>
      </c>
      <c r="AW32" s="273">
        <f t="shared" si="10"/>
        <v>12.188604</v>
      </c>
      <c r="AX32" s="274">
        <f t="shared" si="11"/>
        <v>143.33333333333331</v>
      </c>
      <c r="AY32" s="275">
        <v>4</v>
      </c>
      <c r="AZ32" s="276">
        <f t="shared" si="12"/>
        <v>35.833333333333329</v>
      </c>
      <c r="BA32" s="293">
        <f t="shared" si="13"/>
        <v>48.021937333333327</v>
      </c>
      <c r="BB32" s="275">
        <v>4</v>
      </c>
      <c r="BU32" s="293">
        <v>80</v>
      </c>
      <c r="BV32" s="293">
        <f t="shared" si="14"/>
        <v>128.02193733333331</v>
      </c>
    </row>
    <row r="33" spans="1:74" ht="25.5" customHeight="1" x14ac:dyDescent="0.3">
      <c r="A33" s="224" t="s">
        <v>185</v>
      </c>
      <c r="B33" s="225" t="s">
        <v>1409</v>
      </c>
      <c r="C33" s="228">
        <v>0.2</v>
      </c>
      <c r="D33" s="263">
        <f>C33*C5</f>
        <v>3.9180000000000001</v>
      </c>
      <c r="E33" s="228">
        <v>0.1</v>
      </c>
      <c r="F33" s="263">
        <f>E33*F5</f>
        <v>1.9590000000000001</v>
      </c>
      <c r="G33" s="227">
        <f t="shared" si="0"/>
        <v>5.8770000000000007</v>
      </c>
      <c r="H33" s="228">
        <v>0.26</v>
      </c>
      <c r="I33" s="227">
        <f>H33*PARÂMETROS!$E$22</f>
        <v>11.0162</v>
      </c>
      <c r="J33" s="228">
        <v>1.0999999999999999E-2</v>
      </c>
      <c r="K33" s="227">
        <f>J33*PARÂMETROS!$E$22</f>
        <v>0.46606999999999993</v>
      </c>
      <c r="L33" s="228">
        <v>2E-3</v>
      </c>
      <c r="M33" s="230">
        <f>L33*PARÂMETROS!$E$8</f>
        <v>6.1780000000000002E-2</v>
      </c>
      <c r="N33" s="228">
        <f t="shared" si="1"/>
        <v>2.6000000000000003E-3</v>
      </c>
      <c r="O33" s="230">
        <f>N33*PARÂMETROS!$E$8</f>
        <v>8.031400000000001E-2</v>
      </c>
      <c r="P33" s="228">
        <f t="shared" si="2"/>
        <v>1.1000000000000001E-3</v>
      </c>
      <c r="Q33" s="230">
        <f>P33*PARÂMETROS!$E$8</f>
        <v>3.3979000000000002E-2</v>
      </c>
      <c r="R33" s="228">
        <f t="shared" si="3"/>
        <v>2.6000000000000003E-4</v>
      </c>
      <c r="S33" s="230">
        <f>R33*PARÂMETROS!$E$8</f>
        <v>8.031400000000001E-3</v>
      </c>
      <c r="T33" s="231">
        <v>0.41</v>
      </c>
      <c r="U33" s="230">
        <f>T33*PARÂMETROS!$E$27</f>
        <v>1.23</v>
      </c>
      <c r="V33" s="299">
        <f>0.476/2</f>
        <v>0.23799999999999999</v>
      </c>
      <c r="W33" s="230">
        <f>V33*PARÂMETROS!$E$30</f>
        <v>1.3899199999999998</v>
      </c>
      <c r="X33" s="299">
        <v>9.5000000000000001E-2</v>
      </c>
      <c r="Y33" s="230">
        <f>X33*PARÂMETROS!$E$31</f>
        <v>1.4392500000000001</v>
      </c>
      <c r="Z33" s="228">
        <f t="shared" si="4"/>
        <v>2.6000000000000003E-3</v>
      </c>
      <c r="AA33" s="230">
        <f>Z33*PARÂMETROS!$E$8</f>
        <v>8.031400000000001E-2</v>
      </c>
      <c r="AB33" s="229">
        <f t="shared" si="5"/>
        <v>1.0999999999999999E-4</v>
      </c>
      <c r="AC33" s="230">
        <f>AB33*PARÂMETROS!$E$8</f>
        <v>3.3978999999999997E-3</v>
      </c>
      <c r="AD33" s="23"/>
      <c r="AE33" s="23"/>
      <c r="AF33" s="232" t="s">
        <v>1412</v>
      </c>
      <c r="AG33" s="264">
        <f t="shared" si="6"/>
        <v>21.686256300000004</v>
      </c>
      <c r="AI33" s="224" t="s">
        <v>185</v>
      </c>
      <c r="AJ33" s="291">
        <f>PARÂMETROS!$H$3</f>
        <v>40</v>
      </c>
      <c r="AK33" s="267">
        <v>2.0833333333333301E-2</v>
      </c>
      <c r="AL33" s="267">
        <v>2.7777777777777801E-2</v>
      </c>
      <c r="AM33" s="267">
        <v>4.1666666666666699E-2</v>
      </c>
      <c r="AN33" s="267"/>
      <c r="AO33" s="267">
        <v>2.0833333333333301E-2</v>
      </c>
      <c r="AP33" s="267">
        <v>6.9444444444444397E-3</v>
      </c>
      <c r="AQ33" s="267">
        <v>3.125E-2</v>
      </c>
      <c r="AR33" s="271">
        <v>4</v>
      </c>
      <c r="AS33" s="292">
        <f t="shared" si="7"/>
        <v>0.14930555555555552</v>
      </c>
      <c r="AT33" s="291">
        <f t="shared" si="8"/>
        <v>143.33333333333331</v>
      </c>
      <c r="AU33" s="272">
        <f t="shared" si="9"/>
        <v>35.833333333333329</v>
      </c>
      <c r="AW33" s="273">
        <f t="shared" si="10"/>
        <v>21.686256300000004</v>
      </c>
      <c r="AX33" s="274">
        <f t="shared" si="11"/>
        <v>143.33333333333331</v>
      </c>
      <c r="AY33" s="275">
        <v>3</v>
      </c>
      <c r="AZ33" s="276">
        <f t="shared" si="12"/>
        <v>47.777777777777771</v>
      </c>
      <c r="BA33" s="293">
        <f t="shared" si="13"/>
        <v>69.464034077777768</v>
      </c>
      <c r="BB33" s="275">
        <v>3</v>
      </c>
      <c r="BU33" s="293">
        <v>80</v>
      </c>
      <c r="BV33" s="293">
        <f t="shared" si="14"/>
        <v>149.46403407777777</v>
      </c>
    </row>
    <row r="34" spans="1:74" ht="25.5" customHeight="1" x14ac:dyDescent="0.3">
      <c r="A34" s="224" t="s">
        <v>39</v>
      </c>
      <c r="B34" s="225" t="s">
        <v>1409</v>
      </c>
      <c r="C34" s="228">
        <v>0.75</v>
      </c>
      <c r="D34" s="263">
        <f>C34*C5</f>
        <v>14.692499999999999</v>
      </c>
      <c r="E34" s="228">
        <v>0.375</v>
      </c>
      <c r="F34" s="263">
        <f>E34*F5</f>
        <v>7.3462499999999995</v>
      </c>
      <c r="G34" s="227">
        <f t="shared" si="0"/>
        <v>22.03875</v>
      </c>
      <c r="H34" s="228">
        <v>0.5</v>
      </c>
      <c r="I34" s="227">
        <f>H34*PARÂMETROS!$E$22</f>
        <v>21.184999999999999</v>
      </c>
      <c r="J34" s="228">
        <v>2.5000000000000001E-2</v>
      </c>
      <c r="K34" s="227">
        <f>J34*PARÂMETROS!$E$22</f>
        <v>1.05925</v>
      </c>
      <c r="L34" s="228">
        <v>2E-3</v>
      </c>
      <c r="M34" s="230">
        <f>L34*PARÂMETROS!$E$8</f>
        <v>6.1780000000000002E-2</v>
      </c>
      <c r="N34" s="228">
        <f t="shared" si="1"/>
        <v>5.0000000000000001E-3</v>
      </c>
      <c r="O34" s="230">
        <f>N34*PARÂMETROS!$E$8</f>
        <v>0.15445</v>
      </c>
      <c r="P34" s="228">
        <f t="shared" si="2"/>
        <v>2.5000000000000005E-3</v>
      </c>
      <c r="Q34" s="230">
        <f>P34*PARÂMETROS!$E$8</f>
        <v>7.7225000000000016E-2</v>
      </c>
      <c r="R34" s="228">
        <f t="shared" si="3"/>
        <v>5.0000000000000001E-4</v>
      </c>
      <c r="S34" s="230">
        <f>R34*PARÂMETROS!$E$8</f>
        <v>1.5445E-2</v>
      </c>
      <c r="T34" s="231">
        <v>0.82</v>
      </c>
      <c r="U34" s="230">
        <f>T34*PARÂMETROS!$E$27</f>
        <v>2.46</v>
      </c>
      <c r="V34" s="299">
        <f>0.78/2</f>
        <v>0.39</v>
      </c>
      <c r="W34" s="230">
        <f>V34*PARÂMETROS!$E$30</f>
        <v>2.2776000000000001</v>
      </c>
      <c r="X34" s="299">
        <v>0.156</v>
      </c>
      <c r="Y34" s="230">
        <f>X34*PARÂMETROS!$E$31</f>
        <v>2.3633999999999999</v>
      </c>
      <c r="Z34" s="228">
        <f t="shared" si="4"/>
        <v>5.0000000000000001E-3</v>
      </c>
      <c r="AA34" s="230">
        <f>Z34*PARÂMETROS!$E$8</f>
        <v>0.15445</v>
      </c>
      <c r="AB34" s="229">
        <f t="shared" si="5"/>
        <v>2.5000000000000001E-4</v>
      </c>
      <c r="AC34" s="230">
        <f>AB34*PARÂMETROS!$E$8</f>
        <v>7.7225000000000002E-3</v>
      </c>
      <c r="AF34" s="232" t="s">
        <v>1413</v>
      </c>
      <c r="AG34" s="264">
        <f t="shared" si="6"/>
        <v>51.855072499999999</v>
      </c>
      <c r="AI34" s="224" t="s">
        <v>39</v>
      </c>
      <c r="AJ34" s="291">
        <f>PARÂMETROS!$H$3</f>
        <v>40</v>
      </c>
      <c r="AK34" s="267">
        <v>2.0833333333333301E-2</v>
      </c>
      <c r="AL34" s="267">
        <v>2.7777777777777801E-2</v>
      </c>
      <c r="AM34" s="267">
        <v>4.1666666666666699E-2</v>
      </c>
      <c r="AN34" s="267"/>
      <c r="AO34" s="267">
        <v>2.0833333333333301E-2</v>
      </c>
      <c r="AP34" s="267">
        <v>6.9444444444444397E-3</v>
      </c>
      <c r="AQ34" s="267">
        <v>3.125E-2</v>
      </c>
      <c r="AR34" s="271">
        <v>4</v>
      </c>
      <c r="AS34" s="292">
        <f t="shared" si="7"/>
        <v>0.14930555555555552</v>
      </c>
      <c r="AT34" s="291">
        <f t="shared" si="8"/>
        <v>143.33333333333331</v>
      </c>
      <c r="AU34" s="272">
        <f t="shared" si="9"/>
        <v>35.833333333333329</v>
      </c>
      <c r="AW34" s="273">
        <f t="shared" si="10"/>
        <v>51.855072499999999</v>
      </c>
      <c r="AX34" s="274">
        <f t="shared" si="11"/>
        <v>143.33333333333331</v>
      </c>
      <c r="AY34" s="275">
        <v>3</v>
      </c>
      <c r="AZ34" s="276">
        <f t="shared" si="12"/>
        <v>47.777777777777771</v>
      </c>
      <c r="BA34" s="293">
        <f t="shared" si="13"/>
        <v>99.632850277777777</v>
      </c>
      <c r="BB34" s="275">
        <v>3</v>
      </c>
      <c r="BU34" s="293">
        <v>80</v>
      </c>
      <c r="BV34" s="293">
        <f t="shared" si="14"/>
        <v>179.63285027777778</v>
      </c>
    </row>
    <row r="35" spans="1:74" ht="25.5" customHeight="1" x14ac:dyDescent="0.3">
      <c r="A35" s="224" t="s">
        <v>300</v>
      </c>
      <c r="B35" s="225" t="s">
        <v>1409</v>
      </c>
      <c r="C35" s="228">
        <v>1.1100000000000001</v>
      </c>
      <c r="D35" s="263">
        <f>C35*C5</f>
        <v>21.744900000000001</v>
      </c>
      <c r="E35" s="228">
        <v>0.55000000000000004</v>
      </c>
      <c r="F35" s="263">
        <f>E35*F5</f>
        <v>10.774500000000002</v>
      </c>
      <c r="G35" s="227">
        <f t="shared" si="0"/>
        <v>32.519400000000005</v>
      </c>
      <c r="H35" s="228">
        <v>0.65</v>
      </c>
      <c r="I35" s="227">
        <f>H35*PARÂMETROS!$E$22</f>
        <v>27.540499999999998</v>
      </c>
      <c r="J35" s="228">
        <v>3.2000000000000001E-2</v>
      </c>
      <c r="K35" s="227">
        <f>J35*PARÂMETROS!$E$22</f>
        <v>1.3558399999999999</v>
      </c>
      <c r="L35" s="228">
        <v>2E-3</v>
      </c>
      <c r="M35" s="230">
        <f>L35*PARÂMETROS!$E$8</f>
        <v>6.1780000000000002E-2</v>
      </c>
      <c r="N35" s="228">
        <f t="shared" si="1"/>
        <v>6.5000000000000006E-3</v>
      </c>
      <c r="O35" s="230">
        <f>N35*PARÂMETROS!$E$8</f>
        <v>0.20078500000000002</v>
      </c>
      <c r="P35" s="228">
        <f t="shared" si="2"/>
        <v>3.2000000000000002E-3</v>
      </c>
      <c r="Q35" s="230">
        <f>P35*PARÂMETROS!$E$8</f>
        <v>9.8848000000000005E-2</v>
      </c>
      <c r="R35" s="228">
        <f t="shared" si="3"/>
        <v>6.5000000000000008E-4</v>
      </c>
      <c r="S35" s="230">
        <f>R35*PARÂMETROS!$E$8</f>
        <v>2.0078500000000003E-2</v>
      </c>
      <c r="T35" s="231">
        <v>0.86</v>
      </c>
      <c r="U35" s="230">
        <f>T35*PARÂMETROS!$E$27</f>
        <v>2.58</v>
      </c>
      <c r="V35" s="299">
        <v>1.24</v>
      </c>
      <c r="W35" s="230">
        <f>V35*PARÂMETROS!$E$30</f>
        <v>7.2416</v>
      </c>
      <c r="X35" s="299">
        <v>0.248</v>
      </c>
      <c r="Y35" s="230">
        <f>X35*PARÂMETROS!$E$31</f>
        <v>3.7572000000000001</v>
      </c>
      <c r="Z35" s="228">
        <f t="shared" si="4"/>
        <v>6.5000000000000006E-3</v>
      </c>
      <c r="AA35" s="230">
        <f>Z35*PARÂMETROS!$E$8</f>
        <v>0.20078500000000002</v>
      </c>
      <c r="AB35" s="229">
        <f t="shared" si="5"/>
        <v>3.2000000000000003E-4</v>
      </c>
      <c r="AC35" s="230">
        <f>AB35*PARÂMETROS!$E$8</f>
        <v>9.8848000000000009E-3</v>
      </c>
      <c r="AD35" s="23"/>
      <c r="AE35" s="23"/>
      <c r="AF35" s="232" t="s">
        <v>1414</v>
      </c>
      <c r="AG35" s="264">
        <f t="shared" si="6"/>
        <v>75.586701299999987</v>
      </c>
      <c r="AI35" s="224" t="s">
        <v>300</v>
      </c>
      <c r="AJ35" s="291">
        <f>PARÂMETROS!$H$3</f>
        <v>40</v>
      </c>
      <c r="AK35" s="267">
        <v>2.0833333333333301E-2</v>
      </c>
      <c r="AL35" s="267">
        <v>2.7777777777777801E-2</v>
      </c>
      <c r="AM35" s="267">
        <v>2.7777777777777801E-2</v>
      </c>
      <c r="AN35" s="267"/>
      <c r="AO35" s="267">
        <v>2.0833333333333301E-2</v>
      </c>
      <c r="AP35" s="267">
        <v>6.9444444444444397E-3</v>
      </c>
      <c r="AQ35" s="267">
        <v>3.125E-2</v>
      </c>
      <c r="AR35" s="271">
        <v>2</v>
      </c>
      <c r="AS35" s="292">
        <f t="shared" si="7"/>
        <v>0.13541666666666663</v>
      </c>
      <c r="AT35" s="291">
        <f t="shared" si="8"/>
        <v>129.99999999999997</v>
      </c>
      <c r="AU35" s="272">
        <f t="shared" si="9"/>
        <v>64.999999999999986</v>
      </c>
      <c r="AW35" s="273">
        <f t="shared" si="10"/>
        <v>75.586701299999987</v>
      </c>
      <c r="AX35" s="274">
        <f t="shared" si="11"/>
        <v>129.99999999999997</v>
      </c>
      <c r="AY35" s="275">
        <v>3</v>
      </c>
      <c r="AZ35" s="276">
        <f t="shared" si="12"/>
        <v>43.333333333333321</v>
      </c>
      <c r="BA35" s="293">
        <f t="shared" si="13"/>
        <v>118.9200346333333</v>
      </c>
      <c r="BB35" s="275">
        <v>3</v>
      </c>
      <c r="BU35" s="293">
        <v>80</v>
      </c>
      <c r="BV35" s="293">
        <f t="shared" si="14"/>
        <v>198.9200346333333</v>
      </c>
    </row>
    <row r="36" spans="1:74" ht="25.5" customHeight="1" x14ac:dyDescent="0.3">
      <c r="A36" s="224" t="s">
        <v>41</v>
      </c>
      <c r="B36" s="225" t="s">
        <v>1409</v>
      </c>
      <c r="C36" s="228">
        <v>1.55</v>
      </c>
      <c r="D36" s="263">
        <f>C36*C5</f>
        <v>30.3645</v>
      </c>
      <c r="E36" s="228">
        <v>0.77500000000000002</v>
      </c>
      <c r="F36" s="263">
        <f>E36*F5</f>
        <v>15.18225</v>
      </c>
      <c r="G36" s="227">
        <f t="shared" si="0"/>
        <v>45.546750000000003</v>
      </c>
      <c r="H36" s="228">
        <v>0.8</v>
      </c>
      <c r="I36" s="227">
        <f>H36*PARÂMETROS!$E$22</f>
        <v>33.896000000000001</v>
      </c>
      <c r="J36" s="228">
        <v>4.2000000000000003E-2</v>
      </c>
      <c r="K36" s="227">
        <f>J36*PARÂMETROS!$E$22</f>
        <v>1.7795399999999999</v>
      </c>
      <c r="L36" s="228">
        <v>2E-3</v>
      </c>
      <c r="M36" s="230">
        <f>L36*PARÂMETROS!$E$8</f>
        <v>6.1780000000000002E-2</v>
      </c>
      <c r="N36" s="228">
        <f t="shared" si="1"/>
        <v>8.0000000000000002E-3</v>
      </c>
      <c r="O36" s="230">
        <f>N36*PARÂMETROS!$E$8</f>
        <v>0.24712000000000001</v>
      </c>
      <c r="P36" s="228">
        <f t="shared" si="2"/>
        <v>4.2000000000000006E-3</v>
      </c>
      <c r="Q36" s="230">
        <f>P36*PARÂMETROS!$E$8</f>
        <v>0.12973800000000002</v>
      </c>
      <c r="R36" s="228">
        <f t="shared" si="3"/>
        <v>8.0000000000000004E-4</v>
      </c>
      <c r="S36" s="230">
        <f>R36*PARÂMETROS!$E$8</f>
        <v>2.4712000000000001E-2</v>
      </c>
      <c r="T36" s="231">
        <v>0.92</v>
      </c>
      <c r="U36" s="230">
        <f>T36*PARÂMETROS!$E$27</f>
        <v>2.7600000000000002</v>
      </c>
      <c r="V36" s="299">
        <v>1.35</v>
      </c>
      <c r="W36" s="230">
        <f>V36*PARÂMETROS!$E$30</f>
        <v>7.8840000000000003</v>
      </c>
      <c r="X36" s="299">
        <v>0.27</v>
      </c>
      <c r="Y36" s="230">
        <f>X36*PARÂMETROS!$E$31</f>
        <v>4.0905000000000005</v>
      </c>
      <c r="Z36" s="228">
        <f t="shared" si="4"/>
        <v>8.0000000000000002E-3</v>
      </c>
      <c r="AA36" s="230">
        <f>Z36*PARÂMETROS!$E$8</f>
        <v>0.24712000000000001</v>
      </c>
      <c r="AB36" s="229">
        <f t="shared" si="5"/>
        <v>4.2000000000000002E-4</v>
      </c>
      <c r="AC36" s="230">
        <f>AB36*PARÂMETROS!$E$8</f>
        <v>1.2973800000000001E-2</v>
      </c>
      <c r="AF36" s="232" t="s">
        <v>1415</v>
      </c>
      <c r="AG36" s="264">
        <f t="shared" si="6"/>
        <v>96.680233799999996</v>
      </c>
      <c r="AI36" s="224" t="s">
        <v>41</v>
      </c>
      <c r="AJ36" s="291">
        <f>PARÂMETROS!$H$3</f>
        <v>40</v>
      </c>
      <c r="AK36" s="267">
        <v>2.0833333333333301E-2</v>
      </c>
      <c r="AL36" s="267">
        <v>2.7777777777777801E-2</v>
      </c>
      <c r="AM36" s="267">
        <v>2.7777777777777801E-2</v>
      </c>
      <c r="AN36" s="267"/>
      <c r="AO36" s="267">
        <v>2.0833333333333301E-2</v>
      </c>
      <c r="AP36" s="267">
        <v>6.9444444444444397E-3</v>
      </c>
      <c r="AQ36" s="267">
        <v>3.125E-2</v>
      </c>
      <c r="AR36" s="271">
        <v>2</v>
      </c>
      <c r="AS36" s="292">
        <f t="shared" si="7"/>
        <v>0.13541666666666663</v>
      </c>
      <c r="AT36" s="291">
        <f t="shared" si="8"/>
        <v>129.99999999999997</v>
      </c>
      <c r="AU36" s="272">
        <f t="shared" si="9"/>
        <v>64.999999999999986</v>
      </c>
      <c r="AW36" s="273">
        <f t="shared" si="10"/>
        <v>96.680233799999996</v>
      </c>
      <c r="AX36" s="274">
        <f t="shared" si="11"/>
        <v>129.99999999999997</v>
      </c>
      <c r="AY36" s="275">
        <v>2</v>
      </c>
      <c r="AZ36" s="276">
        <f t="shared" si="12"/>
        <v>64.999999999999986</v>
      </c>
      <c r="BA36" s="293">
        <f t="shared" si="13"/>
        <v>161.6802338</v>
      </c>
      <c r="BB36" s="275">
        <v>2</v>
      </c>
      <c r="BU36" s="293">
        <v>80</v>
      </c>
      <c r="BV36" s="293">
        <f t="shared" si="14"/>
        <v>241.6802338</v>
      </c>
    </row>
    <row r="37" spans="1:74" ht="25.5" customHeight="1" x14ac:dyDescent="0.3">
      <c r="A37" s="224" t="s">
        <v>43</v>
      </c>
      <c r="B37" s="225" t="s">
        <v>1409</v>
      </c>
      <c r="C37" s="228">
        <v>3.22</v>
      </c>
      <c r="D37" s="263">
        <f>C37*C5</f>
        <v>63.079800000000006</v>
      </c>
      <c r="E37" s="228">
        <v>1.61</v>
      </c>
      <c r="F37" s="263">
        <f>E37*F5</f>
        <v>31.539900000000003</v>
      </c>
      <c r="G37" s="227">
        <f t="shared" si="0"/>
        <v>94.619700000000009</v>
      </c>
      <c r="H37" s="228">
        <v>1</v>
      </c>
      <c r="I37" s="227">
        <f>H37*PARÂMETROS!$E$22</f>
        <v>42.37</v>
      </c>
      <c r="J37" s="228">
        <v>6.5000000000000002E-2</v>
      </c>
      <c r="K37" s="227">
        <f>J37*PARÂMETROS!$E$22</f>
        <v>2.7540499999999999</v>
      </c>
      <c r="L37" s="228">
        <v>2E-3</v>
      </c>
      <c r="M37" s="230">
        <f>L37*PARÂMETROS!$E$8</f>
        <v>6.1780000000000002E-2</v>
      </c>
      <c r="N37" s="228">
        <f t="shared" si="1"/>
        <v>0.01</v>
      </c>
      <c r="O37" s="230">
        <f>N37*PARÂMETROS!$E$8</f>
        <v>0.30890000000000001</v>
      </c>
      <c r="P37" s="228">
        <f t="shared" si="2"/>
        <v>6.5000000000000006E-3</v>
      </c>
      <c r="Q37" s="230">
        <f>P37*PARÂMETROS!$E$8</f>
        <v>0.20078500000000002</v>
      </c>
      <c r="R37" s="228">
        <f t="shared" si="3"/>
        <v>1E-3</v>
      </c>
      <c r="S37" s="230">
        <f>R37*PARÂMETROS!$E$8</f>
        <v>3.0890000000000001E-2</v>
      </c>
      <c r="T37" s="231">
        <v>1.02</v>
      </c>
      <c r="U37" s="230">
        <f>T37*PARÂMETROS!$E$27</f>
        <v>3.06</v>
      </c>
      <c r="V37" s="299">
        <v>1.7250000000000001</v>
      </c>
      <c r="W37" s="230">
        <f>V37*PARÂMETROS!$E$30</f>
        <v>10.074</v>
      </c>
      <c r="X37" s="299">
        <v>0.34499999999999997</v>
      </c>
      <c r="Y37" s="230">
        <f>X37*PARÂMETROS!$E$31</f>
        <v>5.22675</v>
      </c>
      <c r="Z37" s="228">
        <f t="shared" si="4"/>
        <v>0.01</v>
      </c>
      <c r="AA37" s="230">
        <f>Z37*PARÂMETROS!$E$8</f>
        <v>0.30890000000000001</v>
      </c>
      <c r="AB37" s="228">
        <f t="shared" si="5"/>
        <v>6.5000000000000008E-4</v>
      </c>
      <c r="AC37" s="230">
        <f>AB37*PARÂMETROS!$E$8</f>
        <v>2.0078500000000003E-2</v>
      </c>
      <c r="AD37" s="23"/>
      <c r="AE37" s="23"/>
      <c r="AF37" s="232" t="s">
        <v>1416</v>
      </c>
      <c r="AG37" s="264">
        <f t="shared" si="6"/>
        <v>159.03583350000002</v>
      </c>
      <c r="AI37" s="224" t="s">
        <v>43</v>
      </c>
      <c r="AJ37" s="291">
        <f>PARÂMETROS!$H$3</f>
        <v>40</v>
      </c>
      <c r="AK37" s="267">
        <v>2.0833333333333301E-2</v>
      </c>
      <c r="AL37" s="267">
        <v>2.7777777777777801E-2</v>
      </c>
      <c r="AM37" s="267">
        <v>2.7777777777777801E-2</v>
      </c>
      <c r="AN37" s="267">
        <v>6.9444444444444397E-3</v>
      </c>
      <c r="AO37" s="267">
        <v>2.0833333333333301E-2</v>
      </c>
      <c r="AP37" s="267">
        <v>6.9444444444444397E-3</v>
      </c>
      <c r="AQ37" s="267">
        <v>3.125E-2</v>
      </c>
      <c r="AR37" s="271">
        <v>2</v>
      </c>
      <c r="AS37" s="292">
        <f t="shared" si="7"/>
        <v>0.1423611111111111</v>
      </c>
      <c r="AT37" s="291">
        <f t="shared" si="8"/>
        <v>136.66666666666669</v>
      </c>
      <c r="AU37" s="272">
        <f t="shared" si="9"/>
        <v>68.333333333333343</v>
      </c>
      <c r="AW37" s="273">
        <f t="shared" si="10"/>
        <v>159.03583350000002</v>
      </c>
      <c r="AX37" s="274">
        <f t="shared" si="11"/>
        <v>136.66666666666669</v>
      </c>
      <c r="AY37" s="275">
        <v>2</v>
      </c>
      <c r="AZ37" s="276">
        <f t="shared" si="12"/>
        <v>68.333333333333343</v>
      </c>
      <c r="BA37" s="293">
        <f t="shared" si="13"/>
        <v>227.36916683333337</v>
      </c>
      <c r="BB37" s="275">
        <v>2</v>
      </c>
      <c r="BU37" s="293">
        <v>80</v>
      </c>
      <c r="BV37" s="293">
        <f t="shared" si="14"/>
        <v>307.36916683333334</v>
      </c>
    </row>
    <row r="38" spans="1:74" ht="25.5" customHeight="1" x14ac:dyDescent="0.3">
      <c r="A38" s="224" t="s">
        <v>45</v>
      </c>
      <c r="B38" s="225" t="s">
        <v>1409</v>
      </c>
      <c r="C38" s="228">
        <v>5.3140000000000001</v>
      </c>
      <c r="D38" s="263">
        <f>C38*C5</f>
        <v>104.10126</v>
      </c>
      <c r="E38" s="228">
        <v>2.657</v>
      </c>
      <c r="F38" s="263">
        <f>E38*F5</f>
        <v>52.050629999999998</v>
      </c>
      <c r="G38" s="227">
        <f t="shared" si="0"/>
        <v>156.15188999999998</v>
      </c>
      <c r="H38" s="228">
        <v>1.4</v>
      </c>
      <c r="I38" s="227">
        <f>H38*PARÂMETROS!$E$22</f>
        <v>59.317999999999991</v>
      </c>
      <c r="J38" s="228">
        <v>9.1999999999999998E-2</v>
      </c>
      <c r="K38" s="227">
        <f>J38*PARÂMETROS!$E$22</f>
        <v>3.8980399999999995</v>
      </c>
      <c r="L38" s="228">
        <v>2E-3</v>
      </c>
      <c r="M38" s="230">
        <f>L38*PARÂMETROS!$E$8</f>
        <v>6.1780000000000002E-2</v>
      </c>
      <c r="N38" s="228">
        <f t="shared" si="1"/>
        <v>1.3999999999999999E-2</v>
      </c>
      <c r="O38" s="230">
        <f>N38*PARÂMETROS!$E$8</f>
        <v>0.43245999999999996</v>
      </c>
      <c r="P38" s="228">
        <f t="shared" si="2"/>
        <v>9.1999999999999998E-3</v>
      </c>
      <c r="Q38" s="230">
        <f>P38*PARÂMETROS!$E$8</f>
        <v>0.284188</v>
      </c>
      <c r="R38" s="228">
        <f t="shared" si="3"/>
        <v>1.4E-3</v>
      </c>
      <c r="S38" s="230">
        <f>R38*PARÂMETROS!$E$8</f>
        <v>4.3246E-2</v>
      </c>
      <c r="T38" s="231">
        <v>1.1200000000000001</v>
      </c>
      <c r="U38" s="230">
        <f>T38*PARÂMETROS!$E$27</f>
        <v>3.3600000000000003</v>
      </c>
      <c r="V38" s="299">
        <v>2.3250000000000002</v>
      </c>
      <c r="W38" s="230">
        <f>V38*PARÂMETROS!$E$30</f>
        <v>13.578000000000001</v>
      </c>
      <c r="X38" s="299">
        <v>0.46500000000000002</v>
      </c>
      <c r="Y38" s="230">
        <f>X38*PARÂMETROS!$E$31</f>
        <v>7.0447500000000005</v>
      </c>
      <c r="Z38" s="228">
        <f t="shared" si="4"/>
        <v>1.3999999999999999E-2</v>
      </c>
      <c r="AA38" s="230">
        <f>Z38*PARÂMETROS!$E$8</f>
        <v>0.43245999999999996</v>
      </c>
      <c r="AB38" s="228">
        <f t="shared" si="5"/>
        <v>9.2000000000000003E-4</v>
      </c>
      <c r="AC38" s="230">
        <f>AB38*PARÂMETROS!$E$8</f>
        <v>2.8418800000000001E-2</v>
      </c>
      <c r="AF38" s="232" t="s">
        <v>1417</v>
      </c>
      <c r="AG38" s="264">
        <f t="shared" si="6"/>
        <v>244.63323279999997</v>
      </c>
      <c r="AI38" s="224" t="s">
        <v>45</v>
      </c>
      <c r="AJ38" s="291">
        <f>PARÂMETROS!$H$3</f>
        <v>40</v>
      </c>
      <c r="AK38" s="267">
        <v>2.0833333333333301E-2</v>
      </c>
      <c r="AL38" s="267">
        <v>2.7777777777777801E-2</v>
      </c>
      <c r="AM38" s="267">
        <v>2.7777777777777801E-2</v>
      </c>
      <c r="AN38" s="267">
        <v>6.9444444444444397E-3</v>
      </c>
      <c r="AO38" s="267">
        <v>2.0833333333333301E-2</v>
      </c>
      <c r="AP38" s="267">
        <v>6.9444444444444397E-3</v>
      </c>
      <c r="AQ38" s="267">
        <v>3.125E-2</v>
      </c>
      <c r="AR38" s="271">
        <v>2</v>
      </c>
      <c r="AS38" s="292">
        <f t="shared" si="7"/>
        <v>0.1423611111111111</v>
      </c>
      <c r="AT38" s="291">
        <f t="shared" si="8"/>
        <v>136.66666666666669</v>
      </c>
      <c r="AU38" s="272">
        <f t="shared" si="9"/>
        <v>68.333333333333343</v>
      </c>
      <c r="AW38" s="273">
        <f t="shared" si="10"/>
        <v>244.63323279999997</v>
      </c>
      <c r="AX38" s="274">
        <f t="shared" si="11"/>
        <v>136.66666666666669</v>
      </c>
      <c r="AY38" s="275">
        <v>2</v>
      </c>
      <c r="AZ38" s="276">
        <f t="shared" si="12"/>
        <v>68.333333333333343</v>
      </c>
      <c r="BA38" s="293">
        <f t="shared" si="13"/>
        <v>312.96656613333334</v>
      </c>
      <c r="BB38" s="275">
        <v>2</v>
      </c>
      <c r="BU38" s="293">
        <v>80</v>
      </c>
      <c r="BV38" s="293">
        <f t="shared" si="14"/>
        <v>392.96656613333334</v>
      </c>
    </row>
    <row r="39" spans="1:74" ht="25.5" customHeight="1" x14ac:dyDescent="0.3">
      <c r="A39" s="224" t="s">
        <v>47</v>
      </c>
      <c r="B39" s="225" t="s">
        <v>1409</v>
      </c>
      <c r="C39" s="228">
        <v>7.8</v>
      </c>
      <c r="D39" s="263">
        <f>C39*C5</f>
        <v>152.80199999999999</v>
      </c>
      <c r="E39" s="228">
        <v>3.9</v>
      </c>
      <c r="F39" s="263">
        <f>E39*F5</f>
        <v>76.400999999999996</v>
      </c>
      <c r="G39" s="227">
        <f t="shared" si="0"/>
        <v>229.20299999999997</v>
      </c>
      <c r="H39" s="228">
        <v>1.8</v>
      </c>
      <c r="I39" s="227">
        <f>H39*PARÂMETROS!$E$22</f>
        <v>76.265999999999991</v>
      </c>
      <c r="J39" s="228">
        <v>0.124</v>
      </c>
      <c r="K39" s="227">
        <f>J39*PARÂMETROS!$E$22</f>
        <v>5.2538799999999997</v>
      </c>
      <c r="L39" s="228">
        <v>2E-3</v>
      </c>
      <c r="M39" s="230">
        <f>L39*PARÂMETROS!$E$8</f>
        <v>6.1780000000000002E-2</v>
      </c>
      <c r="N39" s="228">
        <f t="shared" si="1"/>
        <v>1.8000000000000002E-2</v>
      </c>
      <c r="O39" s="230">
        <f>N39*PARÂMETROS!$E$8</f>
        <v>0.55602000000000007</v>
      </c>
      <c r="P39" s="228">
        <f t="shared" si="2"/>
        <v>1.2400000000000001E-2</v>
      </c>
      <c r="Q39" s="230">
        <f>P39*PARÂMETROS!$E$8</f>
        <v>0.38303600000000004</v>
      </c>
      <c r="R39" s="228">
        <f t="shared" si="3"/>
        <v>1.8000000000000004E-3</v>
      </c>
      <c r="S39" s="230">
        <f>R39*PARÂMETROS!$E$8</f>
        <v>5.5602000000000013E-2</v>
      </c>
      <c r="T39" s="231">
        <v>1.22</v>
      </c>
      <c r="U39" s="230">
        <f>T39*PARÂMETROS!$E$27</f>
        <v>3.66</v>
      </c>
      <c r="V39" s="299">
        <v>3.03</v>
      </c>
      <c r="W39" s="230">
        <f>V39*PARÂMETROS!$E$30</f>
        <v>17.6952</v>
      </c>
      <c r="X39" s="299">
        <v>0.60599999999999998</v>
      </c>
      <c r="Y39" s="230">
        <f>X39*PARÂMETROS!$E$31</f>
        <v>9.1808999999999994</v>
      </c>
      <c r="Z39" s="228">
        <f t="shared" si="4"/>
        <v>1.8000000000000002E-2</v>
      </c>
      <c r="AA39" s="230">
        <f>Z39*PARÂMETROS!$E$8</f>
        <v>0.55602000000000007</v>
      </c>
      <c r="AB39" s="228">
        <f t="shared" si="5"/>
        <v>1.24E-3</v>
      </c>
      <c r="AC39" s="230">
        <f>AB39*PARÂMETROS!$E$8</f>
        <v>3.83036E-2</v>
      </c>
      <c r="AD39" s="23"/>
      <c r="AE39" s="23"/>
      <c r="AF39" s="232" t="s">
        <v>1418</v>
      </c>
      <c r="AG39" s="264">
        <f t="shared" si="6"/>
        <v>342.90974159999996</v>
      </c>
      <c r="AI39" s="224" t="s">
        <v>47</v>
      </c>
      <c r="AJ39" s="291">
        <f>PARÂMETROS!$H$3</f>
        <v>40</v>
      </c>
      <c r="AK39" s="267">
        <v>1.0416666666666701E-2</v>
      </c>
      <c r="AL39" s="267">
        <v>2.0833333333333301E-2</v>
      </c>
      <c r="AM39" s="267">
        <v>1.7361111111111101E-2</v>
      </c>
      <c r="AN39" s="267">
        <v>6.9444444444444397E-3</v>
      </c>
      <c r="AO39" s="267">
        <v>2.0833333333333301E-2</v>
      </c>
      <c r="AP39" s="267">
        <v>6.9444444444444397E-3</v>
      </c>
      <c r="AQ39" s="267">
        <v>3.125E-2</v>
      </c>
      <c r="AR39" s="271">
        <v>1</v>
      </c>
      <c r="AS39" s="292">
        <f t="shared" si="7"/>
        <v>0.11458333333333329</v>
      </c>
      <c r="AT39" s="291">
        <f t="shared" si="8"/>
        <v>109.99999999999994</v>
      </c>
      <c r="AU39" s="272">
        <f t="shared" si="9"/>
        <v>109.99999999999994</v>
      </c>
      <c r="AW39" s="273">
        <f t="shared" si="10"/>
        <v>342.90974159999996</v>
      </c>
      <c r="AX39" s="274">
        <f t="shared" si="11"/>
        <v>109.99999999999994</v>
      </c>
      <c r="AY39" s="275">
        <v>1</v>
      </c>
      <c r="AZ39" s="276">
        <f t="shared" si="12"/>
        <v>109.99999999999994</v>
      </c>
      <c r="BA39" s="293">
        <f t="shared" si="13"/>
        <v>452.9097415999999</v>
      </c>
      <c r="BB39" s="275">
        <v>1</v>
      </c>
      <c r="BU39" s="293">
        <v>80</v>
      </c>
      <c r="BV39" s="293">
        <f t="shared" si="14"/>
        <v>532.90974159999996</v>
      </c>
    </row>
    <row r="40" spans="1:74" ht="25.5" customHeight="1" x14ac:dyDescent="0.3">
      <c r="A40" s="224" t="s">
        <v>222</v>
      </c>
      <c r="B40" s="225" t="s">
        <v>1409</v>
      </c>
      <c r="C40" s="228">
        <v>10.4</v>
      </c>
      <c r="D40" s="263">
        <f>C40*C5</f>
        <v>203.73600000000002</v>
      </c>
      <c r="E40" s="228">
        <v>5.2</v>
      </c>
      <c r="F40" s="263">
        <f>E40*F5</f>
        <v>101.86800000000001</v>
      </c>
      <c r="G40" s="227">
        <f t="shared" si="0"/>
        <v>305.60400000000004</v>
      </c>
      <c r="H40" s="228">
        <v>2.5</v>
      </c>
      <c r="I40" s="227">
        <f>H40*PARÂMETROS!$E$22</f>
        <v>105.925</v>
      </c>
      <c r="J40" s="228">
        <v>0.161</v>
      </c>
      <c r="K40" s="227">
        <f>J40*PARÂMETROS!$E$22</f>
        <v>6.8215699999999995</v>
      </c>
      <c r="L40" s="228">
        <v>2E-3</v>
      </c>
      <c r="M40" s="230">
        <f>L40*PARÂMETROS!$E$8</f>
        <v>6.1780000000000002E-2</v>
      </c>
      <c r="N40" s="228">
        <f t="shared" si="1"/>
        <v>2.5000000000000001E-2</v>
      </c>
      <c r="O40" s="230">
        <f>N40*PARÂMETROS!$E$8</f>
        <v>0.7722500000000001</v>
      </c>
      <c r="P40" s="228">
        <f t="shared" si="2"/>
        <v>1.61E-2</v>
      </c>
      <c r="Q40" s="230">
        <f>P40*PARÂMETROS!$E$8</f>
        <v>0.49732900000000002</v>
      </c>
      <c r="R40" s="228">
        <f t="shared" si="3"/>
        <v>2.5000000000000005E-3</v>
      </c>
      <c r="S40" s="230">
        <f>R40*PARÂMETROS!$E$8</f>
        <v>7.7225000000000016E-2</v>
      </c>
      <c r="T40" s="231">
        <v>1.31</v>
      </c>
      <c r="U40" s="230">
        <f>T40*PARÂMETROS!$E$27</f>
        <v>3.93</v>
      </c>
      <c r="V40" s="299">
        <v>3.21</v>
      </c>
      <c r="W40" s="230">
        <f>V40*PARÂMETROS!$E$30</f>
        <v>18.746399999999998</v>
      </c>
      <c r="X40" s="299">
        <v>0.64200000000000002</v>
      </c>
      <c r="Y40" s="230">
        <f>X40*PARÂMETROS!$E$31</f>
        <v>9.7263000000000002</v>
      </c>
      <c r="Z40" s="228">
        <f t="shared" si="4"/>
        <v>2.5000000000000001E-2</v>
      </c>
      <c r="AA40" s="230">
        <f>Z40*PARÂMETROS!$E$8</f>
        <v>0.7722500000000001</v>
      </c>
      <c r="AB40" s="228">
        <f t="shared" si="5"/>
        <v>1.6100000000000001E-3</v>
      </c>
      <c r="AC40" s="230">
        <f>AB40*PARÂMETROS!$E$8</f>
        <v>4.9732900000000003E-2</v>
      </c>
      <c r="AF40" s="232" t="s">
        <v>1419</v>
      </c>
      <c r="AG40" s="264">
        <f t="shared" si="6"/>
        <v>452.98383689999997</v>
      </c>
      <c r="AI40" s="224" t="s">
        <v>222</v>
      </c>
      <c r="AJ40" s="291">
        <f>PARÂMETROS!$H$3</f>
        <v>40</v>
      </c>
      <c r="AK40" s="267">
        <v>1.7361111111111101E-2</v>
      </c>
      <c r="AL40" s="267">
        <v>2.7777777777777801E-2</v>
      </c>
      <c r="AM40" s="267">
        <v>2.0833333333333301E-2</v>
      </c>
      <c r="AN40" s="267">
        <v>6.9444444444444397E-3</v>
      </c>
      <c r="AO40" s="267">
        <v>2.0833333333333301E-2</v>
      </c>
      <c r="AP40" s="267">
        <v>6.9444444444444397E-3</v>
      </c>
      <c r="AQ40" s="267">
        <v>3.125E-2</v>
      </c>
      <c r="AR40" s="271">
        <v>1</v>
      </c>
      <c r="AS40" s="292">
        <f t="shared" si="7"/>
        <v>0.13194444444444439</v>
      </c>
      <c r="AT40" s="291">
        <f t="shared" si="8"/>
        <v>126.66666666666663</v>
      </c>
      <c r="AU40" s="272">
        <f t="shared" si="9"/>
        <v>126.66666666666663</v>
      </c>
      <c r="AW40" s="273">
        <f t="shared" si="10"/>
        <v>452.98383689999997</v>
      </c>
      <c r="AX40" s="274">
        <f t="shared" si="11"/>
        <v>126.66666666666663</v>
      </c>
      <c r="AY40" s="275">
        <v>1</v>
      </c>
      <c r="AZ40" s="276">
        <f t="shared" si="12"/>
        <v>126.66666666666663</v>
      </c>
      <c r="BA40" s="293">
        <f t="shared" si="13"/>
        <v>579.65050356666666</v>
      </c>
      <c r="BB40" s="275">
        <v>1</v>
      </c>
      <c r="BU40" s="293">
        <v>80</v>
      </c>
      <c r="BV40" s="293">
        <f t="shared" si="14"/>
        <v>659.65050356666666</v>
      </c>
    </row>
    <row r="41" spans="1:74" ht="25.5" customHeight="1" x14ac:dyDescent="0.3">
      <c r="A41" s="224" t="s">
        <v>226</v>
      </c>
      <c r="B41" s="225" t="s">
        <v>1409</v>
      </c>
      <c r="C41" s="228">
        <v>18</v>
      </c>
      <c r="D41" s="263">
        <f>C41*C5</f>
        <v>352.62</v>
      </c>
      <c r="E41" s="228">
        <v>9</v>
      </c>
      <c r="F41" s="263">
        <f>E41*F5</f>
        <v>176.31</v>
      </c>
      <c r="G41" s="227">
        <f t="shared" si="0"/>
        <v>528.93000000000006</v>
      </c>
      <c r="H41" s="228">
        <v>3</v>
      </c>
      <c r="I41" s="227">
        <f>H41*PARÂMETROS!$E$22</f>
        <v>127.10999999999999</v>
      </c>
      <c r="J41" s="228">
        <v>0.19400000000000001</v>
      </c>
      <c r="K41" s="227">
        <f>J41*PARÂMETROS!$E$22</f>
        <v>8.2197800000000001</v>
      </c>
      <c r="L41" s="228">
        <v>2E-3</v>
      </c>
      <c r="M41" s="230">
        <f>L41*PARÂMETROS!$E$8</f>
        <v>6.1780000000000002E-2</v>
      </c>
      <c r="N41" s="228">
        <f t="shared" si="1"/>
        <v>0.03</v>
      </c>
      <c r="O41" s="230">
        <f>N41*PARÂMETROS!$E$8</f>
        <v>0.92669999999999997</v>
      </c>
      <c r="P41" s="228">
        <f t="shared" si="2"/>
        <v>1.9400000000000001E-2</v>
      </c>
      <c r="Q41" s="230">
        <f>P41*PARÂMETROS!$E$8</f>
        <v>0.59926600000000008</v>
      </c>
      <c r="R41" s="228">
        <f t="shared" si="3"/>
        <v>3.0000000000000001E-3</v>
      </c>
      <c r="S41" s="230">
        <f>R41*PARÂMETROS!$E$8</f>
        <v>9.2670000000000002E-2</v>
      </c>
      <c r="T41" s="231">
        <v>1.4</v>
      </c>
      <c r="U41" s="230">
        <f>T41*PARÂMETROS!$E$27</f>
        <v>4.1999999999999993</v>
      </c>
      <c r="V41" s="299">
        <v>4.3049999999999997</v>
      </c>
      <c r="W41" s="230">
        <f>V41*PARÂMETROS!$E$30</f>
        <v>25.141199999999998</v>
      </c>
      <c r="X41" s="299">
        <v>0.86099999999999999</v>
      </c>
      <c r="Y41" s="230">
        <f>X41*PARÂMETROS!$E$31</f>
        <v>13.04415</v>
      </c>
      <c r="Z41" s="228">
        <f t="shared" si="4"/>
        <v>0.03</v>
      </c>
      <c r="AA41" s="230">
        <f>Z41*PARÂMETROS!$E$8</f>
        <v>0.92669999999999997</v>
      </c>
      <c r="AB41" s="228">
        <f t="shared" si="5"/>
        <v>1.9400000000000001E-3</v>
      </c>
      <c r="AC41" s="230">
        <f>AB41*PARÂMETROS!$E$8</f>
        <v>5.9926600000000003E-2</v>
      </c>
      <c r="AD41" s="23"/>
      <c r="AE41" s="23"/>
      <c r="AF41" s="232" t="s">
        <v>1420</v>
      </c>
      <c r="AG41" s="264">
        <f t="shared" si="6"/>
        <v>709.31217260000005</v>
      </c>
      <c r="AI41" s="224" t="s">
        <v>226</v>
      </c>
      <c r="AJ41" s="291">
        <f>PARÂMETROS!$H$3</f>
        <v>40</v>
      </c>
      <c r="AK41" s="267">
        <v>1.7361111111111101E-2</v>
      </c>
      <c r="AL41" s="267">
        <v>2.7777777777777801E-2</v>
      </c>
      <c r="AM41" s="267">
        <v>2.0833333333333301E-2</v>
      </c>
      <c r="AN41" s="267">
        <v>6.9444444444444397E-3</v>
      </c>
      <c r="AO41" s="267">
        <v>2.0833333333333301E-2</v>
      </c>
      <c r="AP41" s="267">
        <v>6.9444444444444397E-3</v>
      </c>
      <c r="AQ41" s="267">
        <v>3.125E-2</v>
      </c>
      <c r="AR41" s="271">
        <v>1</v>
      </c>
      <c r="AS41" s="292">
        <f t="shared" si="7"/>
        <v>0.13194444444444439</v>
      </c>
      <c r="AT41" s="291">
        <f t="shared" si="8"/>
        <v>126.66666666666663</v>
      </c>
      <c r="AU41" s="272">
        <f t="shared" si="9"/>
        <v>126.66666666666663</v>
      </c>
      <c r="AW41" s="273">
        <f t="shared" si="10"/>
        <v>709.31217260000005</v>
      </c>
      <c r="AX41" s="274">
        <f t="shared" si="11"/>
        <v>126.66666666666663</v>
      </c>
      <c r="AY41" s="275">
        <v>1</v>
      </c>
      <c r="AZ41" s="276">
        <f t="shared" si="12"/>
        <v>126.66666666666663</v>
      </c>
      <c r="BA41" s="293">
        <f t="shared" si="13"/>
        <v>835.97883926666668</v>
      </c>
      <c r="BB41" s="275">
        <v>1</v>
      </c>
      <c r="BU41" s="293">
        <v>80</v>
      </c>
      <c r="BV41" s="293">
        <f t="shared" si="14"/>
        <v>915.97883926666668</v>
      </c>
    </row>
    <row r="42" spans="1:74" ht="25.5" customHeight="1" x14ac:dyDescent="0.3">
      <c r="A42" s="224" t="s">
        <v>230</v>
      </c>
      <c r="B42" s="225" t="s">
        <v>1409</v>
      </c>
      <c r="C42" s="228">
        <v>24</v>
      </c>
      <c r="D42" s="263">
        <f>C42*C5</f>
        <v>470.15999999999997</v>
      </c>
      <c r="E42" s="228">
        <v>12</v>
      </c>
      <c r="F42" s="263">
        <f>E42*F5</f>
        <v>235.07999999999998</v>
      </c>
      <c r="G42" s="227">
        <f t="shared" si="0"/>
        <v>705.24</v>
      </c>
      <c r="H42" s="228">
        <v>3.4</v>
      </c>
      <c r="I42" s="227">
        <f>H42*PARÂMETROS!$E$22</f>
        <v>144.05799999999999</v>
      </c>
      <c r="J42" s="228">
        <v>0.25</v>
      </c>
      <c r="K42" s="227">
        <f>J42*PARÂMETROS!$E$22</f>
        <v>10.592499999999999</v>
      </c>
      <c r="L42" s="228">
        <v>2E-3</v>
      </c>
      <c r="M42" s="230">
        <f>L42*PARÂMETROS!$E$8</f>
        <v>6.1780000000000002E-2</v>
      </c>
      <c r="N42" s="228">
        <f t="shared" si="1"/>
        <v>3.4000000000000002E-2</v>
      </c>
      <c r="O42" s="230">
        <f>N42*PARÂMETROS!$E$8</f>
        <v>1.0502600000000002</v>
      </c>
      <c r="P42" s="228">
        <f t="shared" si="2"/>
        <v>2.5000000000000001E-2</v>
      </c>
      <c r="Q42" s="230">
        <f>P42*PARÂMETROS!$E$8</f>
        <v>0.7722500000000001</v>
      </c>
      <c r="R42" s="228">
        <f t="shared" si="3"/>
        <v>3.4000000000000002E-3</v>
      </c>
      <c r="S42" s="230">
        <f>R42*PARÂMETROS!$E$8</f>
        <v>0.10502600000000001</v>
      </c>
      <c r="T42" s="231">
        <v>1.52</v>
      </c>
      <c r="U42" s="230">
        <f>T42*PARÂMETROS!$E$27</f>
        <v>4.5600000000000005</v>
      </c>
      <c r="V42" s="299">
        <v>5.48</v>
      </c>
      <c r="W42" s="230">
        <f>V42*PARÂMETROS!$E$30</f>
        <v>32.0032</v>
      </c>
      <c r="X42" s="299">
        <v>1.0960000000000001</v>
      </c>
      <c r="Y42" s="230">
        <f>X42*PARÂMETROS!$E$31</f>
        <v>16.604400000000002</v>
      </c>
      <c r="Z42" s="228">
        <f t="shared" si="4"/>
        <v>3.4000000000000002E-2</v>
      </c>
      <c r="AA42" s="230">
        <f>Z42*PARÂMETROS!$E$8</f>
        <v>1.0502600000000002</v>
      </c>
      <c r="AB42" s="228">
        <f t="shared" si="5"/>
        <v>2.5000000000000001E-3</v>
      </c>
      <c r="AC42" s="230">
        <f>AB42*PARÂMETROS!$E$8</f>
        <v>7.7225000000000002E-2</v>
      </c>
      <c r="AF42" s="232" t="s">
        <v>1421</v>
      </c>
      <c r="AG42" s="264">
        <f t="shared" si="6"/>
        <v>916.17490100000009</v>
      </c>
      <c r="AI42" s="224" t="s">
        <v>230</v>
      </c>
      <c r="AJ42" s="291">
        <f>PARÂMETROS!$H$3</f>
        <v>40</v>
      </c>
      <c r="AK42" s="267">
        <v>1.7361111111111101E-2</v>
      </c>
      <c r="AL42" s="267">
        <v>2.7777777777777801E-2</v>
      </c>
      <c r="AM42" s="267">
        <v>2.7777777777777801E-2</v>
      </c>
      <c r="AN42" s="267">
        <v>6.9444444444444397E-3</v>
      </c>
      <c r="AO42" s="267">
        <v>2.0833333333333301E-2</v>
      </c>
      <c r="AP42" s="267">
        <v>6.9444444444444397E-3</v>
      </c>
      <c r="AQ42" s="267">
        <v>3.125E-2</v>
      </c>
      <c r="AR42" s="271">
        <v>1</v>
      </c>
      <c r="AS42" s="292">
        <f t="shared" si="7"/>
        <v>0.1388888888888889</v>
      </c>
      <c r="AT42" s="291">
        <f t="shared" si="8"/>
        <v>133.33333333333331</v>
      </c>
      <c r="AU42" s="272">
        <f t="shared" si="9"/>
        <v>133.33333333333331</v>
      </c>
      <c r="AW42" s="273">
        <f t="shared" si="10"/>
        <v>916.17490100000009</v>
      </c>
      <c r="AX42" s="274">
        <f t="shared" si="11"/>
        <v>133.33333333333331</v>
      </c>
      <c r="AY42" s="275">
        <v>1</v>
      </c>
      <c r="AZ42" s="276">
        <f t="shared" si="12"/>
        <v>133.33333333333331</v>
      </c>
      <c r="BA42" s="293">
        <f t="shared" si="13"/>
        <v>1049.5082343333333</v>
      </c>
      <c r="BB42" s="275">
        <v>1</v>
      </c>
      <c r="BU42" s="293">
        <v>80</v>
      </c>
      <c r="BV42" s="293">
        <f t="shared" si="14"/>
        <v>1129.5082343333333</v>
      </c>
    </row>
    <row r="43" spans="1:74" ht="25.5" customHeight="1" x14ac:dyDescent="0.3">
      <c r="A43" s="224" t="s">
        <v>234</v>
      </c>
      <c r="B43" s="225" t="s">
        <v>1409</v>
      </c>
      <c r="C43" s="228">
        <v>34</v>
      </c>
      <c r="D43" s="263">
        <f>C43*C5</f>
        <v>666.06</v>
      </c>
      <c r="E43" s="228">
        <v>17</v>
      </c>
      <c r="F43" s="263">
        <f>E43*F5</f>
        <v>333.03</v>
      </c>
      <c r="G43" s="227">
        <f t="shared" si="0"/>
        <v>999.08999999999992</v>
      </c>
      <c r="H43" s="228">
        <v>3.9</v>
      </c>
      <c r="I43" s="227">
        <f>H43*PARÂMETROS!$E$22</f>
        <v>165.24299999999999</v>
      </c>
      <c r="J43" s="228">
        <v>0.30099999999999999</v>
      </c>
      <c r="K43" s="227">
        <f>J43*PARÂMETROS!$E$22</f>
        <v>12.753369999999999</v>
      </c>
      <c r="L43" s="228">
        <v>2E-3</v>
      </c>
      <c r="M43" s="230">
        <f>L43*PARÂMETROS!$E$8</f>
        <v>6.1780000000000002E-2</v>
      </c>
      <c r="N43" s="228">
        <f t="shared" si="1"/>
        <v>3.9E-2</v>
      </c>
      <c r="O43" s="230">
        <f>N43*PARÂMETROS!$E$8</f>
        <v>1.2047099999999999</v>
      </c>
      <c r="P43" s="228">
        <f t="shared" si="2"/>
        <v>3.0100000000000002E-2</v>
      </c>
      <c r="Q43" s="230">
        <f>P43*PARÂMETROS!$E$8</f>
        <v>0.92978900000000009</v>
      </c>
      <c r="R43" s="228">
        <f t="shared" si="3"/>
        <v>3.9000000000000003E-3</v>
      </c>
      <c r="S43" s="230">
        <f>R43*PARÂMETROS!$E$8</f>
        <v>0.12047100000000001</v>
      </c>
      <c r="T43" s="231">
        <v>1.62</v>
      </c>
      <c r="U43" s="230">
        <f>T43*PARÂMETROS!$E$27</f>
        <v>4.8600000000000003</v>
      </c>
      <c r="V43" s="299">
        <v>4.2</v>
      </c>
      <c r="W43" s="230">
        <f>V43*PARÂMETROS!$E$30</f>
        <v>24.527999999999999</v>
      </c>
      <c r="X43" s="299">
        <v>0.84</v>
      </c>
      <c r="Y43" s="230">
        <f>X43*PARÂMETROS!$E$31</f>
        <v>12.725999999999999</v>
      </c>
      <c r="Z43" s="228">
        <f t="shared" si="4"/>
        <v>3.9E-2</v>
      </c>
      <c r="AA43" s="230">
        <f>Z43*PARÂMETROS!$E$8</f>
        <v>1.2047099999999999</v>
      </c>
      <c r="AB43" s="228">
        <f t="shared" si="5"/>
        <v>3.0100000000000001E-3</v>
      </c>
      <c r="AC43" s="230">
        <f>AB43*PARÂMETROS!$E$8</f>
        <v>9.2978900000000003E-2</v>
      </c>
      <c r="AD43" s="23"/>
      <c r="AE43" s="23"/>
      <c r="AF43" s="232" t="s">
        <v>1422</v>
      </c>
      <c r="AG43" s="264">
        <f t="shared" si="6"/>
        <v>1222.8148088999999</v>
      </c>
      <c r="AI43" s="224" t="s">
        <v>234</v>
      </c>
      <c r="AJ43" s="291">
        <f>PARÂMETROS!$H$3</f>
        <v>40</v>
      </c>
      <c r="AK43" s="267">
        <v>1.7361111111111101E-2</v>
      </c>
      <c r="AL43" s="267">
        <v>2.7777777777777801E-2</v>
      </c>
      <c r="AM43" s="267">
        <v>2.7777777777777801E-2</v>
      </c>
      <c r="AN43" s="267">
        <v>6.9444444444444397E-3</v>
      </c>
      <c r="AO43" s="267">
        <v>2.0833333333333301E-2</v>
      </c>
      <c r="AP43" s="267">
        <v>6.9444444444444397E-3</v>
      </c>
      <c r="AQ43" s="267">
        <v>3.125E-2</v>
      </c>
      <c r="AR43" s="271">
        <v>1</v>
      </c>
      <c r="AS43" s="292">
        <f t="shared" si="7"/>
        <v>0.1388888888888889</v>
      </c>
      <c r="AT43" s="291">
        <f t="shared" si="8"/>
        <v>133.33333333333331</v>
      </c>
      <c r="AU43" s="272">
        <f t="shared" si="9"/>
        <v>133.33333333333331</v>
      </c>
      <c r="AW43" s="273">
        <f t="shared" si="10"/>
        <v>1222.8148088999999</v>
      </c>
      <c r="AX43" s="274">
        <f t="shared" si="11"/>
        <v>133.33333333333331</v>
      </c>
      <c r="AY43" s="275">
        <v>1</v>
      </c>
      <c r="AZ43" s="276">
        <f t="shared" si="12"/>
        <v>133.33333333333331</v>
      </c>
      <c r="BA43" s="293">
        <f t="shared" si="13"/>
        <v>1356.1481422333331</v>
      </c>
      <c r="BB43" s="275">
        <v>1</v>
      </c>
      <c r="BU43" s="293">
        <v>80</v>
      </c>
      <c r="BV43" s="293">
        <f t="shared" si="14"/>
        <v>1436.1481422333331</v>
      </c>
    </row>
    <row r="44" spans="1:74" ht="25.5" customHeight="1" x14ac:dyDescent="0.3">
      <c r="A44" s="224" t="s">
        <v>238</v>
      </c>
      <c r="B44" s="225" t="s">
        <v>1409</v>
      </c>
      <c r="C44" s="228">
        <v>40</v>
      </c>
      <c r="D44" s="263">
        <f>C44*C5</f>
        <v>783.6</v>
      </c>
      <c r="E44" s="228">
        <v>20</v>
      </c>
      <c r="F44" s="263">
        <f>E44*F5</f>
        <v>391.8</v>
      </c>
      <c r="G44" s="227">
        <f t="shared" si="0"/>
        <v>1175.4000000000001</v>
      </c>
      <c r="H44" s="228">
        <v>4.5</v>
      </c>
      <c r="I44" s="227">
        <f>H44*PARÂMETROS!$E$22</f>
        <v>190.66499999999999</v>
      </c>
      <c r="J44" s="228">
        <v>0.35699999999999998</v>
      </c>
      <c r="K44" s="227">
        <f>J44*PARÂMETROS!$E$22</f>
        <v>15.126089999999998</v>
      </c>
      <c r="L44" s="228">
        <v>2E-3</v>
      </c>
      <c r="M44" s="230">
        <f>L44*PARÂMETROS!$E$8</f>
        <v>6.1780000000000002E-2</v>
      </c>
      <c r="N44" s="228">
        <f t="shared" si="1"/>
        <v>4.4999999999999998E-2</v>
      </c>
      <c r="O44" s="230">
        <f>N44*PARÂMETROS!$E$8</f>
        <v>1.39005</v>
      </c>
      <c r="P44" s="228">
        <f t="shared" si="2"/>
        <v>3.5700000000000003E-2</v>
      </c>
      <c r="Q44" s="230">
        <f>P44*PARÂMETROS!$E$8</f>
        <v>1.102773</v>
      </c>
      <c r="R44" s="228">
        <f t="shared" si="3"/>
        <v>4.4999999999999997E-3</v>
      </c>
      <c r="S44" s="230">
        <f>R44*PARÂMETROS!$E$8</f>
        <v>0.13900499999999999</v>
      </c>
      <c r="T44" s="231">
        <v>1.72</v>
      </c>
      <c r="U44" s="230">
        <f>T44*PARÂMETROS!$E$27</f>
        <v>5.16</v>
      </c>
      <c r="V44" s="299">
        <v>6.84</v>
      </c>
      <c r="W44" s="230">
        <f>V44*PARÂMETROS!$E$30</f>
        <v>39.945599999999999</v>
      </c>
      <c r="X44" s="299">
        <v>1.3680000000000001</v>
      </c>
      <c r="Y44" s="230">
        <f>X44*PARÂMETROS!$E$31</f>
        <v>20.725200000000001</v>
      </c>
      <c r="Z44" s="228">
        <f t="shared" si="4"/>
        <v>4.4999999999999998E-2</v>
      </c>
      <c r="AA44" s="230">
        <f>Z44*PARÂMETROS!$E$8</f>
        <v>1.39005</v>
      </c>
      <c r="AB44" s="228">
        <f t="shared" si="5"/>
        <v>3.5699999999999998E-3</v>
      </c>
      <c r="AC44" s="230">
        <f>AB44*PARÂMETROS!$E$8</f>
        <v>0.11027729999999999</v>
      </c>
      <c r="AF44" s="232" t="s">
        <v>1423</v>
      </c>
      <c r="AG44" s="264">
        <f t="shared" si="6"/>
        <v>1451.2158253000002</v>
      </c>
      <c r="AI44" s="224" t="s">
        <v>238</v>
      </c>
      <c r="AJ44" s="291">
        <f>PARÂMETROS!$H$3</f>
        <v>40</v>
      </c>
      <c r="AK44" s="267">
        <v>1.7361111111111101E-2</v>
      </c>
      <c r="AL44" s="267">
        <v>2.7777777777777801E-2</v>
      </c>
      <c r="AM44" s="267">
        <v>2.7777777777777801E-2</v>
      </c>
      <c r="AN44" s="267">
        <v>6.9444444444444397E-3</v>
      </c>
      <c r="AO44" s="267">
        <v>2.0833333333333301E-2</v>
      </c>
      <c r="AP44" s="267">
        <v>6.9444444444444397E-3</v>
      </c>
      <c r="AQ44" s="267">
        <v>3.125E-2</v>
      </c>
      <c r="AR44" s="271">
        <v>1</v>
      </c>
      <c r="AS44" s="292">
        <f t="shared" si="7"/>
        <v>0.1388888888888889</v>
      </c>
      <c r="AT44" s="291">
        <f t="shared" si="8"/>
        <v>133.33333333333331</v>
      </c>
      <c r="AU44" s="272">
        <f t="shared" si="9"/>
        <v>133.33333333333331</v>
      </c>
      <c r="AW44" s="273">
        <f t="shared" si="10"/>
        <v>1451.2158253000002</v>
      </c>
      <c r="AX44" s="274">
        <f t="shared" si="11"/>
        <v>133.33333333333331</v>
      </c>
      <c r="AY44" s="275">
        <v>1</v>
      </c>
      <c r="AZ44" s="276">
        <f t="shared" si="12"/>
        <v>133.33333333333331</v>
      </c>
      <c r="BA44" s="293">
        <f t="shared" si="13"/>
        <v>1584.5491586333335</v>
      </c>
      <c r="BB44" s="275">
        <v>1</v>
      </c>
      <c r="BU44" s="293">
        <v>80</v>
      </c>
      <c r="BV44" s="293">
        <f t="shared" si="14"/>
        <v>1664.5491586333335</v>
      </c>
    </row>
    <row r="45" spans="1:74" ht="25.5" customHeight="1" x14ac:dyDescent="0.3">
      <c r="A45" s="224" t="s">
        <v>242</v>
      </c>
      <c r="B45" s="225" t="s">
        <v>1409</v>
      </c>
      <c r="C45" s="228">
        <v>52</v>
      </c>
      <c r="D45" s="263">
        <f>C45*C5</f>
        <v>1018.68</v>
      </c>
      <c r="E45" s="228">
        <v>26</v>
      </c>
      <c r="F45" s="263">
        <f>E45*F5</f>
        <v>509.34</v>
      </c>
      <c r="G45" s="227">
        <f t="shared" si="0"/>
        <v>1528.02</v>
      </c>
      <c r="H45" s="228">
        <v>5</v>
      </c>
      <c r="I45" s="227">
        <f>H45*PARÂMETROS!$E$22</f>
        <v>211.85</v>
      </c>
      <c r="J45" s="228">
        <v>0.41799999999999998</v>
      </c>
      <c r="K45" s="227">
        <f>J45*PARÂMETROS!$E$22</f>
        <v>17.710659999999997</v>
      </c>
      <c r="L45" s="228">
        <v>2E-3</v>
      </c>
      <c r="M45" s="230">
        <f>L45*PARÂMETROS!$E$8</f>
        <v>6.1780000000000002E-2</v>
      </c>
      <c r="N45" s="228">
        <f t="shared" si="1"/>
        <v>0.05</v>
      </c>
      <c r="O45" s="230">
        <f>N45*PARÂMETROS!$E$8</f>
        <v>1.5445000000000002</v>
      </c>
      <c r="P45" s="228">
        <f t="shared" si="2"/>
        <v>4.1800000000000004E-2</v>
      </c>
      <c r="Q45" s="230">
        <f>P45*PARÂMETROS!$E$8</f>
        <v>1.2912020000000002</v>
      </c>
      <c r="R45" s="228">
        <f t="shared" si="3"/>
        <v>5.000000000000001E-3</v>
      </c>
      <c r="S45" s="230">
        <f>R45*PARÂMETROS!$E$8</f>
        <v>0.15445000000000003</v>
      </c>
      <c r="T45" s="231">
        <v>1.82</v>
      </c>
      <c r="U45" s="230">
        <f>T45*PARÂMETROS!$E$27</f>
        <v>5.46</v>
      </c>
      <c r="V45" s="299">
        <v>6.88</v>
      </c>
      <c r="W45" s="230">
        <f>V45*PARÂMETROS!$E$30</f>
        <v>40.179200000000002</v>
      </c>
      <c r="X45" s="299">
        <v>1.766</v>
      </c>
      <c r="Y45" s="230">
        <f>X45*PARÂMETROS!$E$31</f>
        <v>26.754899999999999</v>
      </c>
      <c r="Z45" s="228">
        <f t="shared" si="4"/>
        <v>0.05</v>
      </c>
      <c r="AA45" s="230">
        <f>Z45*PARÂMETROS!$E$8</f>
        <v>1.5445000000000002</v>
      </c>
      <c r="AB45" s="228">
        <f t="shared" si="5"/>
        <v>4.1799999999999997E-3</v>
      </c>
      <c r="AC45" s="230">
        <f>AB45*PARÂMETROS!$E$8</f>
        <v>0.12912019999999999</v>
      </c>
      <c r="AD45" s="23"/>
      <c r="AE45" s="23"/>
      <c r="AF45" s="232" t="s">
        <v>1424</v>
      </c>
      <c r="AG45" s="264">
        <f t="shared" si="6"/>
        <v>1834.7003121999999</v>
      </c>
      <c r="AI45" s="224" t="s">
        <v>242</v>
      </c>
      <c r="AJ45" s="291">
        <f>PARÂMETROS!$H$3</f>
        <v>40</v>
      </c>
      <c r="AK45" s="267">
        <v>1.7361111111111101E-2</v>
      </c>
      <c r="AL45" s="267">
        <v>4.1666666666666699E-2</v>
      </c>
      <c r="AM45" s="267">
        <v>2.7777777777777801E-2</v>
      </c>
      <c r="AN45" s="267">
        <v>6.9444444444444397E-3</v>
      </c>
      <c r="AO45" s="267">
        <v>2.0833333333333301E-2</v>
      </c>
      <c r="AP45" s="267">
        <v>6.9444444444444397E-3</v>
      </c>
      <c r="AQ45" s="267">
        <v>3.125E-2</v>
      </c>
      <c r="AR45" s="271">
        <v>1</v>
      </c>
      <c r="AS45" s="292">
        <f t="shared" si="7"/>
        <v>0.15277777777777779</v>
      </c>
      <c r="AT45" s="291">
        <f t="shared" si="8"/>
        <v>146.66666666666669</v>
      </c>
      <c r="AU45" s="272">
        <f t="shared" si="9"/>
        <v>146.66666666666669</v>
      </c>
      <c r="AW45" s="273">
        <f t="shared" si="10"/>
        <v>1834.7003121999999</v>
      </c>
      <c r="AX45" s="274">
        <f t="shared" si="11"/>
        <v>146.66666666666669</v>
      </c>
      <c r="AY45" s="275">
        <v>1</v>
      </c>
      <c r="AZ45" s="276">
        <f t="shared" si="12"/>
        <v>146.66666666666669</v>
      </c>
      <c r="BA45" s="293">
        <f t="shared" si="13"/>
        <v>1981.3669788666666</v>
      </c>
      <c r="BB45" s="275">
        <v>1</v>
      </c>
      <c r="BU45" s="293">
        <v>80</v>
      </c>
      <c r="BV45" s="293">
        <f t="shared" si="14"/>
        <v>2061.3669788666666</v>
      </c>
    </row>
    <row r="46" spans="1:74" ht="25.5" customHeight="1" x14ac:dyDescent="0.3">
      <c r="A46" s="224" t="s">
        <v>246</v>
      </c>
      <c r="B46" s="225" t="s">
        <v>1409</v>
      </c>
      <c r="C46" s="228">
        <v>66</v>
      </c>
      <c r="D46" s="263">
        <f>C46*C5</f>
        <v>1292.94</v>
      </c>
      <c r="E46" s="228">
        <v>33</v>
      </c>
      <c r="F46" s="263">
        <f>E46*F5</f>
        <v>646.47</v>
      </c>
      <c r="G46" s="227">
        <f t="shared" si="0"/>
        <v>1939.41</v>
      </c>
      <c r="H46" s="228">
        <v>5.4</v>
      </c>
      <c r="I46" s="227">
        <f>H46*PARÂMETROS!$E$22</f>
        <v>228.798</v>
      </c>
      <c r="J46" s="228">
        <v>0.498</v>
      </c>
      <c r="K46" s="227">
        <f>J46*PARÂMETROS!$E$22</f>
        <v>21.100259999999999</v>
      </c>
      <c r="L46" s="228">
        <v>2E-3</v>
      </c>
      <c r="M46" s="230">
        <f>L46*PARÂMETROS!$E$8</f>
        <v>6.1780000000000002E-2</v>
      </c>
      <c r="N46" s="228">
        <f t="shared" si="1"/>
        <v>5.4000000000000006E-2</v>
      </c>
      <c r="O46" s="230">
        <f>N46*PARÂMETROS!$E$8</f>
        <v>1.6680600000000003</v>
      </c>
      <c r="P46" s="228">
        <f t="shared" si="2"/>
        <v>4.9800000000000004E-2</v>
      </c>
      <c r="Q46" s="230">
        <f>P46*PARÂMETROS!$E$8</f>
        <v>1.5383220000000002</v>
      </c>
      <c r="R46" s="228">
        <f t="shared" si="3"/>
        <v>5.4000000000000012E-3</v>
      </c>
      <c r="S46" s="230">
        <f>R46*PARÂMETROS!$E$8</f>
        <v>0.16680600000000004</v>
      </c>
      <c r="T46" s="231">
        <v>1.92</v>
      </c>
      <c r="U46" s="230">
        <f>T46*PARÂMETROS!$E$27</f>
        <v>5.76</v>
      </c>
      <c r="V46" s="299">
        <v>6.76</v>
      </c>
      <c r="W46" s="230">
        <f>V46*PARÂMETROS!$E$30</f>
        <v>39.478400000000001</v>
      </c>
      <c r="X46" s="299">
        <v>1.3560000000000001</v>
      </c>
      <c r="Y46" s="230">
        <f>X46*PARÂMETROS!$E$31</f>
        <v>20.543400000000002</v>
      </c>
      <c r="Z46" s="228">
        <f t="shared" si="4"/>
        <v>5.4000000000000006E-2</v>
      </c>
      <c r="AA46" s="230">
        <f>Z46*PARÂMETROS!$E$8</f>
        <v>1.6680600000000003</v>
      </c>
      <c r="AB46" s="228">
        <f t="shared" si="5"/>
        <v>4.9800000000000001E-3</v>
      </c>
      <c r="AC46" s="230">
        <f>AB46*PARÂMETROS!$E$8</f>
        <v>0.1538322</v>
      </c>
      <c r="AF46" s="232" t="s">
        <v>1425</v>
      </c>
      <c r="AG46" s="264">
        <f t="shared" si="6"/>
        <v>2260.3469202000001</v>
      </c>
      <c r="AI46" s="224" t="s">
        <v>246</v>
      </c>
      <c r="AJ46" s="291">
        <f>PARÂMETROS!$H$3</f>
        <v>40</v>
      </c>
      <c r="AK46" s="267">
        <v>1.7361111111111101E-2</v>
      </c>
      <c r="AL46" s="267">
        <v>4.1666666666666699E-2</v>
      </c>
      <c r="AM46" s="267">
        <v>6.9444444444444503E-2</v>
      </c>
      <c r="AN46" s="267">
        <v>6.9444444444444397E-3</v>
      </c>
      <c r="AO46" s="267">
        <v>2.0833333333333301E-2</v>
      </c>
      <c r="AP46" s="267">
        <v>6.9444444444444397E-3</v>
      </c>
      <c r="AQ46" s="267">
        <v>3.125E-2</v>
      </c>
      <c r="AR46" s="271">
        <v>1</v>
      </c>
      <c r="AS46" s="292">
        <f t="shared" si="7"/>
        <v>0.19444444444444448</v>
      </c>
      <c r="AT46" s="291">
        <f t="shared" si="8"/>
        <v>186.66666666666669</v>
      </c>
      <c r="AU46" s="272">
        <f t="shared" si="9"/>
        <v>186.66666666666669</v>
      </c>
      <c r="AW46" s="273">
        <f t="shared" si="10"/>
        <v>2260.3469202000001</v>
      </c>
      <c r="AX46" s="274">
        <f t="shared" si="11"/>
        <v>186.66666666666669</v>
      </c>
      <c r="AY46" s="275">
        <v>1</v>
      </c>
      <c r="AZ46" s="276">
        <f t="shared" si="12"/>
        <v>186.66666666666669</v>
      </c>
      <c r="BA46" s="293">
        <f t="shared" si="13"/>
        <v>2447.0135868666666</v>
      </c>
      <c r="BB46" s="275">
        <v>1</v>
      </c>
      <c r="BU46" s="293">
        <v>80</v>
      </c>
      <c r="BV46" s="293">
        <f t="shared" si="14"/>
        <v>2527.0135868666666</v>
      </c>
    </row>
    <row r="47" spans="1:74" ht="25.5" customHeight="1" x14ac:dyDescent="0.3">
      <c r="A47" s="224" t="s">
        <v>250</v>
      </c>
      <c r="B47" s="225" t="s">
        <v>1409</v>
      </c>
      <c r="C47" s="228">
        <v>86</v>
      </c>
      <c r="D47" s="263">
        <f>C47*C5</f>
        <v>1684.74</v>
      </c>
      <c r="E47" s="228">
        <v>43</v>
      </c>
      <c r="F47" s="263">
        <f>E47*F5</f>
        <v>842.37</v>
      </c>
      <c r="G47" s="227">
        <f t="shared" si="0"/>
        <v>2527.11</v>
      </c>
      <c r="H47" s="228">
        <v>6</v>
      </c>
      <c r="I47" s="227">
        <f>H47*PARÂMETROS!$E$22</f>
        <v>254.21999999999997</v>
      </c>
      <c r="J47" s="228">
        <v>0.54</v>
      </c>
      <c r="K47" s="227">
        <f>J47*PARÂMETROS!$E$22</f>
        <v>22.879799999999999</v>
      </c>
      <c r="L47" s="228">
        <v>2E-3</v>
      </c>
      <c r="M47" s="230">
        <f>L47*PARÂMETROS!$E$8</f>
        <v>6.1780000000000002E-2</v>
      </c>
      <c r="N47" s="228">
        <f t="shared" si="1"/>
        <v>0.06</v>
      </c>
      <c r="O47" s="230">
        <f>N47*PARÂMETROS!$E$8</f>
        <v>1.8533999999999999</v>
      </c>
      <c r="P47" s="228">
        <f t="shared" si="2"/>
        <v>5.4000000000000006E-2</v>
      </c>
      <c r="Q47" s="230">
        <f>P47*PARÂMETROS!$E$8</f>
        <v>1.6680600000000003</v>
      </c>
      <c r="R47" s="228">
        <f t="shared" si="3"/>
        <v>6.0000000000000001E-3</v>
      </c>
      <c r="S47" s="230">
        <f>R47*PARÂMETROS!$E$8</f>
        <v>0.18534</v>
      </c>
      <c r="T47" s="231">
        <v>2</v>
      </c>
      <c r="U47" s="230">
        <f>T47*PARÂMETROS!$E$27</f>
        <v>6</v>
      </c>
      <c r="V47" s="299">
        <v>7.84</v>
      </c>
      <c r="W47" s="230">
        <f>V47*PARÂMETROS!$E$30</f>
        <v>45.785599999999995</v>
      </c>
      <c r="X47" s="299">
        <v>1.5680000000000001</v>
      </c>
      <c r="Y47" s="230">
        <f>X47*PARÂMETROS!$E$31</f>
        <v>23.755200000000002</v>
      </c>
      <c r="Z47" s="228">
        <f t="shared" si="4"/>
        <v>0.06</v>
      </c>
      <c r="AA47" s="230">
        <f>Z47*PARÂMETROS!$E$8</f>
        <v>1.8533999999999999</v>
      </c>
      <c r="AB47" s="228">
        <f t="shared" si="5"/>
        <v>5.4000000000000003E-3</v>
      </c>
      <c r="AC47" s="230">
        <f>AB47*PARÂMETROS!$E$8</f>
        <v>0.16680600000000001</v>
      </c>
      <c r="AD47" s="23"/>
      <c r="AE47" s="23"/>
      <c r="AF47" s="232" t="s">
        <v>1426</v>
      </c>
      <c r="AG47" s="264">
        <f t="shared" si="6"/>
        <v>2885.5393860000004</v>
      </c>
      <c r="AI47" s="224" t="s">
        <v>250</v>
      </c>
      <c r="AJ47" s="291">
        <f>PARÂMETROS!$H$3</f>
        <v>40</v>
      </c>
      <c r="AK47" s="267">
        <v>2.4305555555555601E-2</v>
      </c>
      <c r="AL47" s="267">
        <v>8.3333333333333301E-2</v>
      </c>
      <c r="AM47" s="267">
        <v>6.9444444444444503E-2</v>
      </c>
      <c r="AN47" s="267">
        <v>6.9444444444444397E-3</v>
      </c>
      <c r="AO47" s="267">
        <v>2.0833333333333301E-2</v>
      </c>
      <c r="AP47" s="267">
        <v>6.9444444444444397E-3</v>
      </c>
      <c r="AQ47" s="267">
        <v>3.125E-2</v>
      </c>
      <c r="AR47" s="271">
        <v>1</v>
      </c>
      <c r="AS47" s="292">
        <f t="shared" si="7"/>
        <v>0.24305555555555561</v>
      </c>
      <c r="AT47" s="291">
        <f t="shared" si="8"/>
        <v>233.3333333333334</v>
      </c>
      <c r="AU47" s="272">
        <f t="shared" si="9"/>
        <v>233.3333333333334</v>
      </c>
      <c r="AW47" s="273">
        <f t="shared" si="10"/>
        <v>2885.5393860000004</v>
      </c>
      <c r="AX47" s="274">
        <f t="shared" si="11"/>
        <v>233.3333333333334</v>
      </c>
      <c r="AY47" s="275">
        <v>1</v>
      </c>
      <c r="AZ47" s="276">
        <f t="shared" si="12"/>
        <v>233.3333333333334</v>
      </c>
      <c r="BA47" s="293">
        <f t="shared" si="13"/>
        <v>3118.8727193333339</v>
      </c>
      <c r="BB47" s="275">
        <v>1</v>
      </c>
      <c r="BU47" s="293">
        <v>80</v>
      </c>
      <c r="BV47" s="293">
        <f t="shared" si="14"/>
        <v>3198.8727193333339</v>
      </c>
    </row>
    <row r="48" spans="1:74" ht="25.5" customHeight="1" x14ac:dyDescent="0.3">
      <c r="A48" s="224" t="s">
        <v>254</v>
      </c>
      <c r="B48" s="225" t="s">
        <v>1409</v>
      </c>
      <c r="C48" s="228">
        <v>90</v>
      </c>
      <c r="D48" s="263">
        <f>C48*C5</f>
        <v>1763.1</v>
      </c>
      <c r="E48" s="228">
        <v>45</v>
      </c>
      <c r="F48" s="263">
        <f>E48*F5</f>
        <v>881.55</v>
      </c>
      <c r="G48" s="227">
        <f t="shared" si="0"/>
        <v>2644.6499999999996</v>
      </c>
      <c r="H48" s="228">
        <v>6.4</v>
      </c>
      <c r="I48" s="227">
        <f>H48*PARÂMETROS!$E$22</f>
        <v>271.16800000000001</v>
      </c>
      <c r="J48" s="228">
        <v>0.61499999999999999</v>
      </c>
      <c r="K48" s="227">
        <f>J48*PARÂMETROS!$E$22</f>
        <v>26.057549999999999</v>
      </c>
      <c r="L48" s="228">
        <v>2E-3</v>
      </c>
      <c r="M48" s="230">
        <f>L48*PARÂMETROS!$E$8</f>
        <v>6.1780000000000002E-2</v>
      </c>
      <c r="N48" s="228">
        <f t="shared" si="1"/>
        <v>6.4000000000000001E-2</v>
      </c>
      <c r="O48" s="230">
        <f>N48*PARÂMETROS!$E$8</f>
        <v>1.9769600000000001</v>
      </c>
      <c r="P48" s="228">
        <f t="shared" si="2"/>
        <v>6.1499999999999999E-2</v>
      </c>
      <c r="Q48" s="230">
        <f>P48*PARÂMETROS!$E$8</f>
        <v>1.899735</v>
      </c>
      <c r="R48" s="228">
        <f t="shared" si="3"/>
        <v>6.4000000000000003E-3</v>
      </c>
      <c r="S48" s="230">
        <f>R48*PARÂMETROS!$E$8</f>
        <v>0.19769600000000001</v>
      </c>
      <c r="T48" s="231">
        <v>2.1</v>
      </c>
      <c r="U48" s="230">
        <f>T48*PARÂMETROS!$E$27</f>
        <v>6.3000000000000007</v>
      </c>
      <c r="V48" s="299">
        <v>9.48</v>
      </c>
      <c r="W48" s="230">
        <f>V48*PARÂMETROS!$E$30</f>
        <v>55.363199999999999</v>
      </c>
      <c r="X48" s="299">
        <v>1.9279999999999999</v>
      </c>
      <c r="Y48" s="230">
        <f>X48*PARÂMETROS!$E$31</f>
        <v>29.209199999999999</v>
      </c>
      <c r="Z48" s="228">
        <f t="shared" si="4"/>
        <v>6.4000000000000001E-2</v>
      </c>
      <c r="AA48" s="230">
        <f>Z48*PARÂMETROS!$E$8</f>
        <v>1.9769600000000001</v>
      </c>
      <c r="AB48" s="228">
        <f t="shared" si="5"/>
        <v>6.1500000000000001E-3</v>
      </c>
      <c r="AC48" s="230">
        <f>AB48*PARÂMETROS!$E$8</f>
        <v>0.18997350000000002</v>
      </c>
      <c r="AF48" s="232" t="s">
        <v>1427</v>
      </c>
      <c r="AG48" s="264">
        <f t="shared" si="6"/>
        <v>3039.0510544999993</v>
      </c>
      <c r="AI48" s="224" t="s">
        <v>254</v>
      </c>
      <c r="AJ48" s="291">
        <f>PARÂMETROS!$H$3</f>
        <v>40</v>
      </c>
      <c r="AK48" s="267">
        <v>2.4305555555555601E-2</v>
      </c>
      <c r="AL48" s="267">
        <v>8.3333333333333301E-2</v>
      </c>
      <c r="AM48" s="267">
        <v>6.9444444444444503E-2</v>
      </c>
      <c r="AN48" s="267">
        <v>6.9444444444444397E-3</v>
      </c>
      <c r="AO48" s="267">
        <v>2.0833333333333301E-2</v>
      </c>
      <c r="AP48" s="267">
        <v>6.9444444444444397E-3</v>
      </c>
      <c r="AQ48" s="267">
        <v>3.125E-2</v>
      </c>
      <c r="AR48" s="271">
        <v>1</v>
      </c>
      <c r="AS48" s="292">
        <f t="shared" si="7"/>
        <v>0.24305555555555561</v>
      </c>
      <c r="AT48" s="291">
        <f t="shared" si="8"/>
        <v>233.3333333333334</v>
      </c>
      <c r="AU48" s="272">
        <f t="shared" si="9"/>
        <v>233.3333333333334</v>
      </c>
      <c r="AW48" s="273">
        <f t="shared" si="10"/>
        <v>3039.0510544999993</v>
      </c>
      <c r="AX48" s="274">
        <f t="shared" si="11"/>
        <v>233.3333333333334</v>
      </c>
      <c r="AY48" s="275">
        <v>1</v>
      </c>
      <c r="AZ48" s="276">
        <f t="shared" si="12"/>
        <v>233.3333333333334</v>
      </c>
      <c r="BA48" s="293">
        <f t="shared" si="13"/>
        <v>3272.3843878333328</v>
      </c>
      <c r="BB48" s="275">
        <v>1</v>
      </c>
      <c r="BU48" s="293">
        <v>80</v>
      </c>
      <c r="BV48" s="293">
        <f t="shared" si="14"/>
        <v>3352.3843878333328</v>
      </c>
    </row>
    <row r="49" spans="1:74" ht="25.5" customHeight="1" x14ac:dyDescent="0.3">
      <c r="A49" s="224" t="s">
        <v>258</v>
      </c>
      <c r="B49" s="225" t="s">
        <v>1409</v>
      </c>
      <c r="C49" s="228">
        <v>115</v>
      </c>
      <c r="D49" s="263">
        <f>C49*C5</f>
        <v>2252.85</v>
      </c>
      <c r="E49" s="228">
        <v>57</v>
      </c>
      <c r="F49" s="263">
        <f>E49*F5</f>
        <v>1116.6299999999999</v>
      </c>
      <c r="G49" s="227">
        <f t="shared" si="0"/>
        <v>3369.4799999999996</v>
      </c>
      <c r="H49" s="228">
        <v>7.7</v>
      </c>
      <c r="I49" s="227">
        <f>H49*PARÂMETROS!$E$22</f>
        <v>326.24899999999997</v>
      </c>
      <c r="J49" s="228">
        <v>0.71</v>
      </c>
      <c r="K49" s="227">
        <f>J49*PARÂMETROS!$E$22</f>
        <v>30.082699999999996</v>
      </c>
      <c r="L49" s="228">
        <v>2E-3</v>
      </c>
      <c r="M49" s="230">
        <f>L49*PARÂMETROS!$E$8</f>
        <v>6.1780000000000002E-2</v>
      </c>
      <c r="N49" s="228">
        <f t="shared" si="1"/>
        <v>7.6999999999999999E-2</v>
      </c>
      <c r="O49" s="230">
        <f>N49*PARÂMETROS!$E$8</f>
        <v>2.37853</v>
      </c>
      <c r="P49" s="228">
        <f t="shared" si="2"/>
        <v>7.0999999999999994E-2</v>
      </c>
      <c r="Q49" s="230">
        <f>P49*PARÂMETROS!$E$8</f>
        <v>2.19319</v>
      </c>
      <c r="R49" s="228">
        <f t="shared" si="3"/>
        <v>7.7000000000000002E-3</v>
      </c>
      <c r="S49" s="230">
        <f>R49*PARÂMETROS!$E$8</f>
        <v>0.23785300000000001</v>
      </c>
      <c r="T49" s="231">
        <v>2.2000000000000002</v>
      </c>
      <c r="U49" s="230">
        <f>T49*PARÂMETROS!$E$27</f>
        <v>6.6000000000000005</v>
      </c>
      <c r="V49" s="299">
        <v>9.64</v>
      </c>
      <c r="W49" s="230">
        <f>V49*PARÂMETROS!$E$30</f>
        <v>56.297600000000003</v>
      </c>
      <c r="X49" s="299">
        <v>1.88</v>
      </c>
      <c r="Y49" s="230">
        <f>X49*PARÂMETROS!$E$31</f>
        <v>28.481999999999999</v>
      </c>
      <c r="Z49" s="228">
        <f t="shared" si="4"/>
        <v>7.6999999999999999E-2</v>
      </c>
      <c r="AA49" s="230">
        <f>Z49*PARÂMETROS!$E$8</f>
        <v>2.37853</v>
      </c>
      <c r="AB49" s="228">
        <f t="shared" si="5"/>
        <v>7.0999999999999995E-3</v>
      </c>
      <c r="AC49" s="230">
        <f>AB49*PARÂMETROS!$E$8</f>
        <v>0.21931899999999999</v>
      </c>
      <c r="AD49" s="23"/>
      <c r="AE49" s="23"/>
      <c r="AF49" s="232" t="s">
        <v>1428</v>
      </c>
      <c r="AG49" s="264">
        <f t="shared" si="6"/>
        <v>3824.6605019999993</v>
      </c>
      <c r="AI49" s="224" t="s">
        <v>258</v>
      </c>
      <c r="AJ49" s="291">
        <f>PARÂMETROS!$H$3</f>
        <v>40</v>
      </c>
      <c r="AK49" s="267">
        <v>2.4305555555555601E-2</v>
      </c>
      <c r="AL49" s="267">
        <v>8.3333333333333301E-2</v>
      </c>
      <c r="AM49" s="267">
        <v>6.9444444444444503E-2</v>
      </c>
      <c r="AN49" s="267">
        <v>6.9444444444444397E-3</v>
      </c>
      <c r="AO49" s="267">
        <v>2.0833333333333301E-2</v>
      </c>
      <c r="AP49" s="267">
        <v>6.9444444444444397E-3</v>
      </c>
      <c r="AQ49" s="267">
        <v>3.125E-2</v>
      </c>
      <c r="AR49" s="271">
        <v>1</v>
      </c>
      <c r="AS49" s="292">
        <f t="shared" si="7"/>
        <v>0.24305555555555561</v>
      </c>
      <c r="AT49" s="291">
        <f t="shared" si="8"/>
        <v>233.3333333333334</v>
      </c>
      <c r="AU49" s="272">
        <f t="shared" si="9"/>
        <v>233.3333333333334</v>
      </c>
      <c r="AW49" s="273">
        <f t="shared" si="10"/>
        <v>3824.6605019999993</v>
      </c>
      <c r="AX49" s="274">
        <f t="shared" si="11"/>
        <v>233.3333333333334</v>
      </c>
      <c r="AY49" s="275">
        <v>1</v>
      </c>
      <c r="AZ49" s="276">
        <f t="shared" si="12"/>
        <v>233.3333333333334</v>
      </c>
      <c r="BA49" s="293">
        <f t="shared" si="13"/>
        <v>4057.9938353333328</v>
      </c>
      <c r="BB49" s="275">
        <v>1</v>
      </c>
      <c r="BU49" s="293">
        <v>80</v>
      </c>
      <c r="BV49" s="293">
        <f t="shared" si="14"/>
        <v>4137.9938353333328</v>
      </c>
    </row>
    <row r="50" spans="1:74" ht="25.5" customHeight="1" x14ac:dyDescent="0.3">
      <c r="A50" s="224" t="s">
        <v>262</v>
      </c>
      <c r="B50" s="225" t="s">
        <v>1409</v>
      </c>
      <c r="C50" s="228">
        <v>140</v>
      </c>
      <c r="D50" s="263">
        <f>C50*C5</f>
        <v>2742.6</v>
      </c>
      <c r="E50" s="228">
        <v>70</v>
      </c>
      <c r="F50" s="263">
        <f>E50*F5</f>
        <v>1371.3</v>
      </c>
      <c r="G50" s="227">
        <f t="shared" si="0"/>
        <v>4113.8999999999996</v>
      </c>
      <c r="H50" s="228">
        <v>8.4</v>
      </c>
      <c r="I50" s="227">
        <f>H50*PARÂMETROS!$E$22</f>
        <v>355.90800000000002</v>
      </c>
      <c r="J50" s="228">
        <v>0.79500000000000004</v>
      </c>
      <c r="K50" s="227">
        <f>J50*PARÂMETROS!$E$22</f>
        <v>33.684150000000002</v>
      </c>
      <c r="L50" s="228">
        <v>2E-3</v>
      </c>
      <c r="M50" s="230">
        <f>L50*PARÂMETROS!$E$8</f>
        <v>6.1780000000000002E-2</v>
      </c>
      <c r="N50" s="228">
        <f t="shared" si="1"/>
        <v>8.4000000000000005E-2</v>
      </c>
      <c r="O50" s="230">
        <f>N50*PARÂMETROS!$E$8</f>
        <v>2.5947600000000004</v>
      </c>
      <c r="P50" s="228">
        <f t="shared" si="2"/>
        <v>7.9500000000000015E-2</v>
      </c>
      <c r="Q50" s="230">
        <f>P50*PARÂMETROS!$E$8</f>
        <v>2.4557550000000004</v>
      </c>
      <c r="R50" s="228">
        <f t="shared" si="3"/>
        <v>8.4000000000000012E-3</v>
      </c>
      <c r="S50" s="230">
        <f>R50*PARÂMETROS!$E$8</f>
        <v>0.25947600000000004</v>
      </c>
      <c r="T50" s="231">
        <v>2.2999999999999998</v>
      </c>
      <c r="U50" s="230">
        <f>T50*PARÂMETROS!$E$27</f>
        <v>6.8999999999999995</v>
      </c>
      <c r="V50" s="299">
        <v>9.4</v>
      </c>
      <c r="W50" s="230">
        <f>V50*PARÂMETROS!$E$30</f>
        <v>54.896000000000001</v>
      </c>
      <c r="X50" s="299">
        <v>1.8560000000000001</v>
      </c>
      <c r="Y50" s="230">
        <f>X50*PARÂMETROS!$E$31</f>
        <v>28.118400000000001</v>
      </c>
      <c r="Z50" s="228">
        <f t="shared" si="4"/>
        <v>8.4000000000000005E-2</v>
      </c>
      <c r="AA50" s="230">
        <f>Z50*PARÂMETROS!$E$8</f>
        <v>2.5947600000000004</v>
      </c>
      <c r="AB50" s="228">
        <f t="shared" si="5"/>
        <v>7.9500000000000005E-3</v>
      </c>
      <c r="AC50" s="230">
        <f>AB50*PARÂMETROS!$E$8</f>
        <v>0.24557550000000003</v>
      </c>
      <c r="AF50" s="232" t="s">
        <v>1429</v>
      </c>
      <c r="AG50" s="264">
        <f t="shared" si="6"/>
        <v>4601.6186564999998</v>
      </c>
      <c r="AI50" s="224" t="s">
        <v>262</v>
      </c>
      <c r="AJ50" s="291">
        <f>PARÂMETROS!$H$3</f>
        <v>40</v>
      </c>
      <c r="AK50" s="267">
        <v>2.4305555555555601E-2</v>
      </c>
      <c r="AL50" s="267">
        <v>8.3333333333333301E-2</v>
      </c>
      <c r="AM50" s="267">
        <v>6.9444444444444503E-2</v>
      </c>
      <c r="AN50" s="267">
        <v>6.9444444444444397E-3</v>
      </c>
      <c r="AO50" s="267">
        <v>2.0833333333333301E-2</v>
      </c>
      <c r="AP50" s="267">
        <v>6.9444444444444397E-3</v>
      </c>
      <c r="AQ50" s="267">
        <v>3.125E-2</v>
      </c>
      <c r="AR50" s="271">
        <v>1</v>
      </c>
      <c r="AS50" s="292">
        <f t="shared" si="7"/>
        <v>0.24305555555555561</v>
      </c>
      <c r="AT50" s="291">
        <f t="shared" si="8"/>
        <v>233.3333333333334</v>
      </c>
      <c r="AU50" s="272">
        <f t="shared" si="9"/>
        <v>233.3333333333334</v>
      </c>
      <c r="AW50" s="273">
        <f t="shared" si="10"/>
        <v>4601.6186564999998</v>
      </c>
      <c r="AX50" s="274">
        <f t="shared" si="11"/>
        <v>233.3333333333334</v>
      </c>
      <c r="AY50" s="275">
        <v>1</v>
      </c>
      <c r="AZ50" s="276">
        <f t="shared" si="12"/>
        <v>233.3333333333334</v>
      </c>
      <c r="BA50" s="293">
        <f t="shared" si="13"/>
        <v>4834.9519898333328</v>
      </c>
      <c r="BB50" s="275">
        <v>1</v>
      </c>
      <c r="BU50" s="293">
        <v>80</v>
      </c>
      <c r="BV50" s="293">
        <f t="shared" si="14"/>
        <v>4914.9519898333328</v>
      </c>
    </row>
    <row r="51" spans="1:74" ht="25.5" customHeight="1" x14ac:dyDescent="0.3">
      <c r="A51" s="224" t="s">
        <v>266</v>
      </c>
      <c r="B51" s="225" t="s">
        <v>1409</v>
      </c>
      <c r="C51" s="228">
        <v>170</v>
      </c>
      <c r="D51" s="263">
        <f>C51*C5</f>
        <v>3330.3</v>
      </c>
      <c r="E51" s="228">
        <v>85</v>
      </c>
      <c r="F51" s="263">
        <f>E51*F5</f>
        <v>1665.15</v>
      </c>
      <c r="G51" s="227">
        <f t="shared" si="0"/>
        <v>4995.4500000000007</v>
      </c>
      <c r="H51" s="228">
        <v>9</v>
      </c>
      <c r="I51" s="227">
        <f>H51*PARÂMETROS!$E$22</f>
        <v>381.33</v>
      </c>
      <c r="J51" s="228">
        <v>0.88500000000000001</v>
      </c>
      <c r="K51" s="227">
        <f>J51*PARÂMETROS!$E$22</f>
        <v>37.497450000000001</v>
      </c>
      <c r="L51" s="228">
        <v>2E-3</v>
      </c>
      <c r="M51" s="230">
        <f>L51*PARÂMETROS!$E$8</f>
        <v>6.1780000000000002E-2</v>
      </c>
      <c r="N51" s="228">
        <f t="shared" si="1"/>
        <v>0.09</v>
      </c>
      <c r="O51" s="230">
        <f>N51*PARÂMETROS!$E$8</f>
        <v>2.7801</v>
      </c>
      <c r="P51" s="228">
        <f t="shared" si="2"/>
        <v>8.8500000000000009E-2</v>
      </c>
      <c r="Q51" s="230">
        <f>P51*PARÂMETROS!$E$8</f>
        <v>2.7337650000000004</v>
      </c>
      <c r="R51" s="228">
        <f t="shared" si="3"/>
        <v>8.9999999999999993E-3</v>
      </c>
      <c r="S51" s="230">
        <f>R51*PARÂMETROS!$E$8</f>
        <v>0.27800999999999998</v>
      </c>
      <c r="T51" s="231">
        <v>2.4</v>
      </c>
      <c r="U51" s="230">
        <f>T51*PARÂMETROS!$E$27</f>
        <v>7.1999999999999993</v>
      </c>
      <c r="V51" s="299">
        <v>9.2799999999999994</v>
      </c>
      <c r="W51" s="230">
        <f>V51*PARÂMETROS!$E$30</f>
        <v>54.195199999999993</v>
      </c>
      <c r="X51" s="299">
        <v>2.008</v>
      </c>
      <c r="Y51" s="230">
        <f>X51*PARÂMETROS!$E$31</f>
        <v>30.421200000000002</v>
      </c>
      <c r="Z51" s="228">
        <f t="shared" si="4"/>
        <v>0.09</v>
      </c>
      <c r="AA51" s="230">
        <f>Z51*PARÂMETROS!$E$8</f>
        <v>2.7801</v>
      </c>
      <c r="AB51" s="228">
        <f t="shared" si="5"/>
        <v>8.8500000000000002E-3</v>
      </c>
      <c r="AC51" s="230">
        <f>AB51*PARÂMETROS!$E$8</f>
        <v>0.27337650000000002</v>
      </c>
      <c r="AD51" s="23"/>
      <c r="AE51" s="23"/>
      <c r="AF51" s="232" t="s">
        <v>1430</v>
      </c>
      <c r="AG51" s="264">
        <f t="shared" si="6"/>
        <v>5515.0009815000012</v>
      </c>
      <c r="AI51" s="224" t="s">
        <v>266</v>
      </c>
      <c r="AJ51" s="291">
        <f>PARÂMETROS!$H$3</f>
        <v>40</v>
      </c>
      <c r="AK51" s="267">
        <v>2.7777777777777801E-2</v>
      </c>
      <c r="AL51" s="267">
        <v>0.11111111111111099</v>
      </c>
      <c r="AM51" s="267">
        <v>6.9444444444444503E-2</v>
      </c>
      <c r="AN51" s="267">
        <v>6.9444444444444397E-3</v>
      </c>
      <c r="AO51" s="267">
        <v>2.0833333333333301E-2</v>
      </c>
      <c r="AP51" s="267">
        <v>6.9444444444444397E-3</v>
      </c>
      <c r="AQ51" s="267">
        <v>3.125E-2</v>
      </c>
      <c r="AR51" s="271">
        <v>1</v>
      </c>
      <c r="AS51" s="292">
        <f t="shared" si="7"/>
        <v>0.27430555555555547</v>
      </c>
      <c r="AT51" s="291">
        <f t="shared" si="8"/>
        <v>263.33333333333326</v>
      </c>
      <c r="AU51" s="272">
        <f t="shared" si="9"/>
        <v>263.33333333333326</v>
      </c>
      <c r="AW51" s="273">
        <f t="shared" si="10"/>
        <v>5515.0009815000012</v>
      </c>
      <c r="AX51" s="274">
        <f t="shared" si="11"/>
        <v>263.33333333333326</v>
      </c>
      <c r="AY51" s="275">
        <v>1</v>
      </c>
      <c r="AZ51" s="276">
        <f t="shared" si="12"/>
        <v>263.33333333333326</v>
      </c>
      <c r="BA51" s="293">
        <f t="shared" si="13"/>
        <v>5778.3343148333342</v>
      </c>
      <c r="BB51" s="275">
        <v>1</v>
      </c>
      <c r="BU51" s="293">
        <v>80</v>
      </c>
      <c r="BV51" s="293">
        <f t="shared" si="14"/>
        <v>5858.3343148333342</v>
      </c>
    </row>
    <row r="52" spans="1:74" ht="25.5" customHeight="1" x14ac:dyDescent="0.3">
      <c r="A52" s="224" t="s">
        <v>270</v>
      </c>
      <c r="B52" s="225" t="s">
        <v>1409</v>
      </c>
      <c r="C52" s="228">
        <v>180</v>
      </c>
      <c r="D52" s="263">
        <f>C52*C5</f>
        <v>3526.2</v>
      </c>
      <c r="E52" s="228">
        <v>90</v>
      </c>
      <c r="F52" s="263">
        <f>E52*F5</f>
        <v>1763.1</v>
      </c>
      <c r="G52" s="227">
        <f t="shared" si="0"/>
        <v>5289.2999999999993</v>
      </c>
      <c r="H52" s="228">
        <v>9.6999999999999993</v>
      </c>
      <c r="I52" s="227">
        <f>H52*PARÂMETROS!$E$22</f>
        <v>410.98899999999992</v>
      </c>
      <c r="J52" s="228">
        <v>0.96</v>
      </c>
      <c r="K52" s="227">
        <f>J52*PARÂMETROS!$E$22</f>
        <v>40.675199999999997</v>
      </c>
      <c r="L52" s="228">
        <v>2E-3</v>
      </c>
      <c r="M52" s="230">
        <f>L52*PARÂMETROS!$E$8</f>
        <v>6.1780000000000002E-2</v>
      </c>
      <c r="N52" s="228">
        <f t="shared" si="1"/>
        <v>9.6999999999999989E-2</v>
      </c>
      <c r="O52" s="230">
        <f>N52*PARÂMETROS!$E$8</f>
        <v>2.9963299999999995</v>
      </c>
      <c r="P52" s="228">
        <f t="shared" si="2"/>
        <v>9.6000000000000002E-2</v>
      </c>
      <c r="Q52" s="230">
        <f>P52*PARÂMETROS!$E$8</f>
        <v>2.9654400000000001</v>
      </c>
      <c r="R52" s="228">
        <f t="shared" si="3"/>
        <v>9.7000000000000003E-3</v>
      </c>
      <c r="S52" s="230">
        <f>R52*PARÂMETROS!$E$8</f>
        <v>0.29963300000000004</v>
      </c>
      <c r="T52" s="231">
        <v>2.5</v>
      </c>
      <c r="U52" s="230">
        <f>T52*PARÂMETROS!$E$27</f>
        <v>7.5</v>
      </c>
      <c r="V52" s="299">
        <v>10.039999999999999</v>
      </c>
      <c r="W52" s="230">
        <f>V52*PARÂMETROS!$E$30</f>
        <v>58.633599999999994</v>
      </c>
      <c r="X52" s="299">
        <v>2.1680000000000001</v>
      </c>
      <c r="Y52" s="230">
        <f>X52*PARÂMETROS!$E$31</f>
        <v>32.845200000000006</v>
      </c>
      <c r="Z52" s="228">
        <f t="shared" si="4"/>
        <v>9.6999999999999989E-2</v>
      </c>
      <c r="AA52" s="230">
        <f>Z52*PARÂMETROS!$E$8</f>
        <v>2.9963299999999995</v>
      </c>
      <c r="AB52" s="228">
        <f t="shared" si="5"/>
        <v>9.5999999999999992E-3</v>
      </c>
      <c r="AC52" s="230">
        <f>AB52*PARÂMETROS!$E$8</f>
        <v>0.29654399999999997</v>
      </c>
      <c r="AF52" s="232" t="s">
        <v>1431</v>
      </c>
      <c r="AG52" s="264">
        <f t="shared" si="6"/>
        <v>5849.5590569999986</v>
      </c>
      <c r="AI52" s="224" t="s">
        <v>270</v>
      </c>
      <c r="AJ52" s="291">
        <f>PARÂMETROS!$H$3</f>
        <v>40</v>
      </c>
      <c r="AK52" s="267">
        <v>2.7777777777777801E-2</v>
      </c>
      <c r="AL52" s="267">
        <v>0.11111111111111099</v>
      </c>
      <c r="AM52" s="267">
        <v>6.9444444444444503E-2</v>
      </c>
      <c r="AN52" s="267">
        <v>6.9444444444444397E-3</v>
      </c>
      <c r="AO52" s="267">
        <v>2.0833333333333301E-2</v>
      </c>
      <c r="AP52" s="267">
        <v>6.9444444444444397E-3</v>
      </c>
      <c r="AQ52" s="267">
        <v>3.125E-2</v>
      </c>
      <c r="AR52" s="271">
        <v>1</v>
      </c>
      <c r="AS52" s="292">
        <f t="shared" si="7"/>
        <v>0.27430555555555547</v>
      </c>
      <c r="AT52" s="291">
        <f t="shared" si="8"/>
        <v>263.33333333333326</v>
      </c>
      <c r="AU52" s="272">
        <f t="shared" si="9"/>
        <v>263.33333333333326</v>
      </c>
      <c r="AW52" s="273">
        <f t="shared" si="10"/>
        <v>5849.5590569999986</v>
      </c>
      <c r="AX52" s="274">
        <f t="shared" si="11"/>
        <v>263.33333333333326</v>
      </c>
      <c r="AY52" s="275">
        <v>1</v>
      </c>
      <c r="AZ52" s="276">
        <f t="shared" si="12"/>
        <v>263.33333333333326</v>
      </c>
      <c r="BA52" s="293">
        <f t="shared" si="13"/>
        <v>6112.8923903333316</v>
      </c>
      <c r="BB52" s="275">
        <v>1</v>
      </c>
      <c r="BU52" s="293">
        <v>80</v>
      </c>
      <c r="BV52" s="293">
        <f t="shared" si="14"/>
        <v>6192.8923903333316</v>
      </c>
    </row>
    <row r="53" spans="1:74" ht="25.5" customHeight="1" x14ac:dyDescent="0.3">
      <c r="A53" s="224" t="s">
        <v>274</v>
      </c>
      <c r="B53" s="225" t="s">
        <v>1409</v>
      </c>
      <c r="C53" s="228">
        <v>200</v>
      </c>
      <c r="D53" s="263">
        <f>C53*C5</f>
        <v>3918</v>
      </c>
      <c r="E53" s="228">
        <v>100</v>
      </c>
      <c r="F53" s="263">
        <f>E53*F5</f>
        <v>1959</v>
      </c>
      <c r="G53" s="227">
        <f t="shared" si="0"/>
        <v>5877</v>
      </c>
      <c r="H53" s="228">
        <v>10.4</v>
      </c>
      <c r="I53" s="227">
        <f>H53*PARÂMETROS!$E$22</f>
        <v>440.64799999999997</v>
      </c>
      <c r="J53" s="228">
        <v>1.079</v>
      </c>
      <c r="K53" s="227">
        <f>J53*PARÂMETROS!$E$22</f>
        <v>45.717229999999994</v>
      </c>
      <c r="L53" s="228">
        <v>2E-3</v>
      </c>
      <c r="M53" s="230">
        <f>L53*PARÂMETROS!$E$8</f>
        <v>6.1780000000000002E-2</v>
      </c>
      <c r="N53" s="228">
        <f t="shared" si="1"/>
        <v>0.10400000000000001</v>
      </c>
      <c r="O53" s="230">
        <f>N53*PARÂMETROS!$E$8</f>
        <v>3.2125600000000003</v>
      </c>
      <c r="P53" s="228">
        <f t="shared" si="2"/>
        <v>0.1079</v>
      </c>
      <c r="Q53" s="230">
        <f>P53*PARÂMETROS!$E$8</f>
        <v>3.3330310000000001</v>
      </c>
      <c r="R53" s="228">
        <f t="shared" si="3"/>
        <v>1.0400000000000001E-2</v>
      </c>
      <c r="S53" s="230">
        <f>R53*PARÂMETROS!$E$8</f>
        <v>0.32125600000000004</v>
      </c>
      <c r="T53" s="231">
        <v>2.6</v>
      </c>
      <c r="U53" s="230">
        <f>T53*PARÂMETROS!$E$27</f>
        <v>7.8000000000000007</v>
      </c>
      <c r="V53" s="299">
        <v>10.84</v>
      </c>
      <c r="W53" s="230">
        <f>V53*PARÂMETROS!$E$30</f>
        <v>63.305599999999998</v>
      </c>
      <c r="X53" s="299">
        <v>2.488</v>
      </c>
      <c r="Y53" s="230">
        <f>X53*PARÂMETROS!$E$31</f>
        <v>37.693199999999997</v>
      </c>
      <c r="Z53" s="228">
        <f t="shared" si="4"/>
        <v>0.10400000000000001</v>
      </c>
      <c r="AA53" s="230">
        <f>Z53*PARÂMETROS!$E$8</f>
        <v>3.2125600000000003</v>
      </c>
      <c r="AB53" s="228">
        <f t="shared" si="5"/>
        <v>1.0789999999999999E-2</v>
      </c>
      <c r="AC53" s="230">
        <f>AB53*PARÂMETROS!$E$8</f>
        <v>0.33330309999999996</v>
      </c>
      <c r="AD53" s="23"/>
      <c r="AE53" s="23"/>
      <c r="AF53" s="232" t="s">
        <v>1432</v>
      </c>
      <c r="AG53" s="264">
        <f t="shared" si="6"/>
        <v>6482.6385200999994</v>
      </c>
      <c r="AI53" s="224" t="s">
        <v>274</v>
      </c>
      <c r="AJ53" s="291">
        <f>PARÂMETROS!$H$3</f>
        <v>40</v>
      </c>
      <c r="AK53" s="267">
        <v>2.7777777777777801E-2</v>
      </c>
      <c r="AL53" s="267">
        <v>0.11111111111111099</v>
      </c>
      <c r="AM53" s="267">
        <v>6.9444444444444503E-2</v>
      </c>
      <c r="AN53" s="267">
        <v>6.9444444444444397E-3</v>
      </c>
      <c r="AO53" s="267">
        <v>2.0833333333333301E-2</v>
      </c>
      <c r="AP53" s="267">
        <v>6.9444444444444397E-3</v>
      </c>
      <c r="AQ53" s="267">
        <v>3.125E-2</v>
      </c>
      <c r="AR53" s="271">
        <v>1</v>
      </c>
      <c r="AS53" s="292">
        <f t="shared" si="7"/>
        <v>0.27430555555555547</v>
      </c>
      <c r="AT53" s="291">
        <f t="shared" si="8"/>
        <v>263.33333333333326</v>
      </c>
      <c r="AU53" s="272">
        <f t="shared" si="9"/>
        <v>263.33333333333326</v>
      </c>
      <c r="AW53" s="273">
        <f t="shared" si="10"/>
        <v>6482.6385200999994</v>
      </c>
      <c r="AX53" s="274">
        <f t="shared" si="11"/>
        <v>263.33333333333326</v>
      </c>
      <c r="AY53" s="275">
        <v>1</v>
      </c>
      <c r="AZ53" s="276">
        <f t="shared" si="12"/>
        <v>263.33333333333326</v>
      </c>
      <c r="BA53" s="293">
        <f t="shared" si="13"/>
        <v>6745.9718534333324</v>
      </c>
      <c r="BB53" s="275">
        <v>1</v>
      </c>
      <c r="BU53" s="293">
        <v>80</v>
      </c>
      <c r="BV53" s="293">
        <f t="shared" si="14"/>
        <v>6825.9718534333324</v>
      </c>
    </row>
    <row r="54" spans="1:74" ht="25.5" customHeight="1" x14ac:dyDescent="0.3">
      <c r="A54" s="224" t="s">
        <v>278</v>
      </c>
      <c r="B54" s="225" t="s">
        <v>1409</v>
      </c>
      <c r="C54" s="228">
        <v>235</v>
      </c>
      <c r="D54" s="263">
        <f>C54*C5</f>
        <v>4603.6499999999996</v>
      </c>
      <c r="E54" s="228">
        <v>117.5</v>
      </c>
      <c r="F54" s="263">
        <f>E54*F5</f>
        <v>2301.8249999999998</v>
      </c>
      <c r="G54" s="227">
        <f t="shared" si="0"/>
        <v>6905.4749999999995</v>
      </c>
      <c r="H54" s="228">
        <v>11.7</v>
      </c>
      <c r="I54" s="227">
        <f>H54*PARÂMETROS!$E$22</f>
        <v>495.72899999999993</v>
      </c>
      <c r="J54" s="228">
        <v>1.1599999999999999</v>
      </c>
      <c r="K54" s="227">
        <f>J54*PARÂMETROS!$E$22</f>
        <v>49.149199999999993</v>
      </c>
      <c r="L54" s="228">
        <v>2E-3</v>
      </c>
      <c r="M54" s="230">
        <f>L54*PARÂMETROS!$E$8</f>
        <v>6.1780000000000002E-2</v>
      </c>
      <c r="N54" s="228">
        <f t="shared" si="1"/>
        <v>0.11699999999999999</v>
      </c>
      <c r="O54" s="230">
        <f>N54*PARÂMETROS!$E$8</f>
        <v>3.6141299999999998</v>
      </c>
      <c r="P54" s="228">
        <f t="shared" si="2"/>
        <v>0.11599999999999999</v>
      </c>
      <c r="Q54" s="230">
        <f>P54*PARÂMETROS!$E$8</f>
        <v>3.58324</v>
      </c>
      <c r="R54" s="228">
        <f t="shared" si="3"/>
        <v>1.17E-2</v>
      </c>
      <c r="S54" s="230">
        <f>R54*PARÂMETROS!$E$8</f>
        <v>0.36141300000000004</v>
      </c>
      <c r="T54" s="231">
        <v>2.7</v>
      </c>
      <c r="U54" s="230">
        <f>T54*PARÂMETROS!$E$27</f>
        <v>8.1000000000000014</v>
      </c>
      <c r="V54" s="299">
        <v>12.44</v>
      </c>
      <c r="W54" s="230">
        <f>V54*PARÂMETROS!$E$30</f>
        <v>72.649599999999992</v>
      </c>
      <c r="X54" s="299">
        <v>2.7509999999999999</v>
      </c>
      <c r="Y54" s="230">
        <f>X54*PARÂMETROS!$E$31</f>
        <v>41.67765</v>
      </c>
      <c r="Z54" s="228">
        <f t="shared" si="4"/>
        <v>0.11699999999999999</v>
      </c>
      <c r="AA54" s="230">
        <f>Z54*PARÂMETROS!$E$8</f>
        <v>3.6141299999999998</v>
      </c>
      <c r="AB54" s="228">
        <f t="shared" si="5"/>
        <v>1.1599999999999999E-2</v>
      </c>
      <c r="AC54" s="230">
        <f>AB54*PARÂMETROS!$E$8</f>
        <v>0.35832399999999998</v>
      </c>
      <c r="AF54" s="232" t="s">
        <v>1433</v>
      </c>
      <c r="AG54" s="264">
        <f t="shared" si="6"/>
        <v>7584.3734669999985</v>
      </c>
      <c r="AI54" s="224" t="s">
        <v>278</v>
      </c>
      <c r="AJ54" s="291">
        <f>PARÂMETROS!$H$3</f>
        <v>40</v>
      </c>
      <c r="AK54" s="267">
        <v>2.7777777777777801E-2</v>
      </c>
      <c r="AL54" s="267">
        <v>0.11111111111111099</v>
      </c>
      <c r="AM54" s="267">
        <v>6.9444444444444503E-2</v>
      </c>
      <c r="AN54" s="267">
        <v>6.9444444444444397E-3</v>
      </c>
      <c r="AO54" s="267">
        <v>2.0833333333333301E-2</v>
      </c>
      <c r="AP54" s="267">
        <v>6.9444444444444397E-3</v>
      </c>
      <c r="AQ54" s="267">
        <v>3.125E-2</v>
      </c>
      <c r="AR54" s="271">
        <v>1</v>
      </c>
      <c r="AS54" s="292">
        <f t="shared" si="7"/>
        <v>0.27430555555555547</v>
      </c>
      <c r="AT54" s="291">
        <f t="shared" si="8"/>
        <v>263.33333333333326</v>
      </c>
      <c r="AU54" s="272">
        <f t="shared" si="9"/>
        <v>263.33333333333326</v>
      </c>
      <c r="AW54" s="273">
        <f t="shared" si="10"/>
        <v>7584.3734669999985</v>
      </c>
      <c r="AX54" s="274">
        <f t="shared" si="11"/>
        <v>263.33333333333326</v>
      </c>
      <c r="AY54" s="275">
        <v>1</v>
      </c>
      <c r="AZ54" s="276">
        <f t="shared" si="12"/>
        <v>263.33333333333326</v>
      </c>
      <c r="BA54" s="293">
        <f t="shared" si="13"/>
        <v>7847.7068003333316</v>
      </c>
      <c r="BB54" s="275">
        <v>1</v>
      </c>
      <c r="BU54" s="293">
        <v>80</v>
      </c>
      <c r="BV54" s="293">
        <f t="shared" si="14"/>
        <v>7927.7068003333316</v>
      </c>
    </row>
    <row r="55" spans="1:74" s="223" customFormat="1" ht="14.25" customHeight="1" x14ac:dyDescent="0.3">
      <c r="A55" s="43"/>
      <c r="B55" s="43"/>
      <c r="C55" s="43"/>
      <c r="D55" s="246"/>
      <c r="E55" s="43"/>
      <c r="F55" s="246"/>
      <c r="G55" s="246"/>
      <c r="H55" s="43"/>
      <c r="I55" s="43"/>
      <c r="J55" s="246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280"/>
      <c r="AI55" s="280"/>
      <c r="AJ55" s="280"/>
      <c r="AK55" s="280"/>
      <c r="AL55" s="280"/>
      <c r="AM55" s="280"/>
      <c r="AN55" s="280"/>
      <c r="AO55" s="280"/>
      <c r="AP55" s="280"/>
      <c r="AQ55" s="280"/>
      <c r="AR55" s="280"/>
      <c r="AS55" s="280"/>
      <c r="AT55" s="280"/>
      <c r="AU55" s="280"/>
      <c r="AV55" s="280"/>
      <c r="AW55" s="280"/>
      <c r="AX55" s="280"/>
      <c r="BA55" s="280"/>
      <c r="BB55" s="280"/>
      <c r="BC55" s="280"/>
      <c r="BD55" s="280"/>
      <c r="BE55" s="280"/>
      <c r="BF55" s="280"/>
      <c r="BG55" s="280"/>
      <c r="BH55" s="280"/>
      <c r="BI55" s="280"/>
      <c r="BJ55" s="280"/>
      <c r="BK55" s="280"/>
      <c r="BL55" s="280"/>
      <c r="BM55" s="280"/>
      <c r="BN55" s="280"/>
      <c r="BO55" s="280"/>
      <c r="BP55" s="280"/>
      <c r="BQ55" s="280"/>
      <c r="BR55" s="280"/>
      <c r="BS55" s="280"/>
    </row>
    <row r="56" spans="1:74" s="223" customFormat="1" ht="14.25" customHeight="1" x14ac:dyDescent="0.3">
      <c r="A56" s="43"/>
      <c r="B56" s="43"/>
      <c r="C56" s="43"/>
      <c r="D56" s="246"/>
      <c r="E56" s="43"/>
      <c r="F56" s="246"/>
      <c r="G56" s="246"/>
      <c r="H56" s="43"/>
      <c r="I56" s="43"/>
      <c r="J56" s="246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280"/>
      <c r="AI56" s="280"/>
      <c r="AJ56" s="280"/>
      <c r="AK56" s="280"/>
      <c r="AL56" s="280"/>
      <c r="AM56" s="280"/>
      <c r="AN56" s="280"/>
      <c r="AO56" s="280"/>
      <c r="AP56" s="280"/>
      <c r="AQ56" s="280"/>
      <c r="AR56" s="280"/>
      <c r="AS56" s="280"/>
      <c r="AT56" s="280"/>
      <c r="AU56" s="280"/>
      <c r="AV56" s="280"/>
      <c r="AW56" s="280"/>
      <c r="AX56" s="280"/>
      <c r="BA56" s="280"/>
      <c r="BB56" s="280"/>
      <c r="BC56" s="280"/>
      <c r="BD56" s="280"/>
      <c r="BE56" s="280"/>
      <c r="BF56" s="280"/>
      <c r="BG56" s="280"/>
      <c r="BH56" s="280"/>
      <c r="BI56" s="280"/>
      <c r="BJ56" s="280"/>
      <c r="BK56" s="280"/>
      <c r="BL56" s="280"/>
      <c r="BM56" s="280"/>
      <c r="BN56" s="280"/>
      <c r="BO56" s="280"/>
      <c r="BP56" s="280"/>
      <c r="BQ56" s="280"/>
      <c r="BR56" s="280"/>
      <c r="BS56" s="280"/>
    </row>
    <row r="57" spans="1:74" s="223" customFormat="1" ht="14.25" customHeight="1" x14ac:dyDescent="0.3">
      <c r="A57" s="43"/>
      <c r="B57" s="43"/>
      <c r="C57" s="43"/>
      <c r="D57" s="246"/>
      <c r="E57" s="43"/>
      <c r="F57" s="246"/>
      <c r="G57" s="246"/>
      <c r="H57" s="43"/>
      <c r="I57" s="43"/>
      <c r="J57" s="246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  <c r="AR57" s="280"/>
      <c r="AS57" s="280"/>
      <c r="AT57" s="280"/>
      <c r="AU57" s="280"/>
      <c r="AV57" s="280"/>
      <c r="AW57" s="280"/>
      <c r="AX57" s="280"/>
      <c r="BA57" s="280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  <c r="BR57" s="280"/>
      <c r="BS57" s="280"/>
    </row>
    <row r="58" spans="1:74" s="223" customFormat="1" ht="14.25" customHeight="1" x14ac:dyDescent="0.3">
      <c r="A58" s="43"/>
      <c r="B58" s="43"/>
      <c r="C58" s="43"/>
      <c r="D58" s="246"/>
      <c r="E58" s="43"/>
      <c r="F58" s="246"/>
      <c r="G58" s="246"/>
      <c r="H58" s="43"/>
      <c r="I58" s="43"/>
      <c r="J58" s="246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280"/>
      <c r="AI58" s="280"/>
      <c r="AJ58" s="280"/>
      <c r="AK58" s="280"/>
      <c r="AL58" s="280"/>
      <c r="AM58" s="280"/>
      <c r="AN58" s="280"/>
      <c r="AO58" s="280"/>
      <c r="AP58" s="280"/>
      <c r="AQ58" s="280"/>
      <c r="AR58" s="280"/>
      <c r="AS58" s="280"/>
      <c r="AT58" s="280"/>
      <c r="AU58" s="280"/>
      <c r="AV58" s="280"/>
      <c r="AW58" s="280"/>
      <c r="AX58" s="280"/>
      <c r="BA58" s="280"/>
      <c r="BB58" s="280"/>
      <c r="BC58" s="280"/>
      <c r="BD58" s="280"/>
      <c r="BE58" s="280"/>
      <c r="BF58" s="280"/>
      <c r="BG58" s="280"/>
      <c r="BH58" s="280"/>
      <c r="BI58" s="280"/>
      <c r="BJ58" s="280"/>
      <c r="BK58" s="280"/>
      <c r="BL58" s="280"/>
      <c r="BM58" s="280"/>
      <c r="BN58" s="280"/>
      <c r="BO58" s="280"/>
      <c r="BP58" s="280"/>
      <c r="BQ58" s="280"/>
      <c r="BR58" s="280"/>
      <c r="BS58" s="280"/>
    </row>
    <row r="59" spans="1:74" ht="14.25" customHeight="1" x14ac:dyDescent="0.3">
      <c r="A59" s="43"/>
      <c r="B59" s="43"/>
      <c r="C59" s="43"/>
      <c r="D59" s="246"/>
      <c r="E59" s="43"/>
      <c r="F59" s="246"/>
      <c r="G59" s="246"/>
      <c r="H59" s="43"/>
      <c r="I59" s="43"/>
      <c r="J59" s="246"/>
      <c r="K59" s="43"/>
      <c r="L59" s="43"/>
      <c r="M59" s="43"/>
      <c r="N59" s="43"/>
    </row>
  </sheetData>
  <autoFilter ref="A6:BQ54" xr:uid="{00000000-0009-0000-0000-000011000000}"/>
  <mergeCells count="29">
    <mergeCell ref="BB2:BF2"/>
    <mergeCell ref="A3:G3"/>
    <mergeCell ref="H3:M3"/>
    <mergeCell ref="N3:S3"/>
    <mergeCell ref="T3:U3"/>
    <mergeCell ref="V3:W3"/>
    <mergeCell ref="X3:Y3"/>
    <mergeCell ref="Z3:AC3"/>
    <mergeCell ref="AF4:AG5"/>
    <mergeCell ref="A2:AC2"/>
    <mergeCell ref="AX2:AZ3"/>
    <mergeCell ref="AI4:AT5"/>
    <mergeCell ref="AX4:AZ5"/>
    <mergeCell ref="D5:E5"/>
    <mergeCell ref="F5:G5"/>
    <mergeCell ref="W4:W5"/>
    <mergeCell ref="X4:X5"/>
    <mergeCell ref="Y4:Y5"/>
    <mergeCell ref="Z4:AA5"/>
    <mergeCell ref="AB4:AC5"/>
    <mergeCell ref="N4:P5"/>
    <mergeCell ref="Q4:S5"/>
    <mergeCell ref="T4:T5"/>
    <mergeCell ref="U4:U5"/>
    <mergeCell ref="V4:V5"/>
    <mergeCell ref="D4:E4"/>
    <mergeCell ref="F4:G4"/>
    <mergeCell ref="H4:J5"/>
    <mergeCell ref="K4:M5"/>
  </mergeCells>
  <hyperlinks>
    <hyperlink ref="A5" location="PAINEL!A1" tooltip="Voltar ao Painel de Navegação" display="⬅ PAINEL" xr:uid="{D450E864-7C48-4851-A146-8FA8FDA03BF5}"/>
    <hyperlink ref="C2" location="PAINEL!A1" tooltip="Voltar ao Painel de Navegação" display="⬅ PAINEL" xr:uid="{C417BAAE-F55D-4A05-9D78-1093FFF82443}"/>
    <hyperlink ref="A1" location="PAINEL!A1" tooltip="Voltar ao Painel de Navegação" display="⬅ PAINEL" xr:uid="{CC8A7CB2-7A27-4CA2-B151-E31DAEF93B52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pageSetUpPr fitToPage="1"/>
  </sheetPr>
  <dimension ref="A1:BT59"/>
  <sheetViews>
    <sheetView topLeftCell="AH1" zoomScale="85" zoomScaleNormal="85" workbookViewId="0">
      <pane ySplit="5" topLeftCell="A26" activePane="bottomLeft" state="frozen"/>
      <selection activeCell="Y1" sqref="Y1"/>
      <selection pane="bottomLeft" activeCell="A3" sqref="A3:G3"/>
    </sheetView>
  </sheetViews>
  <sheetFormatPr defaultColWidth="8.5546875" defaultRowHeight="14.4" x14ac:dyDescent="0.3"/>
  <cols>
    <col min="1" max="1" width="6.44140625" style="184" customWidth="1"/>
    <col min="2" max="2" width="31.33203125" style="185" customWidth="1"/>
    <col min="3" max="3" width="15.6640625" style="185" customWidth="1"/>
    <col min="4" max="4" width="16.109375" style="186" customWidth="1"/>
    <col min="5" max="5" width="14.6640625" style="185" customWidth="1"/>
    <col min="6" max="6" width="19.109375" style="186" customWidth="1"/>
    <col min="7" max="7" width="20.33203125" style="186" customWidth="1"/>
    <col min="8" max="9" width="23.6640625" style="185" customWidth="1"/>
    <col min="10" max="10" width="23" style="186" customWidth="1"/>
    <col min="11" max="11" width="24" style="185" customWidth="1"/>
    <col min="12" max="12" width="20.33203125" style="187" customWidth="1"/>
    <col min="13" max="13" width="19.109375" style="188" customWidth="1"/>
    <col min="14" max="14" width="21.88671875" style="188" customWidth="1"/>
    <col min="15" max="15" width="20" style="43" customWidth="1"/>
    <col min="16" max="16" width="21.109375" style="43" customWidth="1"/>
    <col min="17" max="17" width="24.88671875" style="43" customWidth="1"/>
    <col min="18" max="18" width="17.5546875" style="43" customWidth="1"/>
    <col min="19" max="19" width="17" style="43" customWidth="1"/>
    <col min="20" max="20" width="20.6640625" style="43" customWidth="1"/>
    <col min="21" max="21" width="13.44140625" style="43" customWidth="1"/>
    <col min="22" max="22" width="19.88671875" style="43" customWidth="1"/>
    <col min="23" max="23" width="19" style="43" customWidth="1"/>
    <col min="24" max="24" width="17.109375" style="43" customWidth="1"/>
    <col min="25" max="25" width="18.44140625" style="43" customWidth="1"/>
    <col min="26" max="27" width="13.44140625" style="43" customWidth="1"/>
    <col min="28" max="28" width="17.6640625" style="43" customWidth="1"/>
    <col min="29" max="29" width="20.5546875" style="43" customWidth="1"/>
    <col min="30" max="41" width="8.88671875" style="43" customWidth="1"/>
    <col min="42" max="42" width="22.6640625" style="43" customWidth="1"/>
    <col min="43" max="43" width="13.88671875" style="43" customWidth="1"/>
    <col min="44" max="44" width="8.88671875" style="43" customWidth="1"/>
    <col min="45" max="46" width="14" style="23" customWidth="1"/>
    <col min="47" max="47" width="8" style="23" customWidth="1"/>
    <col min="48" max="49" width="14" style="23" customWidth="1"/>
    <col min="50" max="50" width="9.6640625" style="23" customWidth="1"/>
    <col min="51" max="67" width="14" style="23" customWidth="1"/>
  </cols>
  <sheetData>
    <row r="1" spans="1:72" ht="19.95" customHeight="1" x14ac:dyDescent="0.3">
      <c r="A1" s="503" t="s">
        <v>1757</v>
      </c>
      <c r="B1" s="503"/>
    </row>
    <row r="2" spans="1:72" ht="75" customHeight="1" x14ac:dyDescent="0.3">
      <c r="A2" s="485" t="s">
        <v>1476</v>
      </c>
      <c r="B2" s="485"/>
      <c r="C2" s="496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AT2" s="466" t="s">
        <v>1217</v>
      </c>
      <c r="AU2" s="466"/>
      <c r="AV2" s="466"/>
      <c r="AW2" s="497"/>
      <c r="AX2" s="497"/>
      <c r="AY2" s="497"/>
      <c r="AZ2" s="497"/>
      <c r="BA2" s="497"/>
    </row>
    <row r="3" spans="1:72" ht="70.5" customHeight="1" x14ac:dyDescent="0.3">
      <c r="A3" s="498" t="s">
        <v>1359</v>
      </c>
      <c r="B3" s="498"/>
      <c r="C3" s="498"/>
      <c r="D3" s="498"/>
      <c r="E3" s="498"/>
      <c r="F3" s="498"/>
      <c r="G3" s="498"/>
      <c r="H3" s="485" t="s">
        <v>1435</v>
      </c>
      <c r="I3" s="485"/>
      <c r="J3" s="485"/>
      <c r="K3" s="485"/>
      <c r="L3" s="485"/>
      <c r="M3" s="485"/>
      <c r="N3" s="485" t="s">
        <v>1361</v>
      </c>
      <c r="O3" s="485"/>
      <c r="P3" s="485"/>
      <c r="Q3" s="485"/>
      <c r="R3" s="485"/>
      <c r="S3" s="485"/>
      <c r="T3" s="485" t="s">
        <v>1362</v>
      </c>
      <c r="U3" s="485"/>
      <c r="V3" s="485" t="s">
        <v>1436</v>
      </c>
      <c r="W3" s="485"/>
      <c r="X3" s="485"/>
      <c r="Y3" s="485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T3" s="466"/>
      <c r="AU3" s="466"/>
      <c r="AV3" s="466"/>
    </row>
    <row r="4" spans="1:72" ht="39.75" customHeight="1" x14ac:dyDescent="0.3">
      <c r="A4" s="319" t="s">
        <v>1758</v>
      </c>
      <c r="B4" s="200"/>
      <c r="C4" s="250" t="s">
        <v>1363</v>
      </c>
      <c r="D4" s="493" t="s">
        <v>1364</v>
      </c>
      <c r="E4" s="493"/>
      <c r="F4" s="494" t="s">
        <v>1365</v>
      </c>
      <c r="G4" s="494"/>
      <c r="H4" s="501" t="s">
        <v>1834</v>
      </c>
      <c r="I4" s="501"/>
      <c r="J4" s="501"/>
      <c r="K4" s="478">
        <f>PARÂMETROS!$E$22</f>
        <v>42.37</v>
      </c>
      <c r="L4" s="478"/>
      <c r="M4" s="478"/>
      <c r="N4" s="477" t="s">
        <v>1837</v>
      </c>
      <c r="O4" s="477"/>
      <c r="P4" s="477"/>
      <c r="Q4" s="492">
        <f>PARÂMETROS!$E$8</f>
        <v>30.89</v>
      </c>
      <c r="R4" s="492"/>
      <c r="S4" s="492"/>
      <c r="T4" s="479" t="s">
        <v>1853</v>
      </c>
      <c r="U4" s="480">
        <f>PARÂMETROS!$E$27</f>
        <v>3</v>
      </c>
      <c r="V4" s="500" t="s">
        <v>1847</v>
      </c>
      <c r="W4" s="500"/>
      <c r="X4" s="502">
        <f>PARÂMETROS!$E$26</f>
        <v>89.3</v>
      </c>
      <c r="Y4" s="502"/>
      <c r="Z4" s="23"/>
      <c r="AA4" s="23"/>
      <c r="AB4" s="472" t="s">
        <v>1477</v>
      </c>
      <c r="AC4" s="472"/>
      <c r="AD4" s="23"/>
      <c r="AE4" s="509" t="s">
        <v>837</v>
      </c>
      <c r="AF4" s="509"/>
      <c r="AG4" s="509"/>
      <c r="AH4" s="509"/>
      <c r="AI4" s="509"/>
      <c r="AJ4" s="509"/>
      <c r="AK4" s="509"/>
      <c r="AL4" s="509"/>
      <c r="AM4" s="509"/>
      <c r="AN4" s="509"/>
      <c r="AO4" s="509"/>
      <c r="AP4" s="509"/>
      <c r="AQ4" s="297"/>
      <c r="AR4" s="23"/>
      <c r="AT4" s="499" t="s">
        <v>1459</v>
      </c>
      <c r="AU4" s="499"/>
      <c r="AV4" s="499"/>
    </row>
    <row r="5" spans="1:72" ht="31.5" customHeight="1" x14ac:dyDescent="0.3">
      <c r="A5" s="359"/>
      <c r="B5" s="361"/>
      <c r="C5" s="252">
        <f>PARÂMETROS!$E$23</f>
        <v>19.59</v>
      </c>
      <c r="D5" s="490">
        <f>PARÂMETROS!$E$24</f>
        <v>19.59</v>
      </c>
      <c r="E5" s="490"/>
      <c r="F5" s="491">
        <f>PARÂMETROS!$E$25</f>
        <v>19.59</v>
      </c>
      <c r="G5" s="491"/>
      <c r="H5" s="501"/>
      <c r="I5" s="501"/>
      <c r="J5" s="501"/>
      <c r="K5" s="478"/>
      <c r="L5" s="478"/>
      <c r="M5" s="478"/>
      <c r="N5" s="477"/>
      <c r="O5" s="477"/>
      <c r="P5" s="477"/>
      <c r="Q5" s="492"/>
      <c r="R5" s="492"/>
      <c r="S5" s="492"/>
      <c r="T5" s="479"/>
      <c r="U5" s="480"/>
      <c r="V5" s="500"/>
      <c r="W5" s="500"/>
      <c r="X5" s="502"/>
      <c r="Y5" s="502"/>
      <c r="Z5" s="23"/>
      <c r="AA5" s="23"/>
      <c r="AB5" s="472"/>
      <c r="AC5" s="472"/>
      <c r="AD5" s="23"/>
      <c r="AE5" s="509"/>
      <c r="AF5" s="509"/>
      <c r="AG5" s="509"/>
      <c r="AH5" s="509"/>
      <c r="AI5" s="509"/>
      <c r="AJ5" s="509"/>
      <c r="AK5" s="509"/>
      <c r="AL5" s="509"/>
      <c r="AM5" s="509"/>
      <c r="AN5" s="509"/>
      <c r="AO5" s="509"/>
      <c r="AP5" s="509"/>
      <c r="AQ5" s="298"/>
      <c r="AR5" s="23"/>
      <c r="AT5" s="499"/>
      <c r="AU5" s="499"/>
      <c r="AV5" s="499"/>
      <c r="AX5" s="366" t="s">
        <v>1816</v>
      </c>
    </row>
    <row r="6" spans="1:72" ht="34.5" customHeight="1" x14ac:dyDescent="0.3">
      <c r="A6" s="204" t="s">
        <v>10</v>
      </c>
      <c r="B6" s="205" t="s">
        <v>1235</v>
      </c>
      <c r="C6" s="206" t="s">
        <v>1369</v>
      </c>
      <c r="D6" s="253" t="s">
        <v>1370</v>
      </c>
      <c r="E6" s="206" t="s">
        <v>1371</v>
      </c>
      <c r="F6" s="253" t="s">
        <v>1372</v>
      </c>
      <c r="G6" s="254" t="s">
        <v>1373</v>
      </c>
      <c r="H6" s="206" t="s">
        <v>1440</v>
      </c>
      <c r="I6" s="253" t="s">
        <v>1441</v>
      </c>
      <c r="J6" s="206" t="s">
        <v>1442</v>
      </c>
      <c r="K6" s="207" t="s">
        <v>1443</v>
      </c>
      <c r="L6" s="206" t="s">
        <v>1240</v>
      </c>
      <c r="M6" s="207" t="s">
        <v>1443</v>
      </c>
      <c r="N6" s="208" t="s">
        <v>1444</v>
      </c>
      <c r="O6" s="209" t="s">
        <v>1445</v>
      </c>
      <c r="P6" s="208" t="s">
        <v>1374</v>
      </c>
      <c r="Q6" s="209" t="s">
        <v>1446</v>
      </c>
      <c r="R6" s="208" t="s">
        <v>1447</v>
      </c>
      <c r="S6" s="209" t="s">
        <v>1448</v>
      </c>
      <c r="T6" s="208" t="s">
        <v>1242</v>
      </c>
      <c r="U6" s="209" t="s">
        <v>1243</v>
      </c>
      <c r="V6" s="208" t="s">
        <v>1449</v>
      </c>
      <c r="W6" s="209" t="s">
        <v>1450</v>
      </c>
      <c r="X6" s="208" t="s">
        <v>1451</v>
      </c>
      <c r="Y6" s="209" t="s">
        <v>1452</v>
      </c>
      <c r="Z6" s="23"/>
      <c r="AA6" s="23"/>
      <c r="AB6" s="210" t="s">
        <v>10</v>
      </c>
      <c r="AC6" s="211" t="s">
        <v>1120</v>
      </c>
      <c r="AD6" s="23"/>
      <c r="AE6" s="285"/>
      <c r="AF6" s="301" t="s">
        <v>880</v>
      </c>
      <c r="AG6" s="302" t="s">
        <v>1376</v>
      </c>
      <c r="AH6" s="302" t="s">
        <v>1453</v>
      </c>
      <c r="AI6" s="302" t="s">
        <v>1454</v>
      </c>
      <c r="AJ6" s="302" t="s">
        <v>1377</v>
      </c>
      <c r="AK6" s="302" t="s">
        <v>1248</v>
      </c>
      <c r="AL6" s="302" t="s">
        <v>1378</v>
      </c>
      <c r="AM6" s="302" t="s">
        <v>1251</v>
      </c>
      <c r="AN6" s="303" t="s">
        <v>1380</v>
      </c>
      <c r="AO6" s="304" t="s">
        <v>1252</v>
      </c>
      <c r="AP6" s="301" t="s">
        <v>1253</v>
      </c>
      <c r="AQ6" s="260" t="s">
        <v>1382</v>
      </c>
      <c r="AR6" s="23"/>
      <c r="AS6" s="217" t="s">
        <v>1093</v>
      </c>
      <c r="AT6" s="218" t="s">
        <v>882</v>
      </c>
      <c r="AU6" s="36" t="s">
        <v>954</v>
      </c>
      <c r="AV6" s="220" t="s">
        <v>955</v>
      </c>
      <c r="AW6" s="48" t="s">
        <v>883</v>
      </c>
      <c r="AX6" s="36" t="s">
        <v>954</v>
      </c>
      <c r="BS6" s="48" t="s">
        <v>957</v>
      </c>
      <c r="BT6" s="48" t="s">
        <v>1383</v>
      </c>
    </row>
    <row r="7" spans="1:72" ht="27" customHeight="1" x14ac:dyDescent="0.3">
      <c r="A7" s="224" t="s">
        <v>196</v>
      </c>
      <c r="B7" s="225" t="s">
        <v>1384</v>
      </c>
      <c r="C7" s="225">
        <v>5.2999999999999999E-2</v>
      </c>
      <c r="D7" s="263">
        <f>C7*D5</f>
        <v>1.03827</v>
      </c>
      <c r="E7" s="225">
        <v>2.4E-2</v>
      </c>
      <c r="F7" s="263">
        <f>E7*F5</f>
        <v>0.47016000000000002</v>
      </c>
      <c r="G7" s="227">
        <f t="shared" ref="G7:G54" si="0">D7+F7</f>
        <v>1.5084300000000002</v>
      </c>
      <c r="H7" s="228">
        <v>0.1</v>
      </c>
      <c r="I7" s="227">
        <f>H7*PARÂMETROS!$E$22</f>
        <v>4.2370000000000001</v>
      </c>
      <c r="J7" s="228">
        <v>3.0000000000000001E-3</v>
      </c>
      <c r="K7" s="227">
        <f>J7*PARÂMETROS!$E$22</f>
        <v>0.12711</v>
      </c>
      <c r="L7" s="228">
        <v>2E-3</v>
      </c>
      <c r="M7" s="230">
        <f>L7*PARÂMETROS!$E$8</f>
        <v>6.1780000000000002E-2</v>
      </c>
      <c r="N7" s="228">
        <f t="shared" ref="N7:N54" si="1">H7*0.01</f>
        <v>1E-3</v>
      </c>
      <c r="O7" s="230">
        <f>N7*PARÂMETROS!$E$8</f>
        <v>3.0890000000000001E-2</v>
      </c>
      <c r="P7" s="228">
        <f t="shared" ref="P7:P54" si="2">0.1 * J7</f>
        <v>3.0000000000000003E-4</v>
      </c>
      <c r="Q7" s="230">
        <f>P7*PARÂMETROS!$E$8</f>
        <v>9.2670000000000009E-3</v>
      </c>
      <c r="R7" s="228">
        <f t="shared" ref="R7:R54" si="3">0.1 * N7</f>
        <v>1E-4</v>
      </c>
      <c r="S7" s="230">
        <f>R7*PARÂMETROS!$E$8</f>
        <v>3.0890000000000002E-3</v>
      </c>
      <c r="T7" s="231">
        <v>0.3</v>
      </c>
      <c r="U7" s="230">
        <f>T7*PARÂMETROS!$E$27</f>
        <v>0.89999999999999991</v>
      </c>
      <c r="V7" s="228">
        <f t="shared" ref="V7:V54" si="4">D7*0.01</f>
        <v>1.03827E-2</v>
      </c>
      <c r="W7" s="230">
        <f>V7*PARÂMETROS!$E$8</f>
        <v>0.32072160300000002</v>
      </c>
      <c r="X7" s="229">
        <f t="shared" ref="X7:X54" si="5">F7*0.01</f>
        <v>4.7016000000000002E-3</v>
      </c>
      <c r="Y7" s="230">
        <f>X7*PARÂMETROS!$E$8</f>
        <v>0.145232424</v>
      </c>
      <c r="Z7" s="23"/>
      <c r="AA7" s="23"/>
      <c r="AB7" s="232" t="s">
        <v>1385</v>
      </c>
      <c r="AC7" s="264">
        <f t="shared" ref="AC7:AC54" si="6">U7+S7+Q7+O7+M7+K7+I7+G7+W7+Y7</f>
        <v>7.3435200269999994</v>
      </c>
      <c r="AD7" s="23"/>
      <c r="AE7" s="224" t="s">
        <v>196</v>
      </c>
      <c r="AF7" s="291">
        <f>PARÂMETROS!$H$3</f>
        <v>40</v>
      </c>
      <c r="AG7" s="267">
        <v>2.1527777777777798E-2</v>
      </c>
      <c r="AH7" s="267">
        <v>1.7361111111111101E-2</v>
      </c>
      <c r="AI7" s="267">
        <v>3.4722222222222203E-2</v>
      </c>
      <c r="AJ7" s="300"/>
      <c r="AK7" s="267">
        <v>2.0833333333333301E-2</v>
      </c>
      <c r="AL7" s="267">
        <v>6.9444444444444397E-3</v>
      </c>
      <c r="AM7" s="267">
        <v>3.125E-2</v>
      </c>
      <c r="AN7" s="271">
        <v>4</v>
      </c>
      <c r="AO7" s="292">
        <f t="shared" ref="AO7:AO54" si="7">AL7+AM7+AK7+AJ7+AI7+AH7+AG7</f>
        <v>0.13263888888888886</v>
      </c>
      <c r="AP7" s="291">
        <f t="shared" ref="AP7:AP54" si="8">AF7*AO7*24</f>
        <v>127.33333333333331</v>
      </c>
      <c r="AQ7" s="272">
        <f t="shared" ref="AQ7:AQ54" si="9">AP7/AN7</f>
        <v>31.833333333333329</v>
      </c>
      <c r="AR7" s="23"/>
      <c r="AS7" s="273">
        <f t="shared" ref="AS7:AS54" si="10">AC7</f>
        <v>7.3435200269999994</v>
      </c>
      <c r="AT7" s="274">
        <f t="shared" ref="AT7:AT54" si="11">AP7</f>
        <v>127.33333333333331</v>
      </c>
      <c r="AU7" s="275">
        <v>4</v>
      </c>
      <c r="AV7" s="276">
        <f t="shared" ref="AV7:AV54" si="12">IFERROR(AT7/AU7,0)</f>
        <v>31.833333333333329</v>
      </c>
      <c r="AW7" s="293">
        <f t="shared" ref="AW7:AW54" si="13">AV7+AS7</f>
        <v>39.176853360333325</v>
      </c>
      <c r="AX7" s="275">
        <v>4</v>
      </c>
      <c r="BS7" s="293">
        <v>80</v>
      </c>
      <c r="BT7" s="293">
        <f t="shared" ref="BT7:BT54" si="14">AW7+BS7</f>
        <v>119.17685336033333</v>
      </c>
    </row>
    <row r="8" spans="1:72" ht="27" customHeight="1" x14ac:dyDescent="0.3">
      <c r="A8" s="224" t="s">
        <v>200</v>
      </c>
      <c r="B8" s="225" t="s">
        <v>1384</v>
      </c>
      <c r="C8" s="228">
        <v>0.1</v>
      </c>
      <c r="D8" s="263">
        <f>C8*D5</f>
        <v>1.9590000000000001</v>
      </c>
      <c r="E8" s="228">
        <v>4.4999999999999998E-2</v>
      </c>
      <c r="F8" s="263">
        <f>E8*F5</f>
        <v>0.88154999999999994</v>
      </c>
      <c r="G8" s="227">
        <f t="shared" si="0"/>
        <v>2.8405499999999999</v>
      </c>
      <c r="H8" s="228">
        <v>0.14000000000000001</v>
      </c>
      <c r="I8" s="227">
        <f>H8*PARÂMETROS!$E$22</f>
        <v>5.9318</v>
      </c>
      <c r="J8" s="228">
        <v>6.0000000000000001E-3</v>
      </c>
      <c r="K8" s="227">
        <f>J8*PARÂMETROS!$E$22</f>
        <v>0.25422</v>
      </c>
      <c r="L8" s="228">
        <v>2E-3</v>
      </c>
      <c r="M8" s="230">
        <f>L8*PARÂMETROS!$E$8</f>
        <v>6.1780000000000002E-2</v>
      </c>
      <c r="N8" s="228">
        <f t="shared" si="1"/>
        <v>1.4000000000000002E-3</v>
      </c>
      <c r="O8" s="230">
        <f>N8*PARÂMETROS!$E$8</f>
        <v>4.3246000000000007E-2</v>
      </c>
      <c r="P8" s="228">
        <f t="shared" si="2"/>
        <v>6.0000000000000006E-4</v>
      </c>
      <c r="Q8" s="230">
        <f>P8*PARÂMETROS!$E$8</f>
        <v>1.8534000000000002E-2</v>
      </c>
      <c r="R8" s="228">
        <f t="shared" si="3"/>
        <v>1.4000000000000001E-4</v>
      </c>
      <c r="S8" s="230">
        <f>R8*PARÂMETROS!$E$8</f>
        <v>4.3246000000000005E-3</v>
      </c>
      <c r="T8" s="231">
        <v>0.36</v>
      </c>
      <c r="U8" s="230">
        <f>T8*PARÂMETROS!$E$27</f>
        <v>1.08</v>
      </c>
      <c r="V8" s="228">
        <f t="shared" si="4"/>
        <v>1.959E-2</v>
      </c>
      <c r="W8" s="230">
        <f>V8*PARÂMETROS!$E$8</f>
        <v>0.60513510000000004</v>
      </c>
      <c r="X8" s="229">
        <f t="shared" si="5"/>
        <v>8.8155000000000004E-3</v>
      </c>
      <c r="Y8" s="230">
        <f>X8*PARÂMETROS!$E$8</f>
        <v>0.27231079499999999</v>
      </c>
      <c r="Z8" s="23"/>
      <c r="AA8" s="23"/>
      <c r="AB8" s="232" t="s">
        <v>1386</v>
      </c>
      <c r="AC8" s="264">
        <f t="shared" si="6"/>
        <v>11.111900494999999</v>
      </c>
      <c r="AD8" s="23"/>
      <c r="AE8" s="224" t="s">
        <v>200</v>
      </c>
      <c r="AF8" s="291">
        <f>PARÂMETROS!$H$3</f>
        <v>40</v>
      </c>
      <c r="AG8" s="267">
        <v>2.1527777777777798E-2</v>
      </c>
      <c r="AH8" s="267">
        <v>1.7361111111111101E-2</v>
      </c>
      <c r="AI8" s="267">
        <v>3.4722222222222203E-2</v>
      </c>
      <c r="AJ8" s="300"/>
      <c r="AK8" s="267">
        <v>2.0833333333333301E-2</v>
      </c>
      <c r="AL8" s="267">
        <v>6.9444444444444397E-3</v>
      </c>
      <c r="AM8" s="267">
        <v>3.125E-2</v>
      </c>
      <c r="AN8" s="271">
        <v>4</v>
      </c>
      <c r="AO8" s="292">
        <f t="shared" si="7"/>
        <v>0.13263888888888886</v>
      </c>
      <c r="AP8" s="291">
        <f t="shared" si="8"/>
        <v>127.33333333333331</v>
      </c>
      <c r="AQ8" s="272">
        <f t="shared" si="9"/>
        <v>31.833333333333329</v>
      </c>
      <c r="AR8" s="23"/>
      <c r="AS8" s="273">
        <f t="shared" si="10"/>
        <v>11.111900494999999</v>
      </c>
      <c r="AT8" s="274">
        <f t="shared" si="11"/>
        <v>127.33333333333331</v>
      </c>
      <c r="AU8" s="275">
        <v>4</v>
      </c>
      <c r="AV8" s="276">
        <f t="shared" si="12"/>
        <v>31.833333333333329</v>
      </c>
      <c r="AW8" s="293">
        <f t="shared" si="13"/>
        <v>42.945233828333329</v>
      </c>
      <c r="AX8" s="275">
        <v>4</v>
      </c>
      <c r="BS8" s="293">
        <v>80</v>
      </c>
      <c r="BT8" s="293">
        <f t="shared" si="14"/>
        <v>122.94523382833333</v>
      </c>
    </row>
    <row r="9" spans="1:72" ht="27" customHeight="1" x14ac:dyDescent="0.3">
      <c r="A9" s="224" t="s">
        <v>185</v>
      </c>
      <c r="B9" s="225" t="s">
        <v>1384</v>
      </c>
      <c r="C9" s="228">
        <v>0.16800000000000001</v>
      </c>
      <c r="D9" s="263">
        <f>C9*D5</f>
        <v>3.2911200000000003</v>
      </c>
      <c r="E9" s="228">
        <v>7.5999999999999998E-2</v>
      </c>
      <c r="F9" s="263">
        <f>E9*F5</f>
        <v>1.4888399999999999</v>
      </c>
      <c r="G9" s="227">
        <f t="shared" si="0"/>
        <v>4.77996</v>
      </c>
      <c r="H9" s="228">
        <v>0.26</v>
      </c>
      <c r="I9" s="227">
        <f>H9*PARÂMETROS!$E$22</f>
        <v>11.0162</v>
      </c>
      <c r="J9" s="228">
        <v>1.0999999999999999E-2</v>
      </c>
      <c r="K9" s="227">
        <f>J9*PARÂMETROS!$E$22</f>
        <v>0.46606999999999993</v>
      </c>
      <c r="L9" s="228">
        <v>2E-3</v>
      </c>
      <c r="M9" s="230">
        <f>L9*PARÂMETROS!$E$8</f>
        <v>6.1780000000000002E-2</v>
      </c>
      <c r="N9" s="228">
        <f t="shared" si="1"/>
        <v>2.6000000000000003E-3</v>
      </c>
      <c r="O9" s="230">
        <f>N9*PARÂMETROS!$E$8</f>
        <v>8.031400000000001E-2</v>
      </c>
      <c r="P9" s="228">
        <f t="shared" si="2"/>
        <v>1.1000000000000001E-3</v>
      </c>
      <c r="Q9" s="230">
        <f>P9*PARÂMETROS!$E$8</f>
        <v>3.3979000000000002E-2</v>
      </c>
      <c r="R9" s="228">
        <f t="shared" si="3"/>
        <v>2.6000000000000003E-4</v>
      </c>
      <c r="S9" s="230">
        <f>R9*PARÂMETROS!$E$8</f>
        <v>8.031400000000001E-3</v>
      </c>
      <c r="T9" s="231">
        <v>0.41</v>
      </c>
      <c r="U9" s="230">
        <f>T9*PARÂMETROS!$E$27</f>
        <v>1.23</v>
      </c>
      <c r="V9" s="228">
        <f t="shared" si="4"/>
        <v>3.2911200000000002E-2</v>
      </c>
      <c r="W9" s="230">
        <f>V9*PARÂMETROS!$E$8</f>
        <v>1.016626968</v>
      </c>
      <c r="X9" s="229">
        <f t="shared" si="5"/>
        <v>1.48884E-2</v>
      </c>
      <c r="Y9" s="230">
        <f>X9*PARÂMETROS!$E$8</f>
        <v>0.45990267600000001</v>
      </c>
      <c r="Z9" s="23"/>
      <c r="AA9" s="23"/>
      <c r="AB9" s="232" t="s">
        <v>1387</v>
      </c>
      <c r="AC9" s="264">
        <f t="shared" si="6"/>
        <v>19.152864043999998</v>
      </c>
      <c r="AD9" s="23"/>
      <c r="AE9" s="224" t="s">
        <v>185</v>
      </c>
      <c r="AF9" s="291">
        <f>PARÂMETROS!$H$3</f>
        <v>40</v>
      </c>
      <c r="AG9" s="267">
        <v>2.1527777777777798E-2</v>
      </c>
      <c r="AH9" s="267">
        <v>1.7361111111111101E-2</v>
      </c>
      <c r="AI9" s="267">
        <v>3.4722222222222203E-2</v>
      </c>
      <c r="AJ9" s="300"/>
      <c r="AK9" s="267">
        <v>2.0833333333333301E-2</v>
      </c>
      <c r="AL9" s="267">
        <v>6.9444444444444397E-3</v>
      </c>
      <c r="AM9" s="267">
        <v>3.125E-2</v>
      </c>
      <c r="AN9" s="271">
        <v>4</v>
      </c>
      <c r="AO9" s="292">
        <f t="shared" si="7"/>
        <v>0.13263888888888886</v>
      </c>
      <c r="AP9" s="291">
        <f t="shared" si="8"/>
        <v>127.33333333333331</v>
      </c>
      <c r="AQ9" s="272">
        <f t="shared" si="9"/>
        <v>31.833333333333329</v>
      </c>
      <c r="AR9" s="23"/>
      <c r="AS9" s="273">
        <f t="shared" si="10"/>
        <v>19.152864043999998</v>
      </c>
      <c r="AT9" s="274">
        <f t="shared" si="11"/>
        <v>127.33333333333331</v>
      </c>
      <c r="AU9" s="275">
        <v>3</v>
      </c>
      <c r="AV9" s="276">
        <f t="shared" si="12"/>
        <v>42.444444444444436</v>
      </c>
      <c r="AW9" s="293">
        <f t="shared" si="13"/>
        <v>61.597308488444433</v>
      </c>
      <c r="AX9" s="275">
        <v>3</v>
      </c>
      <c r="BS9" s="293">
        <v>80</v>
      </c>
      <c r="BT9" s="293">
        <f t="shared" si="14"/>
        <v>141.59730848844444</v>
      </c>
    </row>
    <row r="10" spans="1:72" ht="25.5" customHeight="1" x14ac:dyDescent="0.3">
      <c r="A10" s="224" t="s">
        <v>39</v>
      </c>
      <c r="B10" s="225" t="s">
        <v>1384</v>
      </c>
      <c r="C10" s="228">
        <v>0.624</v>
      </c>
      <c r="D10" s="263">
        <f>C10*D5</f>
        <v>12.224159999999999</v>
      </c>
      <c r="E10" s="228">
        <v>0.28100000000000003</v>
      </c>
      <c r="F10" s="263">
        <f>E10*F5</f>
        <v>5.5047900000000007</v>
      </c>
      <c r="G10" s="227">
        <f t="shared" si="0"/>
        <v>17.728950000000001</v>
      </c>
      <c r="H10" s="228">
        <v>0.5</v>
      </c>
      <c r="I10" s="227">
        <f>H10*PARÂMETROS!$E$22</f>
        <v>21.184999999999999</v>
      </c>
      <c r="J10" s="228">
        <v>2.5000000000000001E-2</v>
      </c>
      <c r="K10" s="227">
        <f>J10*PARÂMETROS!$E$22</f>
        <v>1.05925</v>
      </c>
      <c r="L10" s="228">
        <v>2E-3</v>
      </c>
      <c r="M10" s="230">
        <f>L10*PARÂMETROS!$E$8</f>
        <v>6.1780000000000002E-2</v>
      </c>
      <c r="N10" s="228">
        <f t="shared" si="1"/>
        <v>5.0000000000000001E-3</v>
      </c>
      <c r="O10" s="230">
        <f>N10*PARÂMETROS!$E$8</f>
        <v>0.15445</v>
      </c>
      <c r="P10" s="228">
        <f t="shared" si="2"/>
        <v>2.5000000000000005E-3</v>
      </c>
      <c r="Q10" s="230">
        <f>P10*PARÂMETROS!$E$8</f>
        <v>7.7225000000000016E-2</v>
      </c>
      <c r="R10" s="228">
        <f t="shared" si="3"/>
        <v>5.0000000000000001E-4</v>
      </c>
      <c r="S10" s="230">
        <f>R10*PARÂMETROS!$E$8</f>
        <v>1.5445E-2</v>
      </c>
      <c r="T10" s="231">
        <v>0.82</v>
      </c>
      <c r="U10" s="230">
        <f>T10*PARÂMETROS!$E$27</f>
        <v>2.46</v>
      </c>
      <c r="V10" s="228">
        <f t="shared" si="4"/>
        <v>0.12224159999999999</v>
      </c>
      <c r="W10" s="230">
        <f>V10*PARÂMETROS!$E$8</f>
        <v>3.7760430239999998</v>
      </c>
      <c r="X10" s="229">
        <f t="shared" si="5"/>
        <v>5.5047900000000011E-2</v>
      </c>
      <c r="Y10" s="230">
        <f>X10*PARÂMETROS!$E$8</f>
        <v>1.7004296310000004</v>
      </c>
      <c r="Z10" s="23"/>
      <c r="AA10" s="23"/>
      <c r="AB10" s="232" t="s">
        <v>1388</v>
      </c>
      <c r="AC10" s="264">
        <f t="shared" si="6"/>
        <v>48.218572654999996</v>
      </c>
      <c r="AD10" s="23"/>
      <c r="AE10" s="224" t="s">
        <v>39</v>
      </c>
      <c r="AF10" s="291">
        <f>PARÂMETROS!$H$3</f>
        <v>40</v>
      </c>
      <c r="AG10" s="267">
        <v>2.1527777777777798E-2</v>
      </c>
      <c r="AH10" s="267">
        <v>1.7361111111111101E-2</v>
      </c>
      <c r="AI10" s="267">
        <v>3.4722222222222203E-2</v>
      </c>
      <c r="AJ10" s="300"/>
      <c r="AK10" s="267">
        <v>2.0833333333333301E-2</v>
      </c>
      <c r="AL10" s="267">
        <v>6.9444444444444397E-3</v>
      </c>
      <c r="AM10" s="267">
        <v>3.125E-2</v>
      </c>
      <c r="AN10" s="271">
        <v>4</v>
      </c>
      <c r="AO10" s="292">
        <f t="shared" si="7"/>
        <v>0.13263888888888886</v>
      </c>
      <c r="AP10" s="291">
        <f t="shared" si="8"/>
        <v>127.33333333333331</v>
      </c>
      <c r="AQ10" s="272">
        <f t="shared" si="9"/>
        <v>31.833333333333329</v>
      </c>
      <c r="AR10" s="23"/>
      <c r="AS10" s="273">
        <f t="shared" si="10"/>
        <v>48.218572654999996</v>
      </c>
      <c r="AT10" s="274">
        <f t="shared" si="11"/>
        <v>127.33333333333331</v>
      </c>
      <c r="AU10" s="275">
        <v>3</v>
      </c>
      <c r="AV10" s="276">
        <f t="shared" si="12"/>
        <v>42.444444444444436</v>
      </c>
      <c r="AW10" s="293">
        <f t="shared" si="13"/>
        <v>90.663017099444431</v>
      </c>
      <c r="AX10" s="275">
        <v>3</v>
      </c>
      <c r="BS10" s="293">
        <v>80</v>
      </c>
      <c r="BT10" s="293">
        <f t="shared" si="14"/>
        <v>170.66301709944443</v>
      </c>
    </row>
    <row r="11" spans="1:72" ht="27" customHeight="1" x14ac:dyDescent="0.3">
      <c r="A11" s="224" t="s">
        <v>300</v>
      </c>
      <c r="B11" s="225" t="s">
        <v>1384</v>
      </c>
      <c r="C11" s="228">
        <v>0.94799999999999995</v>
      </c>
      <c r="D11" s="263">
        <f>C11*D5</f>
        <v>18.57132</v>
      </c>
      <c r="E11" s="228">
        <v>0.42699999999999999</v>
      </c>
      <c r="F11" s="263">
        <f>E11*F5</f>
        <v>8.3649299999999993</v>
      </c>
      <c r="G11" s="227">
        <f t="shared" si="0"/>
        <v>26.936250000000001</v>
      </c>
      <c r="H11" s="228">
        <v>0.65</v>
      </c>
      <c r="I11" s="227">
        <f>H11*PARÂMETROS!$E$22</f>
        <v>27.540499999999998</v>
      </c>
      <c r="J11" s="228">
        <v>3.2000000000000001E-2</v>
      </c>
      <c r="K11" s="227">
        <f>J11*PARÂMETROS!$E$22</f>
        <v>1.3558399999999999</v>
      </c>
      <c r="L11" s="228">
        <v>2E-3</v>
      </c>
      <c r="M11" s="230">
        <f>L11*PARÂMETROS!$E$8</f>
        <v>6.1780000000000002E-2</v>
      </c>
      <c r="N11" s="228">
        <f t="shared" si="1"/>
        <v>6.5000000000000006E-3</v>
      </c>
      <c r="O11" s="230">
        <f>N11*PARÂMETROS!$E$8</f>
        <v>0.20078500000000002</v>
      </c>
      <c r="P11" s="228">
        <f t="shared" si="2"/>
        <v>3.2000000000000002E-3</v>
      </c>
      <c r="Q11" s="230">
        <f>P11*PARÂMETROS!$E$8</f>
        <v>9.8848000000000005E-2</v>
      </c>
      <c r="R11" s="228">
        <f t="shared" si="3"/>
        <v>6.5000000000000008E-4</v>
      </c>
      <c r="S11" s="230">
        <f>R11*PARÂMETROS!$E$8</f>
        <v>2.0078500000000003E-2</v>
      </c>
      <c r="T11" s="231">
        <v>0.86</v>
      </c>
      <c r="U11" s="230">
        <f>T11*PARÂMETROS!$E$27</f>
        <v>2.58</v>
      </c>
      <c r="V11" s="228">
        <f t="shared" si="4"/>
        <v>0.18571319999999999</v>
      </c>
      <c r="W11" s="230">
        <f>V11*PARÂMETROS!$E$8</f>
        <v>5.7366807480000004</v>
      </c>
      <c r="X11" s="229">
        <f t="shared" si="5"/>
        <v>8.3649299999999996E-2</v>
      </c>
      <c r="Y11" s="230">
        <f>X11*PARÂMETROS!$E$8</f>
        <v>2.5839268770000001</v>
      </c>
      <c r="Z11" s="23"/>
      <c r="AA11" s="23"/>
      <c r="AB11" s="232" t="s">
        <v>1389</v>
      </c>
      <c r="AC11" s="264">
        <f t="shared" si="6"/>
        <v>67.114689124999998</v>
      </c>
      <c r="AD11" s="23"/>
      <c r="AE11" s="224" t="s">
        <v>300</v>
      </c>
      <c r="AF11" s="291">
        <f>PARÂMETROS!$H$3</f>
        <v>40</v>
      </c>
      <c r="AG11" s="267">
        <v>2.1527777777777798E-2</v>
      </c>
      <c r="AH11" s="267">
        <v>1.7361111111111101E-2</v>
      </c>
      <c r="AI11" s="267">
        <v>1.7361111111111101E-2</v>
      </c>
      <c r="AJ11" s="300"/>
      <c r="AK11" s="267">
        <v>2.0833333333333301E-2</v>
      </c>
      <c r="AL11" s="267">
        <v>6.9444444444444397E-3</v>
      </c>
      <c r="AM11" s="267">
        <v>3.125E-2</v>
      </c>
      <c r="AN11" s="271">
        <v>2</v>
      </c>
      <c r="AO11" s="292">
        <f t="shared" si="7"/>
        <v>0.11527777777777774</v>
      </c>
      <c r="AP11" s="291">
        <f t="shared" si="8"/>
        <v>110.66666666666663</v>
      </c>
      <c r="AQ11" s="272">
        <f t="shared" si="9"/>
        <v>55.333333333333314</v>
      </c>
      <c r="AR11" s="23"/>
      <c r="AS11" s="273">
        <f t="shared" si="10"/>
        <v>67.114689124999998</v>
      </c>
      <c r="AT11" s="274">
        <f t="shared" si="11"/>
        <v>110.66666666666663</v>
      </c>
      <c r="AU11" s="275">
        <v>3</v>
      </c>
      <c r="AV11" s="276">
        <f t="shared" si="12"/>
        <v>36.888888888888879</v>
      </c>
      <c r="AW11" s="293">
        <f t="shared" si="13"/>
        <v>104.00357801388887</v>
      </c>
      <c r="AX11" s="275">
        <v>3</v>
      </c>
      <c r="BS11" s="293">
        <v>80</v>
      </c>
      <c r="BT11" s="293">
        <f t="shared" si="14"/>
        <v>184.00357801388887</v>
      </c>
    </row>
    <row r="12" spans="1:72" ht="27" customHeight="1" x14ac:dyDescent="0.3">
      <c r="A12" s="224" t="s">
        <v>41</v>
      </c>
      <c r="B12" s="225" t="s">
        <v>1384</v>
      </c>
      <c r="C12" s="228">
        <v>1.3089999999999999</v>
      </c>
      <c r="D12" s="263">
        <f>C12*D5</f>
        <v>25.64331</v>
      </c>
      <c r="E12" s="228">
        <v>0.58899999999999997</v>
      </c>
      <c r="F12" s="263">
        <f>E12*F5</f>
        <v>11.538509999999999</v>
      </c>
      <c r="G12" s="227">
        <f t="shared" si="0"/>
        <v>37.181820000000002</v>
      </c>
      <c r="H12" s="228">
        <v>0.8</v>
      </c>
      <c r="I12" s="227">
        <f>H12*PARÂMETROS!$E$22</f>
        <v>33.896000000000001</v>
      </c>
      <c r="J12" s="228">
        <v>4.2000000000000003E-2</v>
      </c>
      <c r="K12" s="227">
        <f>J12*PARÂMETROS!$E$22</f>
        <v>1.7795399999999999</v>
      </c>
      <c r="L12" s="228">
        <v>2E-3</v>
      </c>
      <c r="M12" s="230">
        <f>L12*PARÂMETROS!$E$8</f>
        <v>6.1780000000000002E-2</v>
      </c>
      <c r="N12" s="228">
        <f t="shared" si="1"/>
        <v>8.0000000000000002E-3</v>
      </c>
      <c r="O12" s="230">
        <f>N12*PARÂMETROS!$E$8</f>
        <v>0.24712000000000001</v>
      </c>
      <c r="P12" s="228">
        <f t="shared" si="2"/>
        <v>4.2000000000000006E-3</v>
      </c>
      <c r="Q12" s="230">
        <f>P12*PARÂMETROS!$E$8</f>
        <v>0.12973800000000002</v>
      </c>
      <c r="R12" s="228">
        <f t="shared" si="3"/>
        <v>8.0000000000000004E-4</v>
      </c>
      <c r="S12" s="230">
        <f>R12*PARÂMETROS!$E$8</f>
        <v>2.4712000000000001E-2</v>
      </c>
      <c r="T12" s="231">
        <v>0.92</v>
      </c>
      <c r="U12" s="230">
        <f>T12*PARÂMETROS!$E$27</f>
        <v>2.7600000000000002</v>
      </c>
      <c r="V12" s="228">
        <f t="shared" si="4"/>
        <v>0.25643310000000002</v>
      </c>
      <c r="W12" s="230">
        <f>V12*PARÂMETROS!$E$8</f>
        <v>7.9212184590000012</v>
      </c>
      <c r="X12" s="229">
        <f t="shared" si="5"/>
        <v>0.11538509999999999</v>
      </c>
      <c r="Y12" s="230">
        <f>X12*PARÂMETROS!$E$8</f>
        <v>3.564245739</v>
      </c>
      <c r="Z12" s="23"/>
      <c r="AA12" s="23"/>
      <c r="AB12" s="232" t="s">
        <v>1390</v>
      </c>
      <c r="AC12" s="264">
        <f t="shared" si="6"/>
        <v>87.566174198000013</v>
      </c>
      <c r="AD12" s="23"/>
      <c r="AE12" s="224" t="s">
        <v>41</v>
      </c>
      <c r="AF12" s="291">
        <f>PARÂMETROS!$H$3</f>
        <v>40</v>
      </c>
      <c r="AG12" s="267">
        <v>2.1527777777777798E-2</v>
      </c>
      <c r="AH12" s="267">
        <v>1.7361111111111101E-2</v>
      </c>
      <c r="AI12" s="267">
        <v>1.7361111111111101E-2</v>
      </c>
      <c r="AJ12" s="300"/>
      <c r="AK12" s="267">
        <v>2.0833333333333301E-2</v>
      </c>
      <c r="AL12" s="267">
        <v>6.9444444444444397E-3</v>
      </c>
      <c r="AM12" s="267">
        <v>3.125E-2</v>
      </c>
      <c r="AN12" s="271">
        <v>2</v>
      </c>
      <c r="AO12" s="292">
        <f t="shared" si="7"/>
        <v>0.11527777777777774</v>
      </c>
      <c r="AP12" s="291">
        <f t="shared" si="8"/>
        <v>110.66666666666663</v>
      </c>
      <c r="AQ12" s="272">
        <f t="shared" si="9"/>
        <v>55.333333333333314</v>
      </c>
      <c r="AR12" s="23"/>
      <c r="AS12" s="273">
        <f t="shared" si="10"/>
        <v>87.566174198000013</v>
      </c>
      <c r="AT12" s="274">
        <f t="shared" si="11"/>
        <v>110.66666666666663</v>
      </c>
      <c r="AU12" s="275">
        <v>2</v>
      </c>
      <c r="AV12" s="276">
        <f t="shared" si="12"/>
        <v>55.333333333333314</v>
      </c>
      <c r="AW12" s="293">
        <f t="shared" si="13"/>
        <v>142.89950753133331</v>
      </c>
      <c r="AX12" s="275">
        <v>2</v>
      </c>
      <c r="BS12" s="293">
        <v>80</v>
      </c>
      <c r="BT12" s="293">
        <f t="shared" si="14"/>
        <v>222.89950753133331</v>
      </c>
    </row>
    <row r="13" spans="1:72" ht="27" customHeight="1" x14ac:dyDescent="0.3">
      <c r="A13" s="224" t="s">
        <v>43</v>
      </c>
      <c r="B13" s="225" t="s">
        <v>1384</v>
      </c>
      <c r="C13" s="228">
        <v>2.774</v>
      </c>
      <c r="D13" s="263">
        <f>C13*D5</f>
        <v>54.342660000000002</v>
      </c>
      <c r="E13" s="228">
        <v>1.248</v>
      </c>
      <c r="F13" s="263">
        <f>E13*F5</f>
        <v>24.448319999999999</v>
      </c>
      <c r="G13" s="227">
        <f t="shared" si="0"/>
        <v>78.790980000000005</v>
      </c>
      <c r="H13" s="228">
        <v>1</v>
      </c>
      <c r="I13" s="227">
        <f>H13*PARÂMETROS!$E$22</f>
        <v>42.37</v>
      </c>
      <c r="J13" s="228">
        <v>6.5000000000000002E-2</v>
      </c>
      <c r="K13" s="227">
        <f>J13*PARÂMETROS!$E$22</f>
        <v>2.7540499999999999</v>
      </c>
      <c r="L13" s="228">
        <v>2E-3</v>
      </c>
      <c r="M13" s="230">
        <f>L13*PARÂMETROS!$E$8</f>
        <v>6.1780000000000002E-2</v>
      </c>
      <c r="N13" s="228">
        <f t="shared" si="1"/>
        <v>0.01</v>
      </c>
      <c r="O13" s="230">
        <f>N13*PARÂMETROS!$E$8</f>
        <v>0.30890000000000001</v>
      </c>
      <c r="P13" s="228">
        <f t="shared" si="2"/>
        <v>6.5000000000000006E-3</v>
      </c>
      <c r="Q13" s="230">
        <f>P13*PARÂMETROS!$E$8</f>
        <v>0.20078500000000002</v>
      </c>
      <c r="R13" s="228">
        <f t="shared" si="3"/>
        <v>1E-3</v>
      </c>
      <c r="S13" s="230">
        <f>R13*PARÂMETROS!$E$8</f>
        <v>3.0890000000000001E-2</v>
      </c>
      <c r="T13" s="231">
        <v>1.02</v>
      </c>
      <c r="U13" s="230">
        <f>T13*PARÂMETROS!$E$27</f>
        <v>3.06</v>
      </c>
      <c r="V13" s="228">
        <f t="shared" si="4"/>
        <v>0.54342659999999998</v>
      </c>
      <c r="W13" s="230">
        <f>V13*PARÂMETROS!$E$8</f>
        <v>16.786447674000001</v>
      </c>
      <c r="X13" s="228">
        <f t="shared" si="5"/>
        <v>0.24448319999999998</v>
      </c>
      <c r="Y13" s="230">
        <f>X13*PARÂMETROS!$E$8</f>
        <v>7.5520860479999996</v>
      </c>
      <c r="Z13" s="23"/>
      <c r="AA13" s="23"/>
      <c r="AB13" s="232" t="s">
        <v>1391</v>
      </c>
      <c r="AC13" s="264">
        <f t="shared" si="6"/>
        <v>151.91591872199999</v>
      </c>
      <c r="AD13" s="23"/>
      <c r="AE13" s="224" t="s">
        <v>43</v>
      </c>
      <c r="AF13" s="291">
        <f>PARÂMETROS!$H$3</f>
        <v>40</v>
      </c>
      <c r="AG13" s="267">
        <v>2.1527777777777798E-2</v>
      </c>
      <c r="AH13" s="267">
        <v>1.7361111111111101E-2</v>
      </c>
      <c r="AI13" s="267">
        <v>1.7361111111111101E-2</v>
      </c>
      <c r="AJ13" s="267">
        <v>6.9444444444444397E-3</v>
      </c>
      <c r="AK13" s="267">
        <v>2.0833333333333301E-2</v>
      </c>
      <c r="AL13" s="267">
        <v>6.9444444444444397E-3</v>
      </c>
      <c r="AM13" s="267">
        <v>3.125E-2</v>
      </c>
      <c r="AN13" s="271">
        <v>2</v>
      </c>
      <c r="AO13" s="292">
        <f t="shared" si="7"/>
        <v>0.12222222222222219</v>
      </c>
      <c r="AP13" s="291">
        <f t="shared" si="8"/>
        <v>117.3333333333333</v>
      </c>
      <c r="AQ13" s="272">
        <f t="shared" si="9"/>
        <v>58.66666666666665</v>
      </c>
      <c r="AR13" s="23"/>
      <c r="AS13" s="273">
        <f t="shared" si="10"/>
        <v>151.91591872199999</v>
      </c>
      <c r="AT13" s="274">
        <f t="shared" si="11"/>
        <v>117.3333333333333</v>
      </c>
      <c r="AU13" s="275">
        <v>2</v>
      </c>
      <c r="AV13" s="276">
        <f t="shared" si="12"/>
        <v>58.66666666666665</v>
      </c>
      <c r="AW13" s="293">
        <f t="shared" si="13"/>
        <v>210.58258538866664</v>
      </c>
      <c r="AX13" s="275">
        <v>2</v>
      </c>
      <c r="BS13" s="293">
        <v>80</v>
      </c>
      <c r="BT13" s="293">
        <f t="shared" si="14"/>
        <v>290.58258538866664</v>
      </c>
    </row>
    <row r="14" spans="1:72" ht="27" customHeight="1" x14ac:dyDescent="0.3">
      <c r="A14" s="224" t="s">
        <v>45</v>
      </c>
      <c r="B14" s="225" t="s">
        <v>1384</v>
      </c>
      <c r="C14" s="228">
        <v>4.58</v>
      </c>
      <c r="D14" s="263">
        <f>C14*D5</f>
        <v>89.722200000000001</v>
      </c>
      <c r="E14" s="228">
        <v>2.0609999999999999</v>
      </c>
      <c r="F14" s="263">
        <f>E14*F5</f>
        <v>40.374989999999997</v>
      </c>
      <c r="G14" s="227">
        <f t="shared" si="0"/>
        <v>130.09719000000001</v>
      </c>
      <c r="H14" s="228">
        <v>1.4</v>
      </c>
      <c r="I14" s="227">
        <f>H14*PARÂMETROS!$E$22</f>
        <v>59.317999999999991</v>
      </c>
      <c r="J14" s="228">
        <v>9.1999999999999998E-2</v>
      </c>
      <c r="K14" s="227">
        <f>J14*PARÂMETROS!$E$22</f>
        <v>3.8980399999999995</v>
      </c>
      <c r="L14" s="228">
        <v>2E-3</v>
      </c>
      <c r="M14" s="230">
        <f>L14*PARÂMETROS!$E$8</f>
        <v>6.1780000000000002E-2</v>
      </c>
      <c r="N14" s="228">
        <f t="shared" si="1"/>
        <v>1.3999999999999999E-2</v>
      </c>
      <c r="O14" s="230">
        <f>N14*PARÂMETROS!$E$8</f>
        <v>0.43245999999999996</v>
      </c>
      <c r="P14" s="228">
        <f t="shared" si="2"/>
        <v>9.1999999999999998E-3</v>
      </c>
      <c r="Q14" s="230">
        <f>P14*PARÂMETROS!$E$8</f>
        <v>0.284188</v>
      </c>
      <c r="R14" s="228">
        <f t="shared" si="3"/>
        <v>1.4E-3</v>
      </c>
      <c r="S14" s="230">
        <f>R14*PARÂMETROS!$E$8</f>
        <v>4.3246E-2</v>
      </c>
      <c r="T14" s="231">
        <v>1.1200000000000001</v>
      </c>
      <c r="U14" s="230">
        <f>T14*PARÂMETROS!$E$27</f>
        <v>3.3600000000000003</v>
      </c>
      <c r="V14" s="228">
        <f t="shared" si="4"/>
        <v>0.89722200000000008</v>
      </c>
      <c r="W14" s="230">
        <f>V14*PARÂMETROS!$E$8</f>
        <v>27.715187580000002</v>
      </c>
      <c r="X14" s="228">
        <f t="shared" si="5"/>
        <v>0.40374989999999999</v>
      </c>
      <c r="Y14" s="230">
        <f>X14*PARÂMETROS!$E$8</f>
        <v>12.471834411</v>
      </c>
      <c r="Z14" s="23"/>
      <c r="AA14" s="23"/>
      <c r="AB14" s="232" t="s">
        <v>1392</v>
      </c>
      <c r="AC14" s="264">
        <f t="shared" si="6"/>
        <v>237.68192599100001</v>
      </c>
      <c r="AD14" s="23"/>
      <c r="AE14" s="224" t="s">
        <v>45</v>
      </c>
      <c r="AF14" s="291">
        <f>PARÂMETROS!$H$3</f>
        <v>40</v>
      </c>
      <c r="AG14" s="267">
        <v>2.1527777777777798E-2</v>
      </c>
      <c r="AH14" s="267">
        <v>1.7361111111111101E-2</v>
      </c>
      <c r="AI14" s="267">
        <v>1.7361111111111101E-2</v>
      </c>
      <c r="AJ14" s="267">
        <v>6.9444444444444397E-3</v>
      </c>
      <c r="AK14" s="267">
        <v>2.0833333333333301E-2</v>
      </c>
      <c r="AL14" s="267">
        <v>6.9444444444444397E-3</v>
      </c>
      <c r="AM14" s="267">
        <v>3.125E-2</v>
      </c>
      <c r="AN14" s="271">
        <v>2</v>
      </c>
      <c r="AO14" s="292">
        <f t="shared" si="7"/>
        <v>0.12222222222222219</v>
      </c>
      <c r="AP14" s="291">
        <f t="shared" si="8"/>
        <v>117.3333333333333</v>
      </c>
      <c r="AQ14" s="272">
        <f t="shared" si="9"/>
        <v>58.66666666666665</v>
      </c>
      <c r="AR14" s="23"/>
      <c r="AS14" s="273">
        <f t="shared" si="10"/>
        <v>237.68192599100001</v>
      </c>
      <c r="AT14" s="274">
        <f t="shared" si="11"/>
        <v>117.3333333333333</v>
      </c>
      <c r="AU14" s="275">
        <v>2</v>
      </c>
      <c r="AV14" s="276">
        <f t="shared" si="12"/>
        <v>58.66666666666665</v>
      </c>
      <c r="AW14" s="293">
        <f t="shared" si="13"/>
        <v>296.34859265766664</v>
      </c>
      <c r="AX14" s="275">
        <v>2</v>
      </c>
      <c r="BS14" s="293">
        <v>80</v>
      </c>
      <c r="BT14" s="293">
        <f t="shared" si="14"/>
        <v>376.34859265766664</v>
      </c>
    </row>
    <row r="15" spans="1:72" ht="27" customHeight="1" x14ac:dyDescent="0.3">
      <c r="A15" s="224" t="s">
        <v>47</v>
      </c>
      <c r="B15" s="225" t="s">
        <v>1384</v>
      </c>
      <c r="C15" s="228">
        <v>6.7759999999999998</v>
      </c>
      <c r="D15" s="263">
        <f>C15*D5</f>
        <v>132.74184</v>
      </c>
      <c r="E15" s="228">
        <v>3.0489999999999999</v>
      </c>
      <c r="F15" s="263">
        <f>E15*F5</f>
        <v>59.729909999999997</v>
      </c>
      <c r="G15" s="227">
        <f t="shared" si="0"/>
        <v>192.47174999999999</v>
      </c>
      <c r="H15" s="228">
        <v>1.8</v>
      </c>
      <c r="I15" s="227">
        <f>H15*PARÂMETROS!$E$22</f>
        <v>76.265999999999991</v>
      </c>
      <c r="J15" s="228">
        <v>0.124</v>
      </c>
      <c r="K15" s="227">
        <f>J15*PARÂMETROS!$E$22</f>
        <v>5.2538799999999997</v>
      </c>
      <c r="L15" s="228">
        <v>2E-3</v>
      </c>
      <c r="M15" s="230">
        <f>L15*PARÂMETROS!$E$8</f>
        <v>6.1780000000000002E-2</v>
      </c>
      <c r="N15" s="228">
        <f t="shared" si="1"/>
        <v>1.8000000000000002E-2</v>
      </c>
      <c r="O15" s="230">
        <f>N15*PARÂMETROS!$E$8</f>
        <v>0.55602000000000007</v>
      </c>
      <c r="P15" s="228">
        <f t="shared" si="2"/>
        <v>1.2400000000000001E-2</v>
      </c>
      <c r="Q15" s="230">
        <f>P15*PARÂMETROS!$E$8</f>
        <v>0.38303600000000004</v>
      </c>
      <c r="R15" s="228">
        <f t="shared" si="3"/>
        <v>1.8000000000000004E-3</v>
      </c>
      <c r="S15" s="230">
        <f>R15*PARÂMETROS!$E$8</f>
        <v>5.5602000000000013E-2</v>
      </c>
      <c r="T15" s="231">
        <v>1.22</v>
      </c>
      <c r="U15" s="230">
        <f>T15*PARÂMETROS!$E$27</f>
        <v>3.66</v>
      </c>
      <c r="V15" s="228">
        <f t="shared" si="4"/>
        <v>1.3274184</v>
      </c>
      <c r="W15" s="230">
        <f>V15*PARÂMETROS!$E$8</f>
        <v>41.003954376000003</v>
      </c>
      <c r="X15" s="228">
        <f t="shared" si="5"/>
        <v>0.59729909999999997</v>
      </c>
      <c r="Y15" s="230">
        <f>X15*PARÂMETROS!$E$8</f>
        <v>18.450569199</v>
      </c>
      <c r="Z15" s="23"/>
      <c r="AA15" s="23"/>
      <c r="AB15" s="232" t="s">
        <v>1393</v>
      </c>
      <c r="AC15" s="264">
        <f t="shared" si="6"/>
        <v>338.16259157499996</v>
      </c>
      <c r="AD15" s="23"/>
      <c r="AE15" s="224" t="s">
        <v>47</v>
      </c>
      <c r="AF15" s="291">
        <f>PARÂMETROS!$H$3</f>
        <v>40</v>
      </c>
      <c r="AG15" s="267">
        <v>2.1527777777777798E-2</v>
      </c>
      <c r="AH15" s="267">
        <v>2.7777777777777801E-2</v>
      </c>
      <c r="AI15" s="267">
        <v>2.7777777777777801E-2</v>
      </c>
      <c r="AJ15" s="267">
        <v>6.9444444444444397E-3</v>
      </c>
      <c r="AK15" s="267">
        <v>2.0833333333333301E-2</v>
      </c>
      <c r="AL15" s="267">
        <v>6.9444444444444397E-3</v>
      </c>
      <c r="AM15" s="267">
        <v>3.125E-2</v>
      </c>
      <c r="AN15" s="271">
        <v>1</v>
      </c>
      <c r="AO15" s="292">
        <f t="shared" si="7"/>
        <v>0.1430555555555556</v>
      </c>
      <c r="AP15" s="291">
        <f t="shared" si="8"/>
        <v>137.33333333333337</v>
      </c>
      <c r="AQ15" s="272">
        <f t="shared" si="9"/>
        <v>137.33333333333337</v>
      </c>
      <c r="AR15" s="23"/>
      <c r="AS15" s="273">
        <f t="shared" si="10"/>
        <v>338.16259157499996</v>
      </c>
      <c r="AT15" s="274">
        <f t="shared" si="11"/>
        <v>137.33333333333337</v>
      </c>
      <c r="AU15" s="275">
        <v>1</v>
      </c>
      <c r="AV15" s="276">
        <f t="shared" si="12"/>
        <v>137.33333333333337</v>
      </c>
      <c r="AW15" s="293">
        <f t="shared" si="13"/>
        <v>475.49592490833334</v>
      </c>
      <c r="AX15" s="275">
        <v>1</v>
      </c>
      <c r="BS15" s="293">
        <v>80</v>
      </c>
      <c r="BT15" s="293">
        <f t="shared" si="14"/>
        <v>555.49592490833334</v>
      </c>
    </row>
    <row r="16" spans="1:72" ht="27" customHeight="1" x14ac:dyDescent="0.3">
      <c r="A16" s="224" t="s">
        <v>222</v>
      </c>
      <c r="B16" s="225" t="s">
        <v>1384</v>
      </c>
      <c r="C16" s="228">
        <v>9</v>
      </c>
      <c r="D16" s="263">
        <f>C16*D5</f>
        <v>176.31</v>
      </c>
      <c r="E16" s="228">
        <v>4.05</v>
      </c>
      <c r="F16" s="263">
        <f>E16*F5</f>
        <v>79.339500000000001</v>
      </c>
      <c r="G16" s="227">
        <f t="shared" si="0"/>
        <v>255.64949999999999</v>
      </c>
      <c r="H16" s="228">
        <v>2.5</v>
      </c>
      <c r="I16" s="227">
        <f>H16*PARÂMETROS!$E$22</f>
        <v>105.925</v>
      </c>
      <c r="J16" s="228">
        <v>0.161</v>
      </c>
      <c r="K16" s="227">
        <f>J16*PARÂMETROS!$E$22</f>
        <v>6.8215699999999995</v>
      </c>
      <c r="L16" s="228">
        <v>2E-3</v>
      </c>
      <c r="M16" s="230">
        <f>L16*PARÂMETROS!$E$8</f>
        <v>6.1780000000000002E-2</v>
      </c>
      <c r="N16" s="228">
        <f t="shared" si="1"/>
        <v>2.5000000000000001E-2</v>
      </c>
      <c r="O16" s="230">
        <f>N16*PARÂMETROS!$E$8</f>
        <v>0.7722500000000001</v>
      </c>
      <c r="P16" s="228">
        <f t="shared" si="2"/>
        <v>1.61E-2</v>
      </c>
      <c r="Q16" s="230">
        <f>P16*PARÂMETROS!$E$8</f>
        <v>0.49732900000000002</v>
      </c>
      <c r="R16" s="228">
        <f t="shared" si="3"/>
        <v>2.5000000000000005E-3</v>
      </c>
      <c r="S16" s="230">
        <f>R16*PARÂMETROS!$E$8</f>
        <v>7.7225000000000016E-2</v>
      </c>
      <c r="T16" s="231">
        <v>1.31</v>
      </c>
      <c r="U16" s="230">
        <f>T16*PARÂMETROS!$E$27</f>
        <v>3.93</v>
      </c>
      <c r="V16" s="228">
        <f t="shared" si="4"/>
        <v>1.7631000000000001</v>
      </c>
      <c r="W16" s="230">
        <f>V16*PARÂMETROS!$E$8</f>
        <v>54.462159000000007</v>
      </c>
      <c r="X16" s="228">
        <f t="shared" si="5"/>
        <v>0.79339500000000007</v>
      </c>
      <c r="Y16" s="230">
        <f>X16*PARÂMETROS!$E$8</f>
        <v>24.507971550000004</v>
      </c>
      <c r="Z16" s="23"/>
      <c r="AA16" s="23"/>
      <c r="AB16" s="232" t="s">
        <v>1394</v>
      </c>
      <c r="AC16" s="264">
        <f t="shared" si="6"/>
        <v>452.70478454999994</v>
      </c>
      <c r="AD16" s="23"/>
      <c r="AE16" s="224" t="s">
        <v>222</v>
      </c>
      <c r="AF16" s="291">
        <f>PARÂMETROS!$H$3</f>
        <v>40</v>
      </c>
      <c r="AG16" s="267">
        <v>2.1527777777777798E-2</v>
      </c>
      <c r="AH16" s="267">
        <v>2.7777777777777801E-2</v>
      </c>
      <c r="AI16" s="267">
        <v>2.7777777777777801E-2</v>
      </c>
      <c r="AJ16" s="267">
        <v>6.9444444444444397E-3</v>
      </c>
      <c r="AK16" s="267">
        <v>2.0833333333333301E-2</v>
      </c>
      <c r="AL16" s="267">
        <v>6.9444444444444397E-3</v>
      </c>
      <c r="AM16" s="267">
        <v>3.125E-2</v>
      </c>
      <c r="AN16" s="271">
        <v>1</v>
      </c>
      <c r="AO16" s="292">
        <f t="shared" si="7"/>
        <v>0.1430555555555556</v>
      </c>
      <c r="AP16" s="291">
        <f t="shared" si="8"/>
        <v>137.33333333333337</v>
      </c>
      <c r="AQ16" s="272">
        <f t="shared" si="9"/>
        <v>137.33333333333337</v>
      </c>
      <c r="AR16" s="23"/>
      <c r="AS16" s="273">
        <f t="shared" si="10"/>
        <v>452.70478454999994</v>
      </c>
      <c r="AT16" s="274">
        <f t="shared" si="11"/>
        <v>137.33333333333337</v>
      </c>
      <c r="AU16" s="275">
        <v>1</v>
      </c>
      <c r="AV16" s="276">
        <f t="shared" si="12"/>
        <v>137.33333333333337</v>
      </c>
      <c r="AW16" s="293">
        <f t="shared" si="13"/>
        <v>590.03811788333337</v>
      </c>
      <c r="AX16" s="275">
        <v>1</v>
      </c>
      <c r="BS16" s="293">
        <v>80</v>
      </c>
      <c r="BT16" s="293">
        <f t="shared" si="14"/>
        <v>670.03811788333337</v>
      </c>
    </row>
    <row r="17" spans="1:72" ht="27" customHeight="1" x14ac:dyDescent="0.3">
      <c r="A17" s="224" t="s">
        <v>226</v>
      </c>
      <c r="B17" s="225" t="s">
        <v>1384</v>
      </c>
      <c r="C17" s="228">
        <v>15.164</v>
      </c>
      <c r="D17" s="263">
        <f>C17*D5</f>
        <v>297.06275999999997</v>
      </c>
      <c r="E17" s="228">
        <v>6.8239999999999998</v>
      </c>
      <c r="F17" s="263">
        <f>E17*F5</f>
        <v>133.68215999999998</v>
      </c>
      <c r="G17" s="227">
        <f t="shared" si="0"/>
        <v>430.74491999999998</v>
      </c>
      <c r="H17" s="228">
        <v>3</v>
      </c>
      <c r="I17" s="227">
        <f>H17*PARÂMETROS!$E$22</f>
        <v>127.10999999999999</v>
      </c>
      <c r="J17" s="228">
        <v>0.19400000000000001</v>
      </c>
      <c r="K17" s="227">
        <f>J17*PARÂMETROS!$E$22</f>
        <v>8.2197800000000001</v>
      </c>
      <c r="L17" s="228">
        <v>2E-3</v>
      </c>
      <c r="M17" s="230">
        <f>L17*PARÂMETROS!$E$8</f>
        <v>6.1780000000000002E-2</v>
      </c>
      <c r="N17" s="228">
        <f t="shared" si="1"/>
        <v>0.03</v>
      </c>
      <c r="O17" s="230">
        <f>N17*PARÂMETROS!$E$8</f>
        <v>0.92669999999999997</v>
      </c>
      <c r="P17" s="228">
        <f t="shared" si="2"/>
        <v>1.9400000000000001E-2</v>
      </c>
      <c r="Q17" s="230">
        <f>P17*PARÂMETROS!$E$8</f>
        <v>0.59926600000000008</v>
      </c>
      <c r="R17" s="228">
        <f t="shared" si="3"/>
        <v>3.0000000000000001E-3</v>
      </c>
      <c r="S17" s="230">
        <f>R17*PARÂMETROS!$E$8</f>
        <v>9.2670000000000002E-2</v>
      </c>
      <c r="T17" s="231">
        <v>1.4</v>
      </c>
      <c r="U17" s="230">
        <f>T17*PARÂMETROS!$E$27</f>
        <v>4.1999999999999993</v>
      </c>
      <c r="V17" s="228">
        <f t="shared" si="4"/>
        <v>2.9706275999999998</v>
      </c>
      <c r="W17" s="230">
        <f>V17*PARÂMETROS!$E$8</f>
        <v>91.762686563999992</v>
      </c>
      <c r="X17" s="228">
        <f t="shared" si="5"/>
        <v>1.3368215999999999</v>
      </c>
      <c r="Y17" s="230">
        <f>X17*PARÂMETROS!$E$8</f>
        <v>41.294419224000002</v>
      </c>
      <c r="Z17" s="23"/>
      <c r="AA17" s="23"/>
      <c r="AB17" s="232" t="s">
        <v>1395</v>
      </c>
      <c r="AC17" s="264">
        <f t="shared" si="6"/>
        <v>705.01222178799992</v>
      </c>
      <c r="AD17" s="23"/>
      <c r="AE17" s="224" t="s">
        <v>226</v>
      </c>
      <c r="AF17" s="291">
        <f>PARÂMETROS!$H$3</f>
        <v>40</v>
      </c>
      <c r="AG17" s="267">
        <v>2.1527777777777798E-2</v>
      </c>
      <c r="AH17" s="267">
        <v>2.7777777777777801E-2</v>
      </c>
      <c r="AI17" s="267">
        <v>2.7777777777777801E-2</v>
      </c>
      <c r="AJ17" s="267">
        <v>6.9444444444444397E-3</v>
      </c>
      <c r="AK17" s="267">
        <v>2.0833333333333301E-2</v>
      </c>
      <c r="AL17" s="267">
        <v>6.9444444444444397E-3</v>
      </c>
      <c r="AM17" s="267">
        <v>3.125E-2</v>
      </c>
      <c r="AN17" s="271">
        <v>1</v>
      </c>
      <c r="AO17" s="292">
        <f t="shared" si="7"/>
        <v>0.1430555555555556</v>
      </c>
      <c r="AP17" s="291">
        <f t="shared" si="8"/>
        <v>137.33333333333337</v>
      </c>
      <c r="AQ17" s="272">
        <f t="shared" si="9"/>
        <v>137.33333333333337</v>
      </c>
      <c r="AR17" s="23"/>
      <c r="AS17" s="273">
        <f t="shared" si="10"/>
        <v>705.01222178799992</v>
      </c>
      <c r="AT17" s="274">
        <f t="shared" si="11"/>
        <v>137.33333333333337</v>
      </c>
      <c r="AU17" s="275">
        <v>1</v>
      </c>
      <c r="AV17" s="276">
        <f t="shared" si="12"/>
        <v>137.33333333333337</v>
      </c>
      <c r="AW17" s="293">
        <f t="shared" si="13"/>
        <v>842.34555512133329</v>
      </c>
      <c r="AX17" s="275">
        <v>1</v>
      </c>
      <c r="BS17" s="293">
        <v>80</v>
      </c>
      <c r="BT17" s="293">
        <f t="shared" si="14"/>
        <v>922.34555512133329</v>
      </c>
    </row>
    <row r="18" spans="1:72" ht="27" customHeight="1" x14ac:dyDescent="0.3">
      <c r="A18" s="224" t="s">
        <v>230</v>
      </c>
      <c r="B18" s="225" t="s">
        <v>1384</v>
      </c>
      <c r="C18" s="228">
        <v>21</v>
      </c>
      <c r="D18" s="263">
        <f>C18*D5</f>
        <v>411.39</v>
      </c>
      <c r="E18" s="228">
        <v>9.4</v>
      </c>
      <c r="F18" s="263">
        <f>E18*F5</f>
        <v>184.14600000000002</v>
      </c>
      <c r="G18" s="227">
        <f t="shared" si="0"/>
        <v>595.53600000000006</v>
      </c>
      <c r="H18" s="228">
        <v>3.4</v>
      </c>
      <c r="I18" s="227">
        <f>H18*PARÂMETROS!$E$22</f>
        <v>144.05799999999999</v>
      </c>
      <c r="J18" s="228">
        <v>0.25</v>
      </c>
      <c r="K18" s="227">
        <f>J18*PARÂMETROS!$E$22</f>
        <v>10.592499999999999</v>
      </c>
      <c r="L18" s="228">
        <v>2E-3</v>
      </c>
      <c r="M18" s="230">
        <f>L18*PARÂMETROS!$E$8</f>
        <v>6.1780000000000002E-2</v>
      </c>
      <c r="N18" s="228">
        <f t="shared" si="1"/>
        <v>3.4000000000000002E-2</v>
      </c>
      <c r="O18" s="230">
        <f>N18*PARÂMETROS!$E$8</f>
        <v>1.0502600000000002</v>
      </c>
      <c r="P18" s="228">
        <f t="shared" si="2"/>
        <v>2.5000000000000001E-2</v>
      </c>
      <c r="Q18" s="230">
        <f>P18*PARÂMETROS!$E$8</f>
        <v>0.7722500000000001</v>
      </c>
      <c r="R18" s="228">
        <f t="shared" si="3"/>
        <v>3.4000000000000002E-3</v>
      </c>
      <c r="S18" s="230">
        <f>R18*PARÂMETROS!$E$8</f>
        <v>0.10502600000000001</v>
      </c>
      <c r="T18" s="231">
        <v>1.52</v>
      </c>
      <c r="U18" s="230">
        <f>T18*PARÂMETROS!$E$27</f>
        <v>4.5600000000000005</v>
      </c>
      <c r="V18" s="228">
        <f t="shared" si="4"/>
        <v>4.1139000000000001</v>
      </c>
      <c r="W18" s="230">
        <f>V18*PARÂMETROS!$E$8</f>
        <v>127.078371</v>
      </c>
      <c r="X18" s="228">
        <f t="shared" si="5"/>
        <v>1.8414600000000001</v>
      </c>
      <c r="Y18" s="230">
        <f>X18*PARÂMETROS!$E$8</f>
        <v>56.882699400000007</v>
      </c>
      <c r="Z18" s="23"/>
      <c r="AA18" s="23"/>
      <c r="AB18" s="232" t="s">
        <v>1396</v>
      </c>
      <c r="AC18" s="264">
        <f t="shared" si="6"/>
        <v>940.69688640000015</v>
      </c>
      <c r="AD18" s="23"/>
      <c r="AE18" s="224" t="s">
        <v>230</v>
      </c>
      <c r="AF18" s="291">
        <f>PARÂMETROS!$H$3</f>
        <v>40</v>
      </c>
      <c r="AG18" s="267">
        <v>2.1527777777777798E-2</v>
      </c>
      <c r="AH18" s="267">
        <v>4.1666666666666699E-2</v>
      </c>
      <c r="AI18" s="267">
        <v>3.4722222222222203E-2</v>
      </c>
      <c r="AJ18" s="267">
        <v>6.9444444444444397E-3</v>
      </c>
      <c r="AK18" s="267">
        <v>2.0833333333333301E-2</v>
      </c>
      <c r="AL18" s="267">
        <v>6.9444444444444397E-3</v>
      </c>
      <c r="AM18" s="267">
        <v>3.125E-2</v>
      </c>
      <c r="AN18" s="271">
        <v>1</v>
      </c>
      <c r="AO18" s="292">
        <f t="shared" si="7"/>
        <v>0.16388888888888892</v>
      </c>
      <c r="AP18" s="291">
        <f t="shared" si="8"/>
        <v>157.33333333333337</v>
      </c>
      <c r="AQ18" s="272">
        <f t="shared" si="9"/>
        <v>157.33333333333337</v>
      </c>
      <c r="AR18" s="23"/>
      <c r="AS18" s="273">
        <f t="shared" si="10"/>
        <v>940.69688640000015</v>
      </c>
      <c r="AT18" s="274">
        <f t="shared" si="11"/>
        <v>157.33333333333337</v>
      </c>
      <c r="AU18" s="275">
        <v>1</v>
      </c>
      <c r="AV18" s="276">
        <f t="shared" si="12"/>
        <v>157.33333333333337</v>
      </c>
      <c r="AW18" s="293">
        <f t="shared" si="13"/>
        <v>1098.0302197333335</v>
      </c>
      <c r="AX18" s="275">
        <v>1</v>
      </c>
      <c r="BS18" s="293">
        <v>80</v>
      </c>
      <c r="BT18" s="293">
        <f t="shared" si="14"/>
        <v>1178.0302197333335</v>
      </c>
    </row>
    <row r="19" spans="1:72" ht="27" customHeight="1" x14ac:dyDescent="0.3">
      <c r="A19" s="224" t="s">
        <v>234</v>
      </c>
      <c r="B19" s="225" t="s">
        <v>1384</v>
      </c>
      <c r="C19" s="228">
        <v>30</v>
      </c>
      <c r="D19" s="263">
        <f>C19*D5</f>
        <v>587.70000000000005</v>
      </c>
      <c r="E19" s="228">
        <v>13.5</v>
      </c>
      <c r="F19" s="263">
        <f>E19*F5</f>
        <v>264.46499999999997</v>
      </c>
      <c r="G19" s="227">
        <f t="shared" si="0"/>
        <v>852.16499999999996</v>
      </c>
      <c r="H19" s="228">
        <v>3.9</v>
      </c>
      <c r="I19" s="227">
        <f>H19*PARÂMETROS!$E$22</f>
        <v>165.24299999999999</v>
      </c>
      <c r="J19" s="228">
        <v>0.30099999999999999</v>
      </c>
      <c r="K19" s="227">
        <f>J19*PARÂMETROS!$E$22</f>
        <v>12.753369999999999</v>
      </c>
      <c r="L19" s="228">
        <v>2E-3</v>
      </c>
      <c r="M19" s="230">
        <f>L19*PARÂMETROS!$E$8</f>
        <v>6.1780000000000002E-2</v>
      </c>
      <c r="N19" s="228">
        <f t="shared" si="1"/>
        <v>3.9E-2</v>
      </c>
      <c r="O19" s="230">
        <f>N19*PARÂMETROS!$E$8</f>
        <v>1.2047099999999999</v>
      </c>
      <c r="P19" s="228">
        <f t="shared" si="2"/>
        <v>3.0100000000000002E-2</v>
      </c>
      <c r="Q19" s="230">
        <f>P19*PARÂMETROS!$E$8</f>
        <v>0.92978900000000009</v>
      </c>
      <c r="R19" s="228">
        <f t="shared" si="3"/>
        <v>3.9000000000000003E-3</v>
      </c>
      <c r="S19" s="230">
        <f>R19*PARÂMETROS!$E$8</f>
        <v>0.12047100000000001</v>
      </c>
      <c r="T19" s="231">
        <v>1.62</v>
      </c>
      <c r="U19" s="230">
        <f>T19*PARÂMETROS!$E$27</f>
        <v>4.8600000000000003</v>
      </c>
      <c r="V19" s="228">
        <f t="shared" si="4"/>
        <v>5.8770000000000007</v>
      </c>
      <c r="W19" s="230">
        <f>V19*PARÂMETROS!$E$8</f>
        <v>181.54053000000002</v>
      </c>
      <c r="X19" s="228">
        <f t="shared" si="5"/>
        <v>2.6446499999999999</v>
      </c>
      <c r="Y19" s="230">
        <f>X19*PARÂMETROS!$E$8</f>
        <v>81.693238500000007</v>
      </c>
      <c r="Z19" s="23"/>
      <c r="AA19" s="23"/>
      <c r="AB19" s="232" t="s">
        <v>1397</v>
      </c>
      <c r="AC19" s="264">
        <f t="shared" si="6"/>
        <v>1300.5718884999999</v>
      </c>
      <c r="AD19" s="23"/>
      <c r="AE19" s="224" t="s">
        <v>234</v>
      </c>
      <c r="AF19" s="291">
        <f>PARÂMETROS!$H$3</f>
        <v>40</v>
      </c>
      <c r="AG19" s="267">
        <v>2.1527777777777798E-2</v>
      </c>
      <c r="AH19" s="267">
        <v>4.1666666666666699E-2</v>
      </c>
      <c r="AI19" s="267">
        <v>8.3333333333333301E-2</v>
      </c>
      <c r="AJ19" s="267">
        <v>6.9444444444444397E-3</v>
      </c>
      <c r="AK19" s="267">
        <v>2.0833333333333301E-2</v>
      </c>
      <c r="AL19" s="267">
        <v>6.9444444444444397E-3</v>
      </c>
      <c r="AM19" s="267">
        <v>3.125E-2</v>
      </c>
      <c r="AN19" s="271">
        <v>1</v>
      </c>
      <c r="AO19" s="292">
        <f t="shared" si="7"/>
        <v>0.21249999999999997</v>
      </c>
      <c r="AP19" s="291">
        <f t="shared" si="8"/>
        <v>203.99999999999994</v>
      </c>
      <c r="AQ19" s="272">
        <f t="shared" si="9"/>
        <v>203.99999999999994</v>
      </c>
      <c r="AR19" s="23"/>
      <c r="AS19" s="273">
        <f t="shared" si="10"/>
        <v>1300.5718884999999</v>
      </c>
      <c r="AT19" s="274">
        <f t="shared" si="11"/>
        <v>203.99999999999994</v>
      </c>
      <c r="AU19" s="275">
        <v>1</v>
      </c>
      <c r="AV19" s="276">
        <f t="shared" si="12"/>
        <v>203.99999999999994</v>
      </c>
      <c r="AW19" s="293">
        <f t="shared" si="13"/>
        <v>1504.5718884999999</v>
      </c>
      <c r="AX19" s="275">
        <v>1</v>
      </c>
      <c r="BS19" s="293">
        <v>80</v>
      </c>
      <c r="BT19" s="293">
        <f t="shared" si="14"/>
        <v>1584.5718884999999</v>
      </c>
    </row>
    <row r="20" spans="1:72" ht="27" customHeight="1" x14ac:dyDescent="0.3">
      <c r="A20" s="224" t="s">
        <v>238</v>
      </c>
      <c r="B20" s="225" t="s">
        <v>1384</v>
      </c>
      <c r="C20" s="228">
        <v>34</v>
      </c>
      <c r="D20" s="263">
        <f>C20*D5</f>
        <v>666.06</v>
      </c>
      <c r="E20" s="228">
        <v>15.3</v>
      </c>
      <c r="F20" s="263">
        <f>E20*F5</f>
        <v>299.72700000000003</v>
      </c>
      <c r="G20" s="227">
        <f t="shared" si="0"/>
        <v>965.78700000000003</v>
      </c>
      <c r="H20" s="228">
        <v>4.5</v>
      </c>
      <c r="I20" s="227">
        <f>H20*PARÂMETROS!$E$22</f>
        <v>190.66499999999999</v>
      </c>
      <c r="J20" s="228">
        <v>0.35699999999999998</v>
      </c>
      <c r="K20" s="227">
        <f>J20*PARÂMETROS!$E$22</f>
        <v>15.126089999999998</v>
      </c>
      <c r="L20" s="228">
        <v>2E-3</v>
      </c>
      <c r="M20" s="230">
        <f>L20*PARÂMETROS!$E$8</f>
        <v>6.1780000000000002E-2</v>
      </c>
      <c r="N20" s="228">
        <f t="shared" si="1"/>
        <v>4.4999999999999998E-2</v>
      </c>
      <c r="O20" s="230">
        <f>N20*PARÂMETROS!$E$8</f>
        <v>1.39005</v>
      </c>
      <c r="P20" s="228">
        <f t="shared" si="2"/>
        <v>3.5700000000000003E-2</v>
      </c>
      <c r="Q20" s="230">
        <f>P20*PARÂMETROS!$E$8</f>
        <v>1.102773</v>
      </c>
      <c r="R20" s="228">
        <f t="shared" si="3"/>
        <v>4.4999999999999997E-3</v>
      </c>
      <c r="S20" s="230">
        <f>R20*PARÂMETROS!$E$8</f>
        <v>0.13900499999999999</v>
      </c>
      <c r="T20" s="231">
        <v>1.72</v>
      </c>
      <c r="U20" s="230">
        <f>T20*PARÂMETROS!$E$27</f>
        <v>5.16</v>
      </c>
      <c r="V20" s="228">
        <f t="shared" si="4"/>
        <v>6.6605999999999996</v>
      </c>
      <c r="W20" s="230">
        <f>V20*PARÂMETROS!$E$8</f>
        <v>205.74593400000001</v>
      </c>
      <c r="X20" s="228">
        <f t="shared" si="5"/>
        <v>2.9972700000000003</v>
      </c>
      <c r="Y20" s="230">
        <f>X20*PARÂMETROS!$E$8</f>
        <v>92.585670300000018</v>
      </c>
      <c r="Z20" s="23"/>
      <c r="AA20" s="23"/>
      <c r="AB20" s="232" t="s">
        <v>1398</v>
      </c>
      <c r="AC20" s="264">
        <f t="shared" si="6"/>
        <v>1477.7633023000001</v>
      </c>
      <c r="AD20" s="23"/>
      <c r="AE20" s="224" t="s">
        <v>238</v>
      </c>
      <c r="AF20" s="291">
        <f>PARÂMETROS!$H$3</f>
        <v>40</v>
      </c>
      <c r="AG20" s="267">
        <v>4.1666666666666699E-2</v>
      </c>
      <c r="AH20" s="267">
        <v>0.125</v>
      </c>
      <c r="AI20" s="267">
        <v>8.3333333333333301E-2</v>
      </c>
      <c r="AJ20" s="267">
        <v>6.9444444444444397E-3</v>
      </c>
      <c r="AK20" s="267">
        <v>2.0833333333333301E-2</v>
      </c>
      <c r="AL20" s="267">
        <v>6.9444444444444397E-3</v>
      </c>
      <c r="AM20" s="267">
        <v>3.125E-2</v>
      </c>
      <c r="AN20" s="271">
        <v>1</v>
      </c>
      <c r="AO20" s="292">
        <f t="shared" si="7"/>
        <v>0.31597222222222215</v>
      </c>
      <c r="AP20" s="291">
        <f t="shared" si="8"/>
        <v>303.33333333333326</v>
      </c>
      <c r="AQ20" s="272">
        <f t="shared" si="9"/>
        <v>303.33333333333326</v>
      </c>
      <c r="AR20" s="23"/>
      <c r="AS20" s="273">
        <f t="shared" si="10"/>
        <v>1477.7633023000001</v>
      </c>
      <c r="AT20" s="274">
        <f t="shared" si="11"/>
        <v>303.33333333333326</v>
      </c>
      <c r="AU20" s="275">
        <v>1</v>
      </c>
      <c r="AV20" s="276">
        <f t="shared" si="12"/>
        <v>303.33333333333326</v>
      </c>
      <c r="AW20" s="293">
        <f t="shared" si="13"/>
        <v>1781.0966356333333</v>
      </c>
      <c r="AX20" s="275">
        <v>1</v>
      </c>
      <c r="BS20" s="293">
        <v>80</v>
      </c>
      <c r="BT20" s="293">
        <f t="shared" si="14"/>
        <v>1861.0966356333333</v>
      </c>
    </row>
    <row r="21" spans="1:72" ht="27" customHeight="1" x14ac:dyDescent="0.3">
      <c r="A21" s="224" t="s">
        <v>242</v>
      </c>
      <c r="B21" s="225" t="s">
        <v>1384</v>
      </c>
      <c r="C21" s="228">
        <v>42</v>
      </c>
      <c r="D21" s="263">
        <f>C21*D5</f>
        <v>822.78</v>
      </c>
      <c r="E21" s="228">
        <v>18.899999999999999</v>
      </c>
      <c r="F21" s="263">
        <f>E21*F5</f>
        <v>370.25099999999998</v>
      </c>
      <c r="G21" s="227">
        <f t="shared" si="0"/>
        <v>1193.0309999999999</v>
      </c>
      <c r="H21" s="228">
        <v>5</v>
      </c>
      <c r="I21" s="227">
        <f>H21*PARÂMETROS!$E$22</f>
        <v>211.85</v>
      </c>
      <c r="J21" s="228">
        <v>0.41799999999999998</v>
      </c>
      <c r="K21" s="227">
        <f>J21*PARÂMETROS!$E$22</f>
        <v>17.710659999999997</v>
      </c>
      <c r="L21" s="228">
        <v>2E-3</v>
      </c>
      <c r="M21" s="230">
        <f>L21*PARÂMETROS!$E$8</f>
        <v>6.1780000000000002E-2</v>
      </c>
      <c r="N21" s="228">
        <f t="shared" si="1"/>
        <v>0.05</v>
      </c>
      <c r="O21" s="230">
        <f>N21*PARÂMETROS!$E$8</f>
        <v>1.5445000000000002</v>
      </c>
      <c r="P21" s="228">
        <f t="shared" si="2"/>
        <v>4.1800000000000004E-2</v>
      </c>
      <c r="Q21" s="230">
        <f>P21*PARÂMETROS!$E$8</f>
        <v>1.2912020000000002</v>
      </c>
      <c r="R21" s="228">
        <f t="shared" si="3"/>
        <v>5.000000000000001E-3</v>
      </c>
      <c r="S21" s="230">
        <f>R21*PARÂMETROS!$E$8</f>
        <v>0.15445000000000003</v>
      </c>
      <c r="T21" s="231">
        <v>1.82</v>
      </c>
      <c r="U21" s="230">
        <f>T21*PARÂMETROS!$E$27</f>
        <v>5.46</v>
      </c>
      <c r="V21" s="228">
        <f t="shared" si="4"/>
        <v>8.2278000000000002</v>
      </c>
      <c r="W21" s="230">
        <f>V21*PARÂMETROS!$E$8</f>
        <v>254.15674200000001</v>
      </c>
      <c r="X21" s="228">
        <f t="shared" si="5"/>
        <v>3.7025099999999997</v>
      </c>
      <c r="Y21" s="230">
        <f>X21*PARÂMETROS!$E$8</f>
        <v>114.3705339</v>
      </c>
      <c r="Z21" s="23"/>
      <c r="AA21" s="23"/>
      <c r="AB21" s="232" t="s">
        <v>1399</v>
      </c>
      <c r="AC21" s="264">
        <f t="shared" si="6"/>
        <v>1799.6308679000001</v>
      </c>
      <c r="AD21" s="23"/>
      <c r="AE21" s="224" t="s">
        <v>242</v>
      </c>
      <c r="AF21" s="291">
        <f>PARÂMETROS!$H$3</f>
        <v>40</v>
      </c>
      <c r="AG21" s="267">
        <v>4.1666666666666699E-2</v>
      </c>
      <c r="AH21" s="267">
        <v>0.125</v>
      </c>
      <c r="AI21" s="267">
        <v>8.3333333333333301E-2</v>
      </c>
      <c r="AJ21" s="267">
        <v>6.9444444444444397E-3</v>
      </c>
      <c r="AK21" s="267">
        <v>2.0833333333333301E-2</v>
      </c>
      <c r="AL21" s="267">
        <v>6.9444444444444397E-3</v>
      </c>
      <c r="AM21" s="267">
        <v>3.125E-2</v>
      </c>
      <c r="AN21" s="271">
        <v>1</v>
      </c>
      <c r="AO21" s="292">
        <f t="shared" si="7"/>
        <v>0.31597222222222215</v>
      </c>
      <c r="AP21" s="291">
        <f t="shared" si="8"/>
        <v>303.33333333333326</v>
      </c>
      <c r="AQ21" s="272">
        <f t="shared" si="9"/>
        <v>303.33333333333326</v>
      </c>
      <c r="AR21" s="23"/>
      <c r="AS21" s="273">
        <f t="shared" si="10"/>
        <v>1799.6308679000001</v>
      </c>
      <c r="AT21" s="274">
        <f t="shared" si="11"/>
        <v>303.33333333333326</v>
      </c>
      <c r="AU21" s="275">
        <v>1</v>
      </c>
      <c r="AV21" s="276">
        <f t="shared" si="12"/>
        <v>303.33333333333326</v>
      </c>
      <c r="AW21" s="293">
        <f t="shared" si="13"/>
        <v>2102.9642012333334</v>
      </c>
      <c r="AX21" s="275">
        <v>1</v>
      </c>
      <c r="BS21" s="293">
        <v>80</v>
      </c>
      <c r="BT21" s="293">
        <f t="shared" si="14"/>
        <v>2182.9642012333334</v>
      </c>
    </row>
    <row r="22" spans="1:72" ht="27" customHeight="1" x14ac:dyDescent="0.3">
      <c r="A22" s="224" t="s">
        <v>246</v>
      </c>
      <c r="B22" s="225" t="s">
        <v>1384</v>
      </c>
      <c r="C22" s="228">
        <v>49</v>
      </c>
      <c r="D22" s="263">
        <f>C22*D5</f>
        <v>959.91</v>
      </c>
      <c r="E22" s="228">
        <v>22.05</v>
      </c>
      <c r="F22" s="263">
        <f>E22*F5</f>
        <v>431.95949999999999</v>
      </c>
      <c r="G22" s="227">
        <f t="shared" si="0"/>
        <v>1391.8695</v>
      </c>
      <c r="H22" s="228">
        <v>5.4</v>
      </c>
      <c r="I22" s="227">
        <f>H22*PARÂMETROS!$E$22</f>
        <v>228.798</v>
      </c>
      <c r="J22" s="228">
        <v>0.498</v>
      </c>
      <c r="K22" s="227">
        <f>J22*PARÂMETROS!$E$22</f>
        <v>21.100259999999999</v>
      </c>
      <c r="L22" s="228">
        <v>2E-3</v>
      </c>
      <c r="M22" s="230">
        <f>L22*PARÂMETROS!$E$8</f>
        <v>6.1780000000000002E-2</v>
      </c>
      <c r="N22" s="228">
        <f t="shared" si="1"/>
        <v>5.4000000000000006E-2</v>
      </c>
      <c r="O22" s="230">
        <f>N22*PARÂMETROS!$E$8</f>
        <v>1.6680600000000003</v>
      </c>
      <c r="P22" s="228">
        <f t="shared" si="2"/>
        <v>4.9800000000000004E-2</v>
      </c>
      <c r="Q22" s="230">
        <f>P22*PARÂMETROS!$E$8</f>
        <v>1.5383220000000002</v>
      </c>
      <c r="R22" s="228">
        <f t="shared" si="3"/>
        <v>5.4000000000000012E-3</v>
      </c>
      <c r="S22" s="230">
        <f>R22*PARÂMETROS!$E$8</f>
        <v>0.16680600000000004</v>
      </c>
      <c r="T22" s="231">
        <v>1.92</v>
      </c>
      <c r="U22" s="230">
        <f>T22*PARÂMETROS!$E$27</f>
        <v>5.76</v>
      </c>
      <c r="V22" s="228">
        <f t="shared" si="4"/>
        <v>9.5991</v>
      </c>
      <c r="W22" s="230">
        <f>V22*PARÂMETROS!$E$8</f>
        <v>296.51619900000003</v>
      </c>
      <c r="X22" s="228">
        <f t="shared" si="5"/>
        <v>4.3195949999999996</v>
      </c>
      <c r="Y22" s="230">
        <f>X22*PARÂMETROS!$E$8</f>
        <v>133.43228954999998</v>
      </c>
      <c r="Z22" s="23"/>
      <c r="AA22" s="23"/>
      <c r="AB22" s="232" t="s">
        <v>1400</v>
      </c>
      <c r="AC22" s="264">
        <f t="shared" si="6"/>
        <v>2080.9112165500001</v>
      </c>
      <c r="AD22" s="23"/>
      <c r="AE22" s="224" t="s">
        <v>246</v>
      </c>
      <c r="AF22" s="291">
        <f>PARÂMETROS!$H$3</f>
        <v>40</v>
      </c>
      <c r="AG22" s="267">
        <v>4.1666666666666699E-2</v>
      </c>
      <c r="AH22" s="267">
        <v>0.125</v>
      </c>
      <c r="AI22" s="267">
        <v>8.3333333333333301E-2</v>
      </c>
      <c r="AJ22" s="267">
        <v>6.9444444444444397E-3</v>
      </c>
      <c r="AK22" s="267">
        <v>2.0833333333333301E-2</v>
      </c>
      <c r="AL22" s="267">
        <v>6.9444444444444397E-3</v>
      </c>
      <c r="AM22" s="267">
        <v>3.125E-2</v>
      </c>
      <c r="AN22" s="271">
        <v>1</v>
      </c>
      <c r="AO22" s="292">
        <f t="shared" si="7"/>
        <v>0.31597222222222215</v>
      </c>
      <c r="AP22" s="291">
        <f t="shared" si="8"/>
        <v>303.33333333333326</v>
      </c>
      <c r="AQ22" s="272">
        <f t="shared" si="9"/>
        <v>303.33333333333326</v>
      </c>
      <c r="AR22" s="23"/>
      <c r="AS22" s="273">
        <f t="shared" si="10"/>
        <v>2080.9112165500001</v>
      </c>
      <c r="AT22" s="274">
        <f t="shared" si="11"/>
        <v>303.33333333333326</v>
      </c>
      <c r="AU22" s="275">
        <v>1</v>
      </c>
      <c r="AV22" s="276">
        <f t="shared" si="12"/>
        <v>303.33333333333326</v>
      </c>
      <c r="AW22" s="293">
        <f t="shared" si="13"/>
        <v>2384.2445498833331</v>
      </c>
      <c r="AX22" s="275">
        <v>1</v>
      </c>
      <c r="BS22" s="293">
        <v>80</v>
      </c>
      <c r="BT22" s="293">
        <f t="shared" si="14"/>
        <v>2464.2445498833331</v>
      </c>
    </row>
    <row r="23" spans="1:72" ht="27" customHeight="1" x14ac:dyDescent="0.3">
      <c r="A23" s="224" t="s">
        <v>250</v>
      </c>
      <c r="B23" s="225" t="s">
        <v>1384</v>
      </c>
      <c r="C23" s="228">
        <v>74</v>
      </c>
      <c r="D23" s="263">
        <f>C23*D5</f>
        <v>1449.66</v>
      </c>
      <c r="E23" s="228">
        <v>33.299999999999997</v>
      </c>
      <c r="F23" s="263">
        <f>E23*F5</f>
        <v>652.34699999999998</v>
      </c>
      <c r="G23" s="227">
        <f t="shared" si="0"/>
        <v>2102.0070000000001</v>
      </c>
      <c r="H23" s="228">
        <v>6</v>
      </c>
      <c r="I23" s="227">
        <f>H23*PARÂMETROS!$E$22</f>
        <v>254.21999999999997</v>
      </c>
      <c r="J23" s="228">
        <v>0.54</v>
      </c>
      <c r="K23" s="227">
        <f>J23*PARÂMETROS!$E$22</f>
        <v>22.879799999999999</v>
      </c>
      <c r="L23" s="228">
        <v>2E-3</v>
      </c>
      <c r="M23" s="230">
        <f>L23*PARÂMETROS!$E$8</f>
        <v>6.1780000000000002E-2</v>
      </c>
      <c r="N23" s="228">
        <f t="shared" si="1"/>
        <v>0.06</v>
      </c>
      <c r="O23" s="230">
        <f>N23*PARÂMETROS!$E$8</f>
        <v>1.8533999999999999</v>
      </c>
      <c r="P23" s="228">
        <f t="shared" si="2"/>
        <v>5.4000000000000006E-2</v>
      </c>
      <c r="Q23" s="230">
        <f>P23*PARÂMETROS!$E$8</f>
        <v>1.6680600000000003</v>
      </c>
      <c r="R23" s="228">
        <f t="shared" si="3"/>
        <v>6.0000000000000001E-3</v>
      </c>
      <c r="S23" s="230">
        <f>R23*PARÂMETROS!$E$8</f>
        <v>0.18534</v>
      </c>
      <c r="T23" s="231">
        <v>2</v>
      </c>
      <c r="U23" s="230">
        <f>T23*PARÂMETROS!$E$27</f>
        <v>6</v>
      </c>
      <c r="V23" s="228">
        <f t="shared" si="4"/>
        <v>14.496600000000001</v>
      </c>
      <c r="W23" s="230">
        <f>V23*PARÂMETROS!$E$8</f>
        <v>447.79997400000002</v>
      </c>
      <c r="X23" s="228">
        <f t="shared" si="5"/>
        <v>6.5234699999999997</v>
      </c>
      <c r="Y23" s="230">
        <f>X23*PARÂMETROS!$E$8</f>
        <v>201.5099883</v>
      </c>
      <c r="Z23" s="23"/>
      <c r="AA23" s="23"/>
      <c r="AB23" s="232" t="s">
        <v>1401</v>
      </c>
      <c r="AC23" s="264">
        <f t="shared" si="6"/>
        <v>3038.1853422999998</v>
      </c>
      <c r="AD23" s="23"/>
      <c r="AE23" s="224" t="s">
        <v>250</v>
      </c>
      <c r="AF23" s="291">
        <f>PARÂMETROS!$H$3</f>
        <v>40</v>
      </c>
      <c r="AG23" s="267">
        <v>4.1666666666666699E-2</v>
      </c>
      <c r="AH23" s="267">
        <v>0.125</v>
      </c>
      <c r="AI23" s="267">
        <v>8.3333333333333301E-2</v>
      </c>
      <c r="AJ23" s="267">
        <v>6.9444444444444397E-3</v>
      </c>
      <c r="AK23" s="267">
        <v>2.0833333333333301E-2</v>
      </c>
      <c r="AL23" s="267">
        <v>6.9444444444444397E-3</v>
      </c>
      <c r="AM23" s="267">
        <v>3.125E-2</v>
      </c>
      <c r="AN23" s="271">
        <v>1</v>
      </c>
      <c r="AO23" s="292">
        <f t="shared" si="7"/>
        <v>0.31597222222222215</v>
      </c>
      <c r="AP23" s="291">
        <f t="shared" si="8"/>
        <v>303.33333333333326</v>
      </c>
      <c r="AQ23" s="272">
        <f t="shared" si="9"/>
        <v>303.33333333333326</v>
      </c>
      <c r="AR23" s="23"/>
      <c r="AS23" s="273">
        <f t="shared" si="10"/>
        <v>3038.1853422999998</v>
      </c>
      <c r="AT23" s="274">
        <f t="shared" si="11"/>
        <v>303.33333333333326</v>
      </c>
      <c r="AU23" s="275">
        <v>1</v>
      </c>
      <c r="AV23" s="276">
        <f t="shared" si="12"/>
        <v>303.33333333333326</v>
      </c>
      <c r="AW23" s="293">
        <f t="shared" si="13"/>
        <v>3341.5186756333333</v>
      </c>
      <c r="AX23" s="275">
        <v>1</v>
      </c>
      <c r="BS23" s="293">
        <v>80</v>
      </c>
      <c r="BT23" s="293">
        <f t="shared" si="14"/>
        <v>3421.5186756333333</v>
      </c>
    </row>
    <row r="24" spans="1:72" ht="27" customHeight="1" x14ac:dyDescent="0.3">
      <c r="A24" s="224" t="s">
        <v>254</v>
      </c>
      <c r="B24" s="225" t="s">
        <v>1384</v>
      </c>
      <c r="C24" s="228">
        <v>84</v>
      </c>
      <c r="D24" s="263">
        <f>C24*D5</f>
        <v>1645.56</v>
      </c>
      <c r="E24" s="228">
        <v>37.799999999999997</v>
      </c>
      <c r="F24" s="263">
        <f>E24*F5</f>
        <v>740.50199999999995</v>
      </c>
      <c r="G24" s="227">
        <f t="shared" si="0"/>
        <v>2386.0619999999999</v>
      </c>
      <c r="H24" s="228">
        <v>6.4</v>
      </c>
      <c r="I24" s="227">
        <f>H24*PARÂMETROS!$E$22</f>
        <v>271.16800000000001</v>
      </c>
      <c r="J24" s="228">
        <v>0.61499999999999999</v>
      </c>
      <c r="K24" s="227">
        <f>J24*PARÂMETROS!$E$22</f>
        <v>26.057549999999999</v>
      </c>
      <c r="L24" s="228">
        <v>2E-3</v>
      </c>
      <c r="M24" s="230">
        <f>L24*PARÂMETROS!$E$8</f>
        <v>6.1780000000000002E-2</v>
      </c>
      <c r="N24" s="228">
        <f t="shared" si="1"/>
        <v>6.4000000000000001E-2</v>
      </c>
      <c r="O24" s="230">
        <f>N24*PARÂMETROS!$E$8</f>
        <v>1.9769600000000001</v>
      </c>
      <c r="P24" s="228">
        <f t="shared" si="2"/>
        <v>6.1499999999999999E-2</v>
      </c>
      <c r="Q24" s="230">
        <f>P24*PARÂMETROS!$E$8</f>
        <v>1.899735</v>
      </c>
      <c r="R24" s="228">
        <f t="shared" si="3"/>
        <v>6.4000000000000003E-3</v>
      </c>
      <c r="S24" s="230">
        <f>R24*PARÂMETROS!$E$8</f>
        <v>0.19769600000000001</v>
      </c>
      <c r="T24" s="231">
        <v>2.1</v>
      </c>
      <c r="U24" s="230">
        <f>T24*PARÂMETROS!$E$27</f>
        <v>6.3000000000000007</v>
      </c>
      <c r="V24" s="228">
        <f t="shared" si="4"/>
        <v>16.4556</v>
      </c>
      <c r="W24" s="230">
        <f>V24*PARÂMETROS!$E$8</f>
        <v>508.31348400000002</v>
      </c>
      <c r="X24" s="228">
        <f t="shared" si="5"/>
        <v>7.4050199999999995</v>
      </c>
      <c r="Y24" s="230">
        <f>X24*PARÂMETROS!$E$8</f>
        <v>228.7410678</v>
      </c>
      <c r="Z24" s="23"/>
      <c r="AA24" s="23"/>
      <c r="AB24" s="232" t="s">
        <v>1402</v>
      </c>
      <c r="AC24" s="264">
        <f t="shared" si="6"/>
        <v>3430.7782727999997</v>
      </c>
      <c r="AD24" s="23"/>
      <c r="AE24" s="224" t="s">
        <v>254</v>
      </c>
      <c r="AF24" s="291">
        <f>PARÂMETROS!$H$3</f>
        <v>40</v>
      </c>
      <c r="AG24" s="267">
        <v>4.1666666666666699E-2</v>
      </c>
      <c r="AH24" s="267">
        <v>0.125</v>
      </c>
      <c r="AI24" s="267">
        <v>8.3333333333333301E-2</v>
      </c>
      <c r="AJ24" s="267">
        <v>6.9444444444444397E-3</v>
      </c>
      <c r="AK24" s="267">
        <v>2.0833333333333301E-2</v>
      </c>
      <c r="AL24" s="267">
        <v>6.9444444444444397E-3</v>
      </c>
      <c r="AM24" s="267">
        <v>3.125E-2</v>
      </c>
      <c r="AN24" s="271">
        <v>1</v>
      </c>
      <c r="AO24" s="292">
        <f t="shared" si="7"/>
        <v>0.31597222222222215</v>
      </c>
      <c r="AP24" s="291">
        <f t="shared" si="8"/>
        <v>303.33333333333326</v>
      </c>
      <c r="AQ24" s="272">
        <f t="shared" si="9"/>
        <v>303.33333333333326</v>
      </c>
      <c r="AR24" s="23"/>
      <c r="AS24" s="273">
        <f t="shared" si="10"/>
        <v>3430.7782727999997</v>
      </c>
      <c r="AT24" s="274">
        <f t="shared" si="11"/>
        <v>303.33333333333326</v>
      </c>
      <c r="AU24" s="275">
        <v>1</v>
      </c>
      <c r="AV24" s="276">
        <f t="shared" si="12"/>
        <v>303.33333333333326</v>
      </c>
      <c r="AW24" s="293">
        <f t="shared" si="13"/>
        <v>3734.1116061333332</v>
      </c>
      <c r="AX24" s="275">
        <v>1</v>
      </c>
      <c r="BS24" s="293">
        <v>80</v>
      </c>
      <c r="BT24" s="293">
        <f t="shared" si="14"/>
        <v>3814.1116061333332</v>
      </c>
    </row>
    <row r="25" spans="1:72" ht="27" customHeight="1" x14ac:dyDescent="0.3">
      <c r="A25" s="224" t="s">
        <v>258</v>
      </c>
      <c r="B25" s="225" t="s">
        <v>1384</v>
      </c>
      <c r="C25" s="228">
        <v>95</v>
      </c>
      <c r="D25" s="263">
        <f>C25*D5</f>
        <v>1861.05</v>
      </c>
      <c r="E25" s="228">
        <v>42.75</v>
      </c>
      <c r="F25" s="263">
        <f>E25*F5</f>
        <v>837.47249999999997</v>
      </c>
      <c r="G25" s="227">
        <f t="shared" si="0"/>
        <v>2698.5225</v>
      </c>
      <c r="H25" s="228">
        <v>7.7</v>
      </c>
      <c r="I25" s="227">
        <f>H25*PARÂMETROS!$E$22</f>
        <v>326.24899999999997</v>
      </c>
      <c r="J25" s="228">
        <v>0.71</v>
      </c>
      <c r="K25" s="227">
        <f>J25*PARÂMETROS!$E$22</f>
        <v>30.082699999999996</v>
      </c>
      <c r="L25" s="228">
        <v>2E-3</v>
      </c>
      <c r="M25" s="230">
        <f>L25*PARÂMETROS!$E$8</f>
        <v>6.1780000000000002E-2</v>
      </c>
      <c r="N25" s="228">
        <f t="shared" si="1"/>
        <v>7.6999999999999999E-2</v>
      </c>
      <c r="O25" s="230">
        <f>N25*PARÂMETROS!$E$8</f>
        <v>2.37853</v>
      </c>
      <c r="P25" s="228">
        <f t="shared" si="2"/>
        <v>7.0999999999999994E-2</v>
      </c>
      <c r="Q25" s="230">
        <f>P25*PARÂMETROS!$E$8</f>
        <v>2.19319</v>
      </c>
      <c r="R25" s="228">
        <f t="shared" si="3"/>
        <v>7.7000000000000002E-3</v>
      </c>
      <c r="S25" s="230">
        <f>R25*PARÂMETROS!$E$8</f>
        <v>0.23785300000000001</v>
      </c>
      <c r="T25" s="231">
        <v>2.2000000000000002</v>
      </c>
      <c r="U25" s="230">
        <f>T25*PARÂMETROS!$E$27</f>
        <v>6.6000000000000005</v>
      </c>
      <c r="V25" s="228">
        <f t="shared" si="4"/>
        <v>18.610499999999998</v>
      </c>
      <c r="W25" s="230">
        <f>V25*PARÂMETROS!$E$8</f>
        <v>574.87834499999997</v>
      </c>
      <c r="X25" s="228">
        <f t="shared" si="5"/>
        <v>8.3747249999999998</v>
      </c>
      <c r="Y25" s="230">
        <f>X25*PARÂMETROS!$E$8</f>
        <v>258.69525525</v>
      </c>
      <c r="Z25" s="23"/>
      <c r="AA25" s="23"/>
      <c r="AB25" s="232" t="s">
        <v>1403</v>
      </c>
      <c r="AC25" s="264">
        <f t="shared" si="6"/>
        <v>3899.8991532500004</v>
      </c>
      <c r="AD25" s="23"/>
      <c r="AE25" s="224" t="s">
        <v>258</v>
      </c>
      <c r="AF25" s="291">
        <f>PARÂMETROS!$H$3</f>
        <v>40</v>
      </c>
      <c r="AG25" s="267">
        <v>4.1666666666666699E-2</v>
      </c>
      <c r="AH25" s="267">
        <v>0.13888888888888901</v>
      </c>
      <c r="AI25" s="267">
        <v>0.11111111111111099</v>
      </c>
      <c r="AJ25" s="267">
        <v>6.9444444444444397E-3</v>
      </c>
      <c r="AK25" s="267">
        <v>2.0833333333333301E-2</v>
      </c>
      <c r="AL25" s="267">
        <v>6.9444444444444397E-3</v>
      </c>
      <c r="AM25" s="267">
        <v>3.125E-2</v>
      </c>
      <c r="AN25" s="271">
        <v>1</v>
      </c>
      <c r="AO25" s="292">
        <f t="shared" si="7"/>
        <v>0.3576388888888889</v>
      </c>
      <c r="AP25" s="291">
        <f t="shared" si="8"/>
        <v>343.33333333333331</v>
      </c>
      <c r="AQ25" s="272">
        <f t="shared" si="9"/>
        <v>343.33333333333331</v>
      </c>
      <c r="AR25" s="23"/>
      <c r="AS25" s="273">
        <f t="shared" si="10"/>
        <v>3899.8991532500004</v>
      </c>
      <c r="AT25" s="274">
        <f t="shared" si="11"/>
        <v>343.33333333333331</v>
      </c>
      <c r="AU25" s="275">
        <v>1</v>
      </c>
      <c r="AV25" s="276">
        <f t="shared" si="12"/>
        <v>343.33333333333331</v>
      </c>
      <c r="AW25" s="293">
        <f t="shared" si="13"/>
        <v>4243.2324865833334</v>
      </c>
      <c r="AX25" s="275">
        <v>1</v>
      </c>
      <c r="BS25" s="293">
        <v>80</v>
      </c>
      <c r="BT25" s="293">
        <f t="shared" si="14"/>
        <v>4323.2324865833334</v>
      </c>
    </row>
    <row r="26" spans="1:72" ht="27" customHeight="1" x14ac:dyDescent="0.3">
      <c r="A26" s="224" t="s">
        <v>262</v>
      </c>
      <c r="B26" s="225" t="s">
        <v>1384</v>
      </c>
      <c r="C26" s="228">
        <v>120</v>
      </c>
      <c r="D26" s="263">
        <f>C26*D5</f>
        <v>2350.8000000000002</v>
      </c>
      <c r="E26" s="228">
        <v>45</v>
      </c>
      <c r="F26" s="263">
        <f>E26*F5</f>
        <v>881.55</v>
      </c>
      <c r="G26" s="227">
        <f t="shared" si="0"/>
        <v>3232.3500000000004</v>
      </c>
      <c r="H26" s="228">
        <v>8.4</v>
      </c>
      <c r="I26" s="227">
        <f>H26*PARÂMETROS!$E$22</f>
        <v>355.90800000000002</v>
      </c>
      <c r="J26" s="228">
        <v>0.79500000000000004</v>
      </c>
      <c r="K26" s="227">
        <f>J26*PARÂMETROS!$E$22</f>
        <v>33.684150000000002</v>
      </c>
      <c r="L26" s="228">
        <v>2E-3</v>
      </c>
      <c r="M26" s="230">
        <f>L26*PARÂMETROS!$E$8</f>
        <v>6.1780000000000002E-2</v>
      </c>
      <c r="N26" s="228">
        <f t="shared" si="1"/>
        <v>8.4000000000000005E-2</v>
      </c>
      <c r="O26" s="230">
        <f>N26*PARÂMETROS!$E$8</f>
        <v>2.5947600000000004</v>
      </c>
      <c r="P26" s="228">
        <f t="shared" si="2"/>
        <v>7.9500000000000015E-2</v>
      </c>
      <c r="Q26" s="230">
        <f>P26*PARÂMETROS!$E$8</f>
        <v>2.4557550000000004</v>
      </c>
      <c r="R26" s="228">
        <f t="shared" si="3"/>
        <v>8.4000000000000012E-3</v>
      </c>
      <c r="S26" s="230">
        <f>R26*PARÂMETROS!$E$8</f>
        <v>0.25947600000000004</v>
      </c>
      <c r="T26" s="231">
        <v>2.2999999999999998</v>
      </c>
      <c r="U26" s="230">
        <f>T26*PARÂMETROS!$E$27</f>
        <v>6.8999999999999995</v>
      </c>
      <c r="V26" s="228">
        <f t="shared" si="4"/>
        <v>23.508000000000003</v>
      </c>
      <c r="W26" s="230">
        <f>V26*PARÂMETROS!$E$8</f>
        <v>726.16212000000007</v>
      </c>
      <c r="X26" s="228">
        <f t="shared" si="5"/>
        <v>8.8155000000000001</v>
      </c>
      <c r="Y26" s="230">
        <f>X26*PARÂMETROS!$E$8</f>
        <v>272.31079499999998</v>
      </c>
      <c r="Z26" s="23"/>
      <c r="AA26" s="23"/>
      <c r="AB26" s="232" t="s">
        <v>1404</v>
      </c>
      <c r="AC26" s="264">
        <f t="shared" si="6"/>
        <v>4632.6868360000008</v>
      </c>
      <c r="AD26" s="23"/>
      <c r="AE26" s="224" t="s">
        <v>262</v>
      </c>
      <c r="AF26" s="291">
        <f>PARÂMETROS!$H$3</f>
        <v>40</v>
      </c>
      <c r="AG26" s="267">
        <v>4.1666666666666699E-2</v>
      </c>
      <c r="AH26" s="267">
        <v>0.13888888888888901</v>
      </c>
      <c r="AI26" s="267">
        <v>0.11111111111111099</v>
      </c>
      <c r="AJ26" s="267">
        <v>6.9444444444444397E-3</v>
      </c>
      <c r="AK26" s="267">
        <v>2.0833333333333301E-2</v>
      </c>
      <c r="AL26" s="267">
        <v>6.9444444444444397E-3</v>
      </c>
      <c r="AM26" s="267">
        <v>3.125E-2</v>
      </c>
      <c r="AN26" s="271">
        <v>1</v>
      </c>
      <c r="AO26" s="292">
        <f t="shared" si="7"/>
        <v>0.3576388888888889</v>
      </c>
      <c r="AP26" s="291">
        <f t="shared" si="8"/>
        <v>343.33333333333331</v>
      </c>
      <c r="AQ26" s="272">
        <f t="shared" si="9"/>
        <v>343.33333333333331</v>
      </c>
      <c r="AR26" s="23"/>
      <c r="AS26" s="273">
        <f t="shared" si="10"/>
        <v>4632.6868360000008</v>
      </c>
      <c r="AT26" s="274">
        <f t="shared" si="11"/>
        <v>343.33333333333331</v>
      </c>
      <c r="AU26" s="275">
        <v>1</v>
      </c>
      <c r="AV26" s="276">
        <f t="shared" si="12"/>
        <v>343.33333333333331</v>
      </c>
      <c r="AW26" s="293">
        <f t="shared" si="13"/>
        <v>4976.0201693333338</v>
      </c>
      <c r="AX26" s="275">
        <v>1</v>
      </c>
      <c r="BS26" s="293">
        <v>80</v>
      </c>
      <c r="BT26" s="293">
        <f t="shared" si="14"/>
        <v>5056.0201693333338</v>
      </c>
    </row>
    <row r="27" spans="1:72" ht="27" customHeight="1" x14ac:dyDescent="0.3">
      <c r="A27" s="224" t="s">
        <v>266</v>
      </c>
      <c r="B27" s="225" t="s">
        <v>1384</v>
      </c>
      <c r="C27" s="228">
        <v>140</v>
      </c>
      <c r="D27" s="263">
        <f>C27*D5</f>
        <v>2742.6</v>
      </c>
      <c r="E27" s="228">
        <v>63</v>
      </c>
      <c r="F27" s="263">
        <f>E27*F5</f>
        <v>1234.17</v>
      </c>
      <c r="G27" s="227">
        <f t="shared" si="0"/>
        <v>3976.77</v>
      </c>
      <c r="H27" s="228">
        <v>9</v>
      </c>
      <c r="I27" s="227">
        <f>H27*PARÂMETROS!$E$22</f>
        <v>381.33</v>
      </c>
      <c r="J27" s="228">
        <v>0.88500000000000001</v>
      </c>
      <c r="K27" s="227">
        <f>J27*PARÂMETROS!$E$22</f>
        <v>37.497450000000001</v>
      </c>
      <c r="L27" s="228">
        <v>2E-3</v>
      </c>
      <c r="M27" s="230">
        <f>L27*PARÂMETROS!$E$8</f>
        <v>6.1780000000000002E-2</v>
      </c>
      <c r="N27" s="228">
        <f t="shared" si="1"/>
        <v>0.09</v>
      </c>
      <c r="O27" s="230">
        <f>N27*PARÂMETROS!$E$8</f>
        <v>2.7801</v>
      </c>
      <c r="P27" s="228">
        <f t="shared" si="2"/>
        <v>8.8500000000000009E-2</v>
      </c>
      <c r="Q27" s="230">
        <f>P27*PARÂMETROS!$E$8</f>
        <v>2.7337650000000004</v>
      </c>
      <c r="R27" s="228">
        <f t="shared" si="3"/>
        <v>8.9999999999999993E-3</v>
      </c>
      <c r="S27" s="230">
        <f>R27*PARÂMETROS!$E$8</f>
        <v>0.27800999999999998</v>
      </c>
      <c r="T27" s="231">
        <v>2.4</v>
      </c>
      <c r="U27" s="230">
        <f>T27*PARÂMETROS!$E$27</f>
        <v>7.1999999999999993</v>
      </c>
      <c r="V27" s="228">
        <f t="shared" si="4"/>
        <v>27.425999999999998</v>
      </c>
      <c r="W27" s="230">
        <f>V27*PARÂMETROS!$E$8</f>
        <v>847.18913999999995</v>
      </c>
      <c r="X27" s="228">
        <f t="shared" si="5"/>
        <v>12.341700000000001</v>
      </c>
      <c r="Y27" s="230">
        <f>X27*PARÂMETROS!$E$8</f>
        <v>381.23511300000007</v>
      </c>
      <c r="Z27" s="23"/>
      <c r="AA27" s="23"/>
      <c r="AB27" s="232" t="s">
        <v>1405</v>
      </c>
      <c r="AC27" s="264">
        <f t="shared" si="6"/>
        <v>5637.0753579999991</v>
      </c>
      <c r="AD27" s="23"/>
      <c r="AE27" s="224" t="s">
        <v>266</v>
      </c>
      <c r="AF27" s="291">
        <f>PARÂMETROS!$H$3</f>
        <v>40</v>
      </c>
      <c r="AG27" s="267">
        <v>8.3333333333333301E-2</v>
      </c>
      <c r="AH27" s="267">
        <v>0.13888888888888901</v>
      </c>
      <c r="AI27" s="267">
        <v>0.11111111111111099</v>
      </c>
      <c r="AJ27" s="267">
        <v>6.9444444444444397E-3</v>
      </c>
      <c r="AK27" s="267">
        <v>2.0833333333333301E-2</v>
      </c>
      <c r="AL27" s="267">
        <v>6.9444444444444397E-3</v>
      </c>
      <c r="AM27" s="267">
        <v>3.125E-2</v>
      </c>
      <c r="AN27" s="271">
        <v>1</v>
      </c>
      <c r="AO27" s="292">
        <f t="shared" si="7"/>
        <v>0.39930555555555552</v>
      </c>
      <c r="AP27" s="291">
        <f t="shared" si="8"/>
        <v>383.33333333333331</v>
      </c>
      <c r="AQ27" s="272">
        <f t="shared" si="9"/>
        <v>383.33333333333331</v>
      </c>
      <c r="AR27" s="23"/>
      <c r="AS27" s="273">
        <f t="shared" si="10"/>
        <v>5637.0753579999991</v>
      </c>
      <c r="AT27" s="274">
        <f t="shared" si="11"/>
        <v>383.33333333333331</v>
      </c>
      <c r="AU27" s="275">
        <v>1</v>
      </c>
      <c r="AV27" s="276">
        <f t="shared" si="12"/>
        <v>383.33333333333331</v>
      </c>
      <c r="AW27" s="293">
        <f t="shared" si="13"/>
        <v>6020.4086913333322</v>
      </c>
      <c r="AX27" s="275">
        <v>1</v>
      </c>
      <c r="BS27" s="293">
        <v>80</v>
      </c>
      <c r="BT27" s="293">
        <f t="shared" si="14"/>
        <v>6100.4086913333322</v>
      </c>
    </row>
    <row r="28" spans="1:72" ht="27" customHeight="1" x14ac:dyDescent="0.3">
      <c r="A28" s="224" t="s">
        <v>270</v>
      </c>
      <c r="B28" s="225" t="s">
        <v>1384</v>
      </c>
      <c r="C28" s="228">
        <v>150</v>
      </c>
      <c r="D28" s="263">
        <f>C28*D5</f>
        <v>2938.5</v>
      </c>
      <c r="E28" s="228">
        <v>68</v>
      </c>
      <c r="F28" s="263">
        <f>E28*F5</f>
        <v>1332.12</v>
      </c>
      <c r="G28" s="227">
        <f t="shared" si="0"/>
        <v>4270.62</v>
      </c>
      <c r="H28" s="228">
        <v>9.6999999999999993</v>
      </c>
      <c r="I28" s="227">
        <f>H28*PARÂMETROS!$E$22</f>
        <v>410.98899999999992</v>
      </c>
      <c r="J28" s="228">
        <v>0.96</v>
      </c>
      <c r="K28" s="227">
        <f>J28*PARÂMETROS!$E$22</f>
        <v>40.675199999999997</v>
      </c>
      <c r="L28" s="228">
        <v>2E-3</v>
      </c>
      <c r="M28" s="230">
        <f>L28*PARÂMETROS!$E$8</f>
        <v>6.1780000000000002E-2</v>
      </c>
      <c r="N28" s="228">
        <f t="shared" si="1"/>
        <v>9.6999999999999989E-2</v>
      </c>
      <c r="O28" s="230">
        <f>N28*PARÂMETROS!$E$8</f>
        <v>2.9963299999999995</v>
      </c>
      <c r="P28" s="228">
        <f t="shared" si="2"/>
        <v>9.6000000000000002E-2</v>
      </c>
      <c r="Q28" s="230">
        <f>P28*PARÂMETROS!$E$8</f>
        <v>2.9654400000000001</v>
      </c>
      <c r="R28" s="228">
        <f t="shared" si="3"/>
        <v>9.7000000000000003E-3</v>
      </c>
      <c r="S28" s="230">
        <f>R28*PARÂMETROS!$E$8</f>
        <v>0.29963300000000004</v>
      </c>
      <c r="T28" s="231">
        <v>2.5</v>
      </c>
      <c r="U28" s="230">
        <f>T28*PARÂMETROS!$E$27</f>
        <v>7.5</v>
      </c>
      <c r="V28" s="228">
        <f t="shared" si="4"/>
        <v>29.385000000000002</v>
      </c>
      <c r="W28" s="230">
        <f>V28*PARÂMETROS!$E$8</f>
        <v>907.70265000000006</v>
      </c>
      <c r="X28" s="228">
        <f t="shared" si="5"/>
        <v>13.321199999999999</v>
      </c>
      <c r="Y28" s="230">
        <f>X28*PARÂMETROS!$E$8</f>
        <v>411.49186800000001</v>
      </c>
      <c r="Z28" s="23"/>
      <c r="AA28" s="23"/>
      <c r="AB28" s="232" t="s">
        <v>1406</v>
      </c>
      <c r="AC28" s="264">
        <f t="shared" si="6"/>
        <v>6055.3019009999998</v>
      </c>
      <c r="AD28" s="23"/>
      <c r="AE28" s="224" t="s">
        <v>270</v>
      </c>
      <c r="AF28" s="291">
        <f>PARÂMETROS!$H$3</f>
        <v>40</v>
      </c>
      <c r="AG28" s="267">
        <v>8.3333333333333301E-2</v>
      </c>
      <c r="AH28" s="267">
        <v>0.15277777777777801</v>
      </c>
      <c r="AI28" s="267">
        <v>0.11111111111111099</v>
      </c>
      <c r="AJ28" s="267">
        <v>6.9444444444444397E-3</v>
      </c>
      <c r="AK28" s="267">
        <v>2.0833333333333301E-2</v>
      </c>
      <c r="AL28" s="267">
        <v>6.9444444444444397E-3</v>
      </c>
      <c r="AM28" s="267">
        <v>3.125E-2</v>
      </c>
      <c r="AN28" s="271">
        <v>1</v>
      </c>
      <c r="AO28" s="292">
        <f t="shared" si="7"/>
        <v>0.41319444444444448</v>
      </c>
      <c r="AP28" s="291">
        <f t="shared" si="8"/>
        <v>396.66666666666669</v>
      </c>
      <c r="AQ28" s="272">
        <f t="shared" si="9"/>
        <v>396.66666666666669</v>
      </c>
      <c r="AR28" s="23"/>
      <c r="AS28" s="273">
        <f t="shared" si="10"/>
        <v>6055.3019009999998</v>
      </c>
      <c r="AT28" s="274">
        <f t="shared" si="11"/>
        <v>396.66666666666669</v>
      </c>
      <c r="AU28" s="275">
        <v>1</v>
      </c>
      <c r="AV28" s="276">
        <f t="shared" si="12"/>
        <v>396.66666666666669</v>
      </c>
      <c r="AW28" s="293">
        <f t="shared" si="13"/>
        <v>6451.9685676666668</v>
      </c>
      <c r="AX28" s="275">
        <v>1</v>
      </c>
      <c r="BS28" s="293">
        <v>80</v>
      </c>
      <c r="BT28" s="293">
        <f t="shared" si="14"/>
        <v>6531.9685676666668</v>
      </c>
    </row>
    <row r="29" spans="1:72" ht="27" customHeight="1" x14ac:dyDescent="0.3">
      <c r="A29" s="224" t="s">
        <v>274</v>
      </c>
      <c r="B29" s="225" t="s">
        <v>1384</v>
      </c>
      <c r="C29" s="228">
        <v>170</v>
      </c>
      <c r="D29" s="263">
        <f>C29*D5</f>
        <v>3330.3</v>
      </c>
      <c r="E29" s="228">
        <v>76.5</v>
      </c>
      <c r="F29" s="263">
        <f>E29*F5</f>
        <v>1498.635</v>
      </c>
      <c r="G29" s="227">
        <f t="shared" si="0"/>
        <v>4828.9350000000004</v>
      </c>
      <c r="H29" s="228">
        <v>10.4</v>
      </c>
      <c r="I29" s="227">
        <f>H29*PARÂMETROS!$E$22</f>
        <v>440.64799999999997</v>
      </c>
      <c r="J29" s="228">
        <v>1.079</v>
      </c>
      <c r="K29" s="227">
        <f>J29*PARÂMETROS!$E$22</f>
        <v>45.717229999999994</v>
      </c>
      <c r="L29" s="228">
        <v>2E-3</v>
      </c>
      <c r="M29" s="230">
        <f>L29*PARÂMETROS!$E$8</f>
        <v>6.1780000000000002E-2</v>
      </c>
      <c r="N29" s="228">
        <f t="shared" si="1"/>
        <v>0.10400000000000001</v>
      </c>
      <c r="O29" s="230">
        <f>N29*PARÂMETROS!$E$8</f>
        <v>3.2125600000000003</v>
      </c>
      <c r="P29" s="228">
        <f t="shared" si="2"/>
        <v>0.1079</v>
      </c>
      <c r="Q29" s="230">
        <f>P29*PARÂMETROS!$E$8</f>
        <v>3.3330310000000001</v>
      </c>
      <c r="R29" s="228">
        <f t="shared" si="3"/>
        <v>1.0400000000000001E-2</v>
      </c>
      <c r="S29" s="230">
        <f>R29*PARÂMETROS!$E$8</f>
        <v>0.32125600000000004</v>
      </c>
      <c r="T29" s="231">
        <v>2.6</v>
      </c>
      <c r="U29" s="230">
        <f>T29*PARÂMETROS!$E$27</f>
        <v>7.8000000000000007</v>
      </c>
      <c r="V29" s="228">
        <f t="shared" si="4"/>
        <v>33.303000000000004</v>
      </c>
      <c r="W29" s="230">
        <f>V29*PARÂMETROS!$E$8</f>
        <v>1028.7296700000002</v>
      </c>
      <c r="X29" s="228">
        <f t="shared" si="5"/>
        <v>14.98635</v>
      </c>
      <c r="Y29" s="230">
        <f>X29*PARÂMETROS!$E$8</f>
        <v>462.92835150000002</v>
      </c>
      <c r="Z29" s="23"/>
      <c r="AA29" s="23"/>
      <c r="AB29" s="232" t="s">
        <v>1407</v>
      </c>
      <c r="AC29" s="264">
        <f t="shared" si="6"/>
        <v>6821.6868784999997</v>
      </c>
      <c r="AD29" s="23"/>
      <c r="AE29" s="224" t="s">
        <v>274</v>
      </c>
      <c r="AF29" s="291">
        <f>PARÂMETROS!$H$3</f>
        <v>40</v>
      </c>
      <c r="AG29" s="267">
        <v>8.3333333333333301E-2</v>
      </c>
      <c r="AH29" s="267">
        <v>0.15277777777777801</v>
      </c>
      <c r="AI29" s="267">
        <v>0.11111111111111099</v>
      </c>
      <c r="AJ29" s="267">
        <v>6.9444444444444397E-3</v>
      </c>
      <c r="AK29" s="267">
        <v>2.0833333333333301E-2</v>
      </c>
      <c r="AL29" s="267">
        <v>6.9444444444444397E-3</v>
      </c>
      <c r="AM29" s="267">
        <v>3.125E-2</v>
      </c>
      <c r="AN29" s="271">
        <v>1</v>
      </c>
      <c r="AO29" s="292">
        <f t="shared" si="7"/>
        <v>0.41319444444444448</v>
      </c>
      <c r="AP29" s="291">
        <f t="shared" si="8"/>
        <v>396.66666666666669</v>
      </c>
      <c r="AQ29" s="272">
        <f t="shared" si="9"/>
        <v>396.66666666666669</v>
      </c>
      <c r="AR29" s="23"/>
      <c r="AS29" s="273">
        <f t="shared" si="10"/>
        <v>6821.6868784999997</v>
      </c>
      <c r="AT29" s="274">
        <f t="shared" si="11"/>
        <v>396.66666666666669</v>
      </c>
      <c r="AU29" s="275">
        <v>1</v>
      </c>
      <c r="AV29" s="276">
        <f t="shared" si="12"/>
        <v>396.66666666666669</v>
      </c>
      <c r="AW29" s="293">
        <f t="shared" si="13"/>
        <v>7218.3535451666667</v>
      </c>
      <c r="AX29" s="275">
        <v>1</v>
      </c>
      <c r="BS29" s="293">
        <v>80</v>
      </c>
      <c r="BT29" s="293">
        <f t="shared" si="14"/>
        <v>7298.3535451666667</v>
      </c>
    </row>
    <row r="30" spans="1:72" ht="25.5" customHeight="1" x14ac:dyDescent="0.3">
      <c r="A30" s="224" t="s">
        <v>278</v>
      </c>
      <c r="B30" s="225" t="s">
        <v>1384</v>
      </c>
      <c r="C30" s="228">
        <v>200</v>
      </c>
      <c r="D30" s="263">
        <f>C30*D5</f>
        <v>3918</v>
      </c>
      <c r="E30" s="228">
        <v>90</v>
      </c>
      <c r="F30" s="263">
        <f>E30*F5</f>
        <v>1763.1</v>
      </c>
      <c r="G30" s="227">
        <f t="shared" si="0"/>
        <v>5681.1</v>
      </c>
      <c r="H30" s="228">
        <v>11.7</v>
      </c>
      <c r="I30" s="227">
        <f>H30*PARÂMETROS!$E$22</f>
        <v>495.72899999999993</v>
      </c>
      <c r="J30" s="228">
        <v>1.1599999999999999</v>
      </c>
      <c r="K30" s="227">
        <f>J30*PARÂMETROS!$E$22</f>
        <v>49.149199999999993</v>
      </c>
      <c r="L30" s="228">
        <v>2E-3</v>
      </c>
      <c r="M30" s="230">
        <f>L30*PARÂMETROS!$E$8</f>
        <v>6.1780000000000002E-2</v>
      </c>
      <c r="N30" s="228">
        <f t="shared" si="1"/>
        <v>0.11699999999999999</v>
      </c>
      <c r="O30" s="230">
        <f>N30*PARÂMETROS!$E$8</f>
        <v>3.6141299999999998</v>
      </c>
      <c r="P30" s="228">
        <f t="shared" si="2"/>
        <v>0.11599999999999999</v>
      </c>
      <c r="Q30" s="230">
        <f>P30*PARÂMETROS!$E$8</f>
        <v>3.58324</v>
      </c>
      <c r="R30" s="228">
        <f t="shared" si="3"/>
        <v>1.17E-2</v>
      </c>
      <c r="S30" s="230">
        <f>R30*PARÂMETROS!$E$8</f>
        <v>0.36141300000000004</v>
      </c>
      <c r="T30" s="231">
        <v>2.7</v>
      </c>
      <c r="U30" s="230">
        <f>T30*PARÂMETROS!$E$27</f>
        <v>8.1000000000000014</v>
      </c>
      <c r="V30" s="228">
        <f t="shared" si="4"/>
        <v>39.18</v>
      </c>
      <c r="W30" s="230">
        <f>V30*PARÂMETROS!$E$8</f>
        <v>1210.2701999999999</v>
      </c>
      <c r="X30" s="228">
        <f t="shared" si="5"/>
        <v>17.631</v>
      </c>
      <c r="Y30" s="230">
        <f>X30*PARÂMETROS!$E$8</f>
        <v>544.62158999999997</v>
      </c>
      <c r="Z30" s="23"/>
      <c r="AA30" s="23"/>
      <c r="AB30" s="232" t="s">
        <v>1408</v>
      </c>
      <c r="AC30" s="264">
        <f t="shared" si="6"/>
        <v>7996.590553</v>
      </c>
      <c r="AD30" s="23"/>
      <c r="AE30" s="224" t="s">
        <v>278</v>
      </c>
      <c r="AF30" s="291">
        <f>PARÂMETROS!$H$3</f>
        <v>40</v>
      </c>
      <c r="AG30" s="267">
        <v>8.3333333333333301E-2</v>
      </c>
      <c r="AH30" s="267">
        <v>0.15277777777777801</v>
      </c>
      <c r="AI30" s="267">
        <v>0.11111111111111099</v>
      </c>
      <c r="AJ30" s="267">
        <v>6.9444444444444397E-3</v>
      </c>
      <c r="AK30" s="267">
        <v>2.0833333333333301E-2</v>
      </c>
      <c r="AL30" s="267">
        <v>6.9444444444444397E-3</v>
      </c>
      <c r="AM30" s="267">
        <v>3.125E-2</v>
      </c>
      <c r="AN30" s="271">
        <v>1</v>
      </c>
      <c r="AO30" s="292">
        <f t="shared" si="7"/>
        <v>0.41319444444444448</v>
      </c>
      <c r="AP30" s="291">
        <f t="shared" si="8"/>
        <v>396.66666666666669</v>
      </c>
      <c r="AQ30" s="272">
        <f t="shared" si="9"/>
        <v>396.66666666666669</v>
      </c>
      <c r="AR30" s="23"/>
      <c r="AS30" s="273">
        <f t="shared" si="10"/>
        <v>7996.590553</v>
      </c>
      <c r="AT30" s="274">
        <f t="shared" si="11"/>
        <v>396.66666666666669</v>
      </c>
      <c r="AU30" s="275">
        <v>1</v>
      </c>
      <c r="AV30" s="276">
        <f t="shared" si="12"/>
        <v>396.66666666666669</v>
      </c>
      <c r="AW30" s="293">
        <f t="shared" si="13"/>
        <v>8393.2572196666661</v>
      </c>
      <c r="AX30" s="275">
        <v>1</v>
      </c>
      <c r="BS30" s="293">
        <v>80</v>
      </c>
      <c r="BT30" s="293">
        <f t="shared" si="14"/>
        <v>8473.2572196666661</v>
      </c>
    </row>
    <row r="31" spans="1:72" ht="25.5" customHeight="1" x14ac:dyDescent="0.3">
      <c r="A31" s="224" t="s">
        <v>196</v>
      </c>
      <c r="B31" s="225" t="s">
        <v>1409</v>
      </c>
      <c r="C31" s="228">
        <v>0.06</v>
      </c>
      <c r="D31" s="263">
        <f>C31*C5</f>
        <v>1.1754</v>
      </c>
      <c r="E31" s="228">
        <v>0.03</v>
      </c>
      <c r="F31" s="263">
        <f>E31*F5</f>
        <v>0.5877</v>
      </c>
      <c r="G31" s="227">
        <f t="shared" si="0"/>
        <v>1.7631000000000001</v>
      </c>
      <c r="H31" s="228">
        <v>0.1</v>
      </c>
      <c r="I31" s="227">
        <f>H31*PARÂMETROS!$E$22</f>
        <v>4.2370000000000001</v>
      </c>
      <c r="J31" s="228">
        <v>3.0000000000000001E-3</v>
      </c>
      <c r="K31" s="227">
        <f>J31*PARÂMETROS!$E$22</f>
        <v>0.12711</v>
      </c>
      <c r="L31" s="228">
        <v>2E-3</v>
      </c>
      <c r="M31" s="230">
        <f>L31*PARÂMETROS!$E$8</f>
        <v>6.1780000000000002E-2</v>
      </c>
      <c r="N31" s="228">
        <f t="shared" si="1"/>
        <v>1E-3</v>
      </c>
      <c r="O31" s="230">
        <f>N31*PARÂMETROS!$E$8</f>
        <v>3.0890000000000001E-2</v>
      </c>
      <c r="P31" s="228">
        <f t="shared" si="2"/>
        <v>3.0000000000000003E-4</v>
      </c>
      <c r="Q31" s="230">
        <f>P31*PARÂMETROS!$E$8</f>
        <v>9.2670000000000009E-3</v>
      </c>
      <c r="R31" s="228">
        <f t="shared" si="3"/>
        <v>1E-4</v>
      </c>
      <c r="S31" s="230">
        <f>R31*PARÂMETROS!$E$8</f>
        <v>3.0890000000000002E-3</v>
      </c>
      <c r="T31" s="231">
        <v>0.3</v>
      </c>
      <c r="U31" s="230">
        <f>T31*PARÂMETROS!$E$27</f>
        <v>0.89999999999999991</v>
      </c>
      <c r="V31" s="228">
        <f t="shared" si="4"/>
        <v>1.1754000000000001E-2</v>
      </c>
      <c r="W31" s="230">
        <f>V31*PARÂMETROS!$E$8</f>
        <v>0.36308106000000001</v>
      </c>
      <c r="X31" s="229">
        <f t="shared" si="5"/>
        <v>5.8770000000000003E-3</v>
      </c>
      <c r="Y31" s="230">
        <f>X31*PARÂMETROS!$E$8</f>
        <v>0.18154053000000001</v>
      </c>
      <c r="Z31" s="23"/>
      <c r="AA31" s="23"/>
      <c r="AB31" s="232" t="s">
        <v>1410</v>
      </c>
      <c r="AC31" s="264">
        <f t="shared" si="6"/>
        <v>7.6768575900000009</v>
      </c>
      <c r="AD31" s="23"/>
      <c r="AE31" s="224" t="s">
        <v>196</v>
      </c>
      <c r="AF31" s="291">
        <f>PARÂMETROS!$H$3</f>
        <v>40</v>
      </c>
      <c r="AG31" s="267">
        <v>2.1527777777777798E-2</v>
      </c>
      <c r="AH31" s="267">
        <v>1.7361111111111101E-2</v>
      </c>
      <c r="AI31" s="267">
        <v>3.4722222222222203E-2</v>
      </c>
      <c r="AJ31" s="300"/>
      <c r="AK31" s="267">
        <v>2.0833333333333301E-2</v>
      </c>
      <c r="AL31" s="267">
        <v>6.9444444444444397E-3</v>
      </c>
      <c r="AM31" s="267">
        <v>3.125E-2</v>
      </c>
      <c r="AN31" s="271">
        <v>4</v>
      </c>
      <c r="AO31" s="292">
        <f t="shared" si="7"/>
        <v>0.13263888888888886</v>
      </c>
      <c r="AP31" s="291">
        <f t="shared" si="8"/>
        <v>127.33333333333331</v>
      </c>
      <c r="AQ31" s="272">
        <f t="shared" si="9"/>
        <v>31.833333333333329</v>
      </c>
      <c r="AR31" s="23"/>
      <c r="AS31" s="273">
        <f t="shared" si="10"/>
        <v>7.6768575900000009</v>
      </c>
      <c r="AT31" s="274">
        <f t="shared" si="11"/>
        <v>127.33333333333331</v>
      </c>
      <c r="AU31" s="275">
        <v>4</v>
      </c>
      <c r="AV31" s="276">
        <f t="shared" si="12"/>
        <v>31.833333333333329</v>
      </c>
      <c r="AW31" s="293">
        <f t="shared" si="13"/>
        <v>39.510190923333326</v>
      </c>
      <c r="AX31" s="275">
        <v>4</v>
      </c>
      <c r="BS31" s="293">
        <v>80</v>
      </c>
      <c r="BT31" s="293">
        <f t="shared" si="14"/>
        <v>119.51019092333333</v>
      </c>
    </row>
    <row r="32" spans="1:72" ht="25.5" customHeight="1" x14ac:dyDescent="0.3">
      <c r="A32" s="224" t="s">
        <v>200</v>
      </c>
      <c r="B32" s="225" t="s">
        <v>1409</v>
      </c>
      <c r="C32" s="228">
        <v>0.11</v>
      </c>
      <c r="D32" s="263">
        <f>C32*C5</f>
        <v>2.1549</v>
      </c>
      <c r="E32" s="228">
        <v>5.5E-2</v>
      </c>
      <c r="F32" s="263">
        <f>E32*F5</f>
        <v>1.07745</v>
      </c>
      <c r="G32" s="227">
        <f t="shared" si="0"/>
        <v>3.2323500000000003</v>
      </c>
      <c r="H32" s="228">
        <v>0.14000000000000001</v>
      </c>
      <c r="I32" s="227">
        <f>H32*PARÂMETROS!$E$22</f>
        <v>5.9318</v>
      </c>
      <c r="J32" s="228">
        <v>6.0000000000000001E-3</v>
      </c>
      <c r="K32" s="227">
        <f>J32*PARÂMETROS!$E$22</f>
        <v>0.25422</v>
      </c>
      <c r="L32" s="228">
        <v>2E-3</v>
      </c>
      <c r="M32" s="230">
        <f>L32*PARÂMETROS!$E$8</f>
        <v>6.1780000000000002E-2</v>
      </c>
      <c r="N32" s="228">
        <f t="shared" si="1"/>
        <v>1.4000000000000002E-3</v>
      </c>
      <c r="O32" s="230">
        <f>N32*PARÂMETROS!$E$8</f>
        <v>4.3246000000000007E-2</v>
      </c>
      <c r="P32" s="228">
        <f t="shared" si="2"/>
        <v>6.0000000000000006E-4</v>
      </c>
      <c r="Q32" s="230">
        <f>P32*PARÂMETROS!$E$8</f>
        <v>1.8534000000000002E-2</v>
      </c>
      <c r="R32" s="228">
        <f t="shared" si="3"/>
        <v>1.4000000000000001E-4</v>
      </c>
      <c r="S32" s="230">
        <f>R32*PARÂMETROS!$E$8</f>
        <v>4.3246000000000005E-3</v>
      </c>
      <c r="T32" s="231">
        <v>0.36</v>
      </c>
      <c r="U32" s="230">
        <f>T32*PARÂMETROS!$E$27</f>
        <v>1.08</v>
      </c>
      <c r="V32" s="228">
        <f t="shared" si="4"/>
        <v>2.1549000000000002E-2</v>
      </c>
      <c r="W32" s="230">
        <f>V32*PARÂMETROS!$E$8</f>
        <v>0.66564861000000008</v>
      </c>
      <c r="X32" s="229">
        <f t="shared" si="5"/>
        <v>1.0774500000000001E-2</v>
      </c>
      <c r="Y32" s="230">
        <f>X32*PARÂMETROS!$E$8</f>
        <v>0.33282430500000004</v>
      </c>
      <c r="Z32" s="23"/>
      <c r="AA32" s="23"/>
      <c r="AB32" s="232" t="s">
        <v>1411</v>
      </c>
      <c r="AC32" s="264">
        <f t="shared" si="6"/>
        <v>11.624727515</v>
      </c>
      <c r="AD32" s="23"/>
      <c r="AE32" s="224" t="s">
        <v>200</v>
      </c>
      <c r="AF32" s="291">
        <f>PARÂMETROS!$H$3</f>
        <v>40</v>
      </c>
      <c r="AG32" s="267">
        <v>2.1527777777777798E-2</v>
      </c>
      <c r="AH32" s="267">
        <v>1.7361111111111101E-2</v>
      </c>
      <c r="AI32" s="267">
        <v>3.4722222222222203E-2</v>
      </c>
      <c r="AJ32" s="300"/>
      <c r="AK32" s="267">
        <v>2.0833333333333301E-2</v>
      </c>
      <c r="AL32" s="267">
        <v>6.9444444444444397E-3</v>
      </c>
      <c r="AM32" s="267">
        <v>3.125E-2</v>
      </c>
      <c r="AN32" s="271">
        <v>4</v>
      </c>
      <c r="AO32" s="292">
        <f t="shared" si="7"/>
        <v>0.13263888888888886</v>
      </c>
      <c r="AP32" s="291">
        <f t="shared" si="8"/>
        <v>127.33333333333331</v>
      </c>
      <c r="AQ32" s="272">
        <f t="shared" si="9"/>
        <v>31.833333333333329</v>
      </c>
      <c r="AR32" s="23"/>
      <c r="AS32" s="273">
        <f t="shared" si="10"/>
        <v>11.624727515</v>
      </c>
      <c r="AT32" s="274">
        <f t="shared" si="11"/>
        <v>127.33333333333331</v>
      </c>
      <c r="AU32" s="275">
        <v>4</v>
      </c>
      <c r="AV32" s="276">
        <f t="shared" si="12"/>
        <v>31.833333333333329</v>
      </c>
      <c r="AW32" s="293">
        <f t="shared" si="13"/>
        <v>43.458060848333332</v>
      </c>
      <c r="AX32" s="275">
        <v>4</v>
      </c>
      <c r="BS32" s="293">
        <v>80</v>
      </c>
      <c r="BT32" s="293">
        <f t="shared" si="14"/>
        <v>123.45806084833333</v>
      </c>
    </row>
    <row r="33" spans="1:72" ht="25.5" customHeight="1" x14ac:dyDescent="0.3">
      <c r="A33" s="224" t="s">
        <v>185</v>
      </c>
      <c r="B33" s="225" t="s">
        <v>1409</v>
      </c>
      <c r="C33" s="228">
        <v>0.2</v>
      </c>
      <c r="D33" s="263">
        <f>C33*C5</f>
        <v>3.9180000000000001</v>
      </c>
      <c r="E33" s="228">
        <v>0.1</v>
      </c>
      <c r="F33" s="263">
        <f>E33*F5</f>
        <v>1.9590000000000001</v>
      </c>
      <c r="G33" s="227">
        <f t="shared" si="0"/>
        <v>5.8770000000000007</v>
      </c>
      <c r="H33" s="228">
        <v>0.26</v>
      </c>
      <c r="I33" s="227">
        <f>H33*PARÂMETROS!$E$22</f>
        <v>11.0162</v>
      </c>
      <c r="J33" s="228">
        <v>1.0999999999999999E-2</v>
      </c>
      <c r="K33" s="227">
        <f>J33*PARÂMETROS!$E$22</f>
        <v>0.46606999999999993</v>
      </c>
      <c r="L33" s="228">
        <v>2E-3</v>
      </c>
      <c r="M33" s="230">
        <f>L33*PARÂMETROS!$E$8</f>
        <v>6.1780000000000002E-2</v>
      </c>
      <c r="N33" s="228">
        <f t="shared" si="1"/>
        <v>2.6000000000000003E-3</v>
      </c>
      <c r="O33" s="230">
        <f>N33*PARÂMETROS!$E$8</f>
        <v>8.031400000000001E-2</v>
      </c>
      <c r="P33" s="228">
        <f t="shared" si="2"/>
        <v>1.1000000000000001E-3</v>
      </c>
      <c r="Q33" s="230">
        <f>P33*PARÂMETROS!$E$8</f>
        <v>3.3979000000000002E-2</v>
      </c>
      <c r="R33" s="228">
        <f t="shared" si="3"/>
        <v>2.6000000000000003E-4</v>
      </c>
      <c r="S33" s="230">
        <f>R33*PARÂMETROS!$E$8</f>
        <v>8.031400000000001E-3</v>
      </c>
      <c r="T33" s="231">
        <v>0.41</v>
      </c>
      <c r="U33" s="230">
        <f>T33*PARÂMETROS!$E$27</f>
        <v>1.23</v>
      </c>
      <c r="V33" s="228">
        <f t="shared" si="4"/>
        <v>3.918E-2</v>
      </c>
      <c r="W33" s="230">
        <f>V33*PARÂMETROS!$E$8</f>
        <v>1.2102702000000001</v>
      </c>
      <c r="X33" s="229">
        <f t="shared" si="5"/>
        <v>1.959E-2</v>
      </c>
      <c r="Y33" s="230">
        <f>X33*PARÂMETROS!$E$8</f>
        <v>0.60513510000000004</v>
      </c>
      <c r="Z33" s="23"/>
      <c r="AA33" s="23"/>
      <c r="AB33" s="232" t="s">
        <v>1412</v>
      </c>
      <c r="AC33" s="264">
        <f t="shared" si="6"/>
        <v>20.588779700000003</v>
      </c>
      <c r="AD33" s="23"/>
      <c r="AE33" s="224" t="s">
        <v>185</v>
      </c>
      <c r="AF33" s="291">
        <f>PARÂMETROS!$H$3</f>
        <v>40</v>
      </c>
      <c r="AG33" s="267">
        <v>2.1527777777777798E-2</v>
      </c>
      <c r="AH33" s="267">
        <v>1.7361111111111101E-2</v>
      </c>
      <c r="AI33" s="267">
        <v>3.4722222222222203E-2</v>
      </c>
      <c r="AJ33" s="300"/>
      <c r="AK33" s="267">
        <v>2.0833333333333301E-2</v>
      </c>
      <c r="AL33" s="267">
        <v>6.9444444444444397E-3</v>
      </c>
      <c r="AM33" s="267">
        <v>3.125E-2</v>
      </c>
      <c r="AN33" s="271">
        <v>4</v>
      </c>
      <c r="AO33" s="292">
        <f t="shared" si="7"/>
        <v>0.13263888888888886</v>
      </c>
      <c r="AP33" s="291">
        <f t="shared" si="8"/>
        <v>127.33333333333331</v>
      </c>
      <c r="AQ33" s="272">
        <f t="shared" si="9"/>
        <v>31.833333333333329</v>
      </c>
      <c r="AR33" s="23"/>
      <c r="AS33" s="273">
        <f t="shared" si="10"/>
        <v>20.588779700000003</v>
      </c>
      <c r="AT33" s="274">
        <f t="shared" si="11"/>
        <v>127.33333333333331</v>
      </c>
      <c r="AU33" s="275">
        <v>3</v>
      </c>
      <c r="AV33" s="276">
        <f t="shared" si="12"/>
        <v>42.444444444444436</v>
      </c>
      <c r="AW33" s="293">
        <f t="shared" si="13"/>
        <v>63.033224144444439</v>
      </c>
      <c r="AX33" s="275">
        <v>3</v>
      </c>
      <c r="BS33" s="293">
        <v>80</v>
      </c>
      <c r="BT33" s="293">
        <f t="shared" si="14"/>
        <v>143.03322414444443</v>
      </c>
    </row>
    <row r="34" spans="1:72" ht="25.5" customHeight="1" x14ac:dyDescent="0.3">
      <c r="A34" s="224" t="s">
        <v>39</v>
      </c>
      <c r="B34" s="225" t="s">
        <v>1409</v>
      </c>
      <c r="C34" s="228">
        <v>0.75</v>
      </c>
      <c r="D34" s="263">
        <f>C34*C5</f>
        <v>14.692499999999999</v>
      </c>
      <c r="E34" s="228">
        <v>0.375</v>
      </c>
      <c r="F34" s="263">
        <f>E34*F5</f>
        <v>7.3462499999999995</v>
      </c>
      <c r="G34" s="227">
        <f t="shared" si="0"/>
        <v>22.03875</v>
      </c>
      <c r="H34" s="228">
        <v>0.5</v>
      </c>
      <c r="I34" s="227">
        <f>H34*PARÂMETROS!$E$22</f>
        <v>21.184999999999999</v>
      </c>
      <c r="J34" s="228">
        <v>2.5000000000000001E-2</v>
      </c>
      <c r="K34" s="227">
        <f>J34*PARÂMETROS!$E$22</f>
        <v>1.05925</v>
      </c>
      <c r="L34" s="228">
        <v>2E-3</v>
      </c>
      <c r="M34" s="230">
        <f>L34*PARÂMETROS!$E$8</f>
        <v>6.1780000000000002E-2</v>
      </c>
      <c r="N34" s="228">
        <f t="shared" si="1"/>
        <v>5.0000000000000001E-3</v>
      </c>
      <c r="O34" s="230">
        <f>N34*PARÂMETROS!$E$8</f>
        <v>0.15445</v>
      </c>
      <c r="P34" s="228">
        <f t="shared" si="2"/>
        <v>2.5000000000000005E-3</v>
      </c>
      <c r="Q34" s="230">
        <f>P34*PARÂMETROS!$E$8</f>
        <v>7.7225000000000016E-2</v>
      </c>
      <c r="R34" s="228">
        <f t="shared" si="3"/>
        <v>5.0000000000000001E-4</v>
      </c>
      <c r="S34" s="230">
        <f>R34*PARÂMETROS!$E$8</f>
        <v>1.5445E-2</v>
      </c>
      <c r="T34" s="231">
        <v>0.82</v>
      </c>
      <c r="U34" s="230">
        <f>T34*PARÂMETROS!$E$27</f>
        <v>2.46</v>
      </c>
      <c r="V34" s="228">
        <f t="shared" si="4"/>
        <v>0.146925</v>
      </c>
      <c r="W34" s="230">
        <f>V34*PARÂMETROS!$E$8</f>
        <v>4.5385132500000003</v>
      </c>
      <c r="X34" s="229">
        <f t="shared" si="5"/>
        <v>7.34625E-2</v>
      </c>
      <c r="Y34" s="230">
        <f>X34*PARÂMETROS!$E$8</f>
        <v>2.2692566250000001</v>
      </c>
      <c r="Z34" s="23"/>
      <c r="AA34" s="23"/>
      <c r="AB34" s="232" t="s">
        <v>1413</v>
      </c>
      <c r="AC34" s="264">
        <f t="shared" si="6"/>
        <v>53.859669875000002</v>
      </c>
      <c r="AD34" s="23"/>
      <c r="AE34" s="224" t="s">
        <v>39</v>
      </c>
      <c r="AF34" s="291">
        <f>PARÂMETROS!$H$3</f>
        <v>40</v>
      </c>
      <c r="AG34" s="267">
        <v>2.1527777777777798E-2</v>
      </c>
      <c r="AH34" s="267">
        <v>1.7361111111111101E-2</v>
      </c>
      <c r="AI34" s="267">
        <v>3.4722222222222203E-2</v>
      </c>
      <c r="AJ34" s="300"/>
      <c r="AK34" s="267">
        <v>2.0833333333333301E-2</v>
      </c>
      <c r="AL34" s="267">
        <v>6.9444444444444397E-3</v>
      </c>
      <c r="AM34" s="267">
        <v>3.125E-2</v>
      </c>
      <c r="AN34" s="271">
        <v>4</v>
      </c>
      <c r="AO34" s="292">
        <f t="shared" si="7"/>
        <v>0.13263888888888886</v>
      </c>
      <c r="AP34" s="291">
        <f t="shared" si="8"/>
        <v>127.33333333333331</v>
      </c>
      <c r="AQ34" s="272">
        <f t="shared" si="9"/>
        <v>31.833333333333329</v>
      </c>
      <c r="AR34" s="23"/>
      <c r="AS34" s="273">
        <f t="shared" si="10"/>
        <v>53.859669875000002</v>
      </c>
      <c r="AT34" s="274">
        <f t="shared" si="11"/>
        <v>127.33333333333331</v>
      </c>
      <c r="AU34" s="275">
        <v>3</v>
      </c>
      <c r="AV34" s="276">
        <f t="shared" si="12"/>
        <v>42.444444444444436</v>
      </c>
      <c r="AW34" s="293">
        <f t="shared" si="13"/>
        <v>96.304114319444437</v>
      </c>
      <c r="AX34" s="275">
        <v>3</v>
      </c>
      <c r="BS34" s="293">
        <v>80</v>
      </c>
      <c r="BT34" s="293">
        <f t="shared" si="14"/>
        <v>176.30411431944444</v>
      </c>
    </row>
    <row r="35" spans="1:72" ht="25.5" customHeight="1" x14ac:dyDescent="0.3">
      <c r="A35" s="224" t="s">
        <v>300</v>
      </c>
      <c r="B35" s="225" t="s">
        <v>1409</v>
      </c>
      <c r="C35" s="228">
        <v>1.1100000000000001</v>
      </c>
      <c r="D35" s="263">
        <f>C35*C5</f>
        <v>21.744900000000001</v>
      </c>
      <c r="E35" s="228">
        <v>0.55000000000000004</v>
      </c>
      <c r="F35" s="263">
        <f>E35*F5</f>
        <v>10.774500000000002</v>
      </c>
      <c r="G35" s="227">
        <f t="shared" si="0"/>
        <v>32.519400000000005</v>
      </c>
      <c r="H35" s="228">
        <v>0.65</v>
      </c>
      <c r="I35" s="227">
        <f>H35*PARÂMETROS!$E$22</f>
        <v>27.540499999999998</v>
      </c>
      <c r="J35" s="228">
        <v>3.2000000000000001E-2</v>
      </c>
      <c r="K35" s="227">
        <f>J35*PARÂMETROS!$E$22</f>
        <v>1.3558399999999999</v>
      </c>
      <c r="L35" s="228">
        <v>2E-3</v>
      </c>
      <c r="M35" s="230">
        <f>L35*PARÂMETROS!$E$8</f>
        <v>6.1780000000000002E-2</v>
      </c>
      <c r="N35" s="228">
        <f t="shared" si="1"/>
        <v>6.5000000000000006E-3</v>
      </c>
      <c r="O35" s="230">
        <f>N35*PARÂMETROS!$E$8</f>
        <v>0.20078500000000002</v>
      </c>
      <c r="P35" s="228">
        <f t="shared" si="2"/>
        <v>3.2000000000000002E-3</v>
      </c>
      <c r="Q35" s="230">
        <f>P35*PARÂMETROS!$E$8</f>
        <v>9.8848000000000005E-2</v>
      </c>
      <c r="R35" s="228">
        <f t="shared" si="3"/>
        <v>6.5000000000000008E-4</v>
      </c>
      <c r="S35" s="230">
        <f>R35*PARÂMETROS!$E$8</f>
        <v>2.0078500000000003E-2</v>
      </c>
      <c r="T35" s="231">
        <v>0.86</v>
      </c>
      <c r="U35" s="230">
        <f>T35*PARÂMETROS!$E$27</f>
        <v>2.58</v>
      </c>
      <c r="V35" s="228">
        <f t="shared" si="4"/>
        <v>0.217449</v>
      </c>
      <c r="W35" s="230">
        <f>V35*PARÂMETROS!$E$8</f>
        <v>6.7169996100000002</v>
      </c>
      <c r="X35" s="229">
        <f t="shared" si="5"/>
        <v>0.10774500000000002</v>
      </c>
      <c r="Y35" s="230">
        <f>X35*PARÂMETROS!$E$8</f>
        <v>3.3282430500000006</v>
      </c>
      <c r="Z35" s="23"/>
      <c r="AA35" s="23"/>
      <c r="AB35" s="232" t="s">
        <v>1414</v>
      </c>
      <c r="AC35" s="264">
        <f t="shared" si="6"/>
        <v>74.422474159999993</v>
      </c>
      <c r="AD35" s="23"/>
      <c r="AE35" s="224" t="s">
        <v>300</v>
      </c>
      <c r="AF35" s="291">
        <f>PARÂMETROS!$H$3</f>
        <v>40</v>
      </c>
      <c r="AG35" s="267">
        <v>2.1527777777777798E-2</v>
      </c>
      <c r="AH35" s="267">
        <v>1.7361111111111101E-2</v>
      </c>
      <c r="AI35" s="267">
        <v>1.7361111111111101E-2</v>
      </c>
      <c r="AJ35" s="300"/>
      <c r="AK35" s="267">
        <v>2.0833333333333301E-2</v>
      </c>
      <c r="AL35" s="267">
        <v>6.9444444444444397E-3</v>
      </c>
      <c r="AM35" s="267">
        <v>3.125E-2</v>
      </c>
      <c r="AN35" s="271">
        <v>2</v>
      </c>
      <c r="AO35" s="292">
        <f t="shared" si="7"/>
        <v>0.11527777777777774</v>
      </c>
      <c r="AP35" s="291">
        <f t="shared" si="8"/>
        <v>110.66666666666663</v>
      </c>
      <c r="AQ35" s="272">
        <f t="shared" si="9"/>
        <v>55.333333333333314</v>
      </c>
      <c r="AR35" s="23"/>
      <c r="AS35" s="273">
        <f t="shared" si="10"/>
        <v>74.422474159999993</v>
      </c>
      <c r="AT35" s="274">
        <f t="shared" si="11"/>
        <v>110.66666666666663</v>
      </c>
      <c r="AU35" s="275">
        <v>3</v>
      </c>
      <c r="AV35" s="276">
        <f t="shared" si="12"/>
        <v>36.888888888888879</v>
      </c>
      <c r="AW35" s="293">
        <f t="shared" si="13"/>
        <v>111.31136304888886</v>
      </c>
      <c r="AX35" s="275">
        <v>3</v>
      </c>
      <c r="BS35" s="293">
        <v>80</v>
      </c>
      <c r="BT35" s="293">
        <f t="shared" si="14"/>
        <v>191.31136304888886</v>
      </c>
    </row>
    <row r="36" spans="1:72" ht="25.5" customHeight="1" x14ac:dyDescent="0.3">
      <c r="A36" s="224" t="s">
        <v>41</v>
      </c>
      <c r="B36" s="225" t="s">
        <v>1409</v>
      </c>
      <c r="C36" s="228">
        <v>1.55</v>
      </c>
      <c r="D36" s="263">
        <f>C36*C5</f>
        <v>30.3645</v>
      </c>
      <c r="E36" s="228">
        <v>0.77500000000000002</v>
      </c>
      <c r="F36" s="263">
        <f>E36*F5</f>
        <v>15.18225</v>
      </c>
      <c r="G36" s="227">
        <f t="shared" si="0"/>
        <v>45.546750000000003</v>
      </c>
      <c r="H36" s="228">
        <v>0.8</v>
      </c>
      <c r="I36" s="227">
        <f>H36*PARÂMETROS!$E$22</f>
        <v>33.896000000000001</v>
      </c>
      <c r="J36" s="228">
        <v>4.2000000000000003E-2</v>
      </c>
      <c r="K36" s="227">
        <f>J36*PARÂMETROS!$E$22</f>
        <v>1.7795399999999999</v>
      </c>
      <c r="L36" s="228">
        <v>2E-3</v>
      </c>
      <c r="M36" s="230">
        <f>L36*PARÂMETROS!$E$8</f>
        <v>6.1780000000000002E-2</v>
      </c>
      <c r="N36" s="228">
        <f t="shared" si="1"/>
        <v>8.0000000000000002E-3</v>
      </c>
      <c r="O36" s="230">
        <f>N36*PARÂMETROS!$E$8</f>
        <v>0.24712000000000001</v>
      </c>
      <c r="P36" s="228">
        <f t="shared" si="2"/>
        <v>4.2000000000000006E-3</v>
      </c>
      <c r="Q36" s="230">
        <f>P36*PARÂMETROS!$E$8</f>
        <v>0.12973800000000002</v>
      </c>
      <c r="R36" s="228">
        <f t="shared" si="3"/>
        <v>8.0000000000000004E-4</v>
      </c>
      <c r="S36" s="230">
        <f>R36*PARÂMETROS!$E$8</f>
        <v>2.4712000000000001E-2</v>
      </c>
      <c r="T36" s="231">
        <v>0.92</v>
      </c>
      <c r="U36" s="230">
        <f>T36*PARÂMETROS!$E$27</f>
        <v>2.7600000000000002</v>
      </c>
      <c r="V36" s="228">
        <f t="shared" si="4"/>
        <v>0.303645</v>
      </c>
      <c r="W36" s="230">
        <f>V36*PARÂMETROS!$E$8</f>
        <v>9.3795940499999997</v>
      </c>
      <c r="X36" s="229">
        <f t="shared" si="5"/>
        <v>0.1518225</v>
      </c>
      <c r="Y36" s="230">
        <f>X36*PARÂMETROS!$E$8</f>
        <v>4.6897970249999998</v>
      </c>
      <c r="Z36" s="23"/>
      <c r="AA36" s="23"/>
      <c r="AB36" s="232" t="s">
        <v>1415</v>
      </c>
      <c r="AC36" s="264">
        <f t="shared" si="6"/>
        <v>98.515031074999996</v>
      </c>
      <c r="AD36" s="23"/>
      <c r="AE36" s="224" t="s">
        <v>41</v>
      </c>
      <c r="AF36" s="291">
        <f>PARÂMETROS!$H$3</f>
        <v>40</v>
      </c>
      <c r="AG36" s="267">
        <v>2.1527777777777798E-2</v>
      </c>
      <c r="AH36" s="267">
        <v>1.7361111111111101E-2</v>
      </c>
      <c r="AI36" s="267">
        <v>1.7361111111111101E-2</v>
      </c>
      <c r="AJ36" s="300"/>
      <c r="AK36" s="267">
        <v>2.0833333333333301E-2</v>
      </c>
      <c r="AL36" s="267">
        <v>6.9444444444444397E-3</v>
      </c>
      <c r="AM36" s="267">
        <v>3.125E-2</v>
      </c>
      <c r="AN36" s="271">
        <v>2</v>
      </c>
      <c r="AO36" s="292">
        <f t="shared" si="7"/>
        <v>0.11527777777777774</v>
      </c>
      <c r="AP36" s="291">
        <f t="shared" si="8"/>
        <v>110.66666666666663</v>
      </c>
      <c r="AQ36" s="272">
        <f t="shared" si="9"/>
        <v>55.333333333333314</v>
      </c>
      <c r="AR36" s="23"/>
      <c r="AS36" s="273">
        <f t="shared" si="10"/>
        <v>98.515031074999996</v>
      </c>
      <c r="AT36" s="274">
        <f t="shared" si="11"/>
        <v>110.66666666666663</v>
      </c>
      <c r="AU36" s="275">
        <v>2</v>
      </c>
      <c r="AV36" s="276">
        <f t="shared" si="12"/>
        <v>55.333333333333314</v>
      </c>
      <c r="AW36" s="293">
        <f t="shared" si="13"/>
        <v>153.84836440833331</v>
      </c>
      <c r="AX36" s="275">
        <v>2</v>
      </c>
      <c r="BS36" s="293">
        <v>80</v>
      </c>
      <c r="BT36" s="293">
        <f t="shared" si="14"/>
        <v>233.84836440833331</v>
      </c>
    </row>
    <row r="37" spans="1:72" ht="25.5" customHeight="1" x14ac:dyDescent="0.3">
      <c r="A37" s="224" t="s">
        <v>43</v>
      </c>
      <c r="B37" s="225" t="s">
        <v>1409</v>
      </c>
      <c r="C37" s="228">
        <v>3.22</v>
      </c>
      <c r="D37" s="263">
        <f>C37*C5</f>
        <v>63.079800000000006</v>
      </c>
      <c r="E37" s="228">
        <v>1.61</v>
      </c>
      <c r="F37" s="263">
        <f>E37*F5</f>
        <v>31.539900000000003</v>
      </c>
      <c r="G37" s="227">
        <f t="shared" si="0"/>
        <v>94.619700000000009</v>
      </c>
      <c r="H37" s="228">
        <v>1</v>
      </c>
      <c r="I37" s="227">
        <f>H37*PARÂMETROS!$E$22</f>
        <v>42.37</v>
      </c>
      <c r="J37" s="228">
        <v>6.5000000000000002E-2</v>
      </c>
      <c r="K37" s="227">
        <f>J37*PARÂMETROS!$E$22</f>
        <v>2.7540499999999999</v>
      </c>
      <c r="L37" s="228">
        <v>2E-3</v>
      </c>
      <c r="M37" s="230">
        <f>L37*PARÂMETROS!$E$8</f>
        <v>6.1780000000000002E-2</v>
      </c>
      <c r="N37" s="228">
        <f t="shared" si="1"/>
        <v>0.01</v>
      </c>
      <c r="O37" s="230">
        <f>N37*PARÂMETROS!$E$8</f>
        <v>0.30890000000000001</v>
      </c>
      <c r="P37" s="228">
        <f t="shared" si="2"/>
        <v>6.5000000000000006E-3</v>
      </c>
      <c r="Q37" s="230">
        <f>P37*PARÂMETROS!$E$8</f>
        <v>0.20078500000000002</v>
      </c>
      <c r="R37" s="228">
        <f t="shared" si="3"/>
        <v>1E-3</v>
      </c>
      <c r="S37" s="230">
        <f>R37*PARÂMETROS!$E$8</f>
        <v>3.0890000000000001E-2</v>
      </c>
      <c r="T37" s="231">
        <v>1.02</v>
      </c>
      <c r="U37" s="230">
        <f>T37*PARÂMETROS!$E$27</f>
        <v>3.06</v>
      </c>
      <c r="V37" s="228">
        <f t="shared" si="4"/>
        <v>0.63079800000000008</v>
      </c>
      <c r="W37" s="230">
        <f>V37*PARÂMETROS!$E$8</f>
        <v>19.485350220000004</v>
      </c>
      <c r="X37" s="228">
        <f t="shared" si="5"/>
        <v>0.31539900000000004</v>
      </c>
      <c r="Y37" s="230">
        <f>X37*PARÂMETROS!$E$8</f>
        <v>9.7426751100000022</v>
      </c>
      <c r="Z37" s="23"/>
      <c r="AA37" s="23"/>
      <c r="AB37" s="232" t="s">
        <v>1416</v>
      </c>
      <c r="AC37" s="264">
        <f t="shared" si="6"/>
        <v>172.63413033</v>
      </c>
      <c r="AD37" s="23"/>
      <c r="AE37" s="224" t="s">
        <v>43</v>
      </c>
      <c r="AF37" s="291">
        <f>PARÂMETROS!$H$3</f>
        <v>40</v>
      </c>
      <c r="AG37" s="267">
        <v>2.1527777777777798E-2</v>
      </c>
      <c r="AH37" s="267">
        <v>1.7361111111111101E-2</v>
      </c>
      <c r="AI37" s="267">
        <v>1.7361111111111101E-2</v>
      </c>
      <c r="AJ37" s="267">
        <v>6.9444444444444397E-3</v>
      </c>
      <c r="AK37" s="267">
        <v>2.0833333333333301E-2</v>
      </c>
      <c r="AL37" s="267">
        <v>6.9444444444444397E-3</v>
      </c>
      <c r="AM37" s="267">
        <v>3.125E-2</v>
      </c>
      <c r="AN37" s="271">
        <v>2</v>
      </c>
      <c r="AO37" s="292">
        <f t="shared" si="7"/>
        <v>0.12222222222222219</v>
      </c>
      <c r="AP37" s="291">
        <f t="shared" si="8"/>
        <v>117.3333333333333</v>
      </c>
      <c r="AQ37" s="272">
        <f t="shared" si="9"/>
        <v>58.66666666666665</v>
      </c>
      <c r="AR37" s="23"/>
      <c r="AS37" s="273">
        <f t="shared" si="10"/>
        <v>172.63413033</v>
      </c>
      <c r="AT37" s="274">
        <f t="shared" si="11"/>
        <v>117.3333333333333</v>
      </c>
      <c r="AU37" s="275">
        <v>2</v>
      </c>
      <c r="AV37" s="276">
        <f t="shared" si="12"/>
        <v>58.66666666666665</v>
      </c>
      <c r="AW37" s="293">
        <f t="shared" si="13"/>
        <v>231.30079699666666</v>
      </c>
      <c r="AX37" s="275">
        <v>2</v>
      </c>
      <c r="BS37" s="293">
        <v>80</v>
      </c>
      <c r="BT37" s="293">
        <f t="shared" si="14"/>
        <v>311.30079699666669</v>
      </c>
    </row>
    <row r="38" spans="1:72" ht="25.5" customHeight="1" x14ac:dyDescent="0.3">
      <c r="A38" s="224" t="s">
        <v>45</v>
      </c>
      <c r="B38" s="225" t="s">
        <v>1409</v>
      </c>
      <c r="C38" s="228">
        <v>5.3140000000000001</v>
      </c>
      <c r="D38" s="263">
        <f>C38*C5</f>
        <v>104.10126</v>
      </c>
      <c r="E38" s="228">
        <v>2.657</v>
      </c>
      <c r="F38" s="263">
        <f>E38*F5</f>
        <v>52.050629999999998</v>
      </c>
      <c r="G38" s="227">
        <f t="shared" si="0"/>
        <v>156.15188999999998</v>
      </c>
      <c r="H38" s="228">
        <v>1.4</v>
      </c>
      <c r="I38" s="227">
        <f>H38*PARÂMETROS!$E$22</f>
        <v>59.317999999999991</v>
      </c>
      <c r="J38" s="228">
        <v>9.1999999999999998E-2</v>
      </c>
      <c r="K38" s="227">
        <f>J38*PARÂMETROS!$E$22</f>
        <v>3.8980399999999995</v>
      </c>
      <c r="L38" s="228">
        <v>2E-3</v>
      </c>
      <c r="M38" s="230">
        <f>L38*PARÂMETROS!$E$8</f>
        <v>6.1780000000000002E-2</v>
      </c>
      <c r="N38" s="228">
        <f t="shared" si="1"/>
        <v>1.3999999999999999E-2</v>
      </c>
      <c r="O38" s="230">
        <f>N38*PARÂMETROS!$E$8</f>
        <v>0.43245999999999996</v>
      </c>
      <c r="P38" s="228">
        <f t="shared" si="2"/>
        <v>9.1999999999999998E-3</v>
      </c>
      <c r="Q38" s="230">
        <f>P38*PARÂMETROS!$E$8</f>
        <v>0.284188</v>
      </c>
      <c r="R38" s="228">
        <f t="shared" si="3"/>
        <v>1.4E-3</v>
      </c>
      <c r="S38" s="230">
        <f>R38*PARÂMETROS!$E$8</f>
        <v>4.3246E-2</v>
      </c>
      <c r="T38" s="231">
        <v>1.1200000000000001</v>
      </c>
      <c r="U38" s="230">
        <f>T38*PARÂMETROS!$E$27</f>
        <v>3.3600000000000003</v>
      </c>
      <c r="V38" s="228">
        <f t="shared" si="4"/>
        <v>1.0410126</v>
      </c>
      <c r="W38" s="230">
        <f>V38*PARÂMETROS!$E$8</f>
        <v>32.156879214</v>
      </c>
      <c r="X38" s="228">
        <f t="shared" si="5"/>
        <v>0.52050629999999998</v>
      </c>
      <c r="Y38" s="230">
        <f>X38*PARÂMETROS!$E$8</f>
        <v>16.078439607</v>
      </c>
      <c r="Z38" s="23"/>
      <c r="AA38" s="23"/>
      <c r="AB38" s="232" t="s">
        <v>1417</v>
      </c>
      <c r="AC38" s="264">
        <f t="shared" si="6"/>
        <v>271.78492282100001</v>
      </c>
      <c r="AD38" s="23"/>
      <c r="AE38" s="224" t="s">
        <v>45</v>
      </c>
      <c r="AF38" s="291">
        <f>PARÂMETROS!$H$3</f>
        <v>40</v>
      </c>
      <c r="AG38" s="267">
        <v>2.1527777777777798E-2</v>
      </c>
      <c r="AH38" s="267">
        <v>1.7361111111111101E-2</v>
      </c>
      <c r="AI38" s="267">
        <v>1.7361111111111101E-2</v>
      </c>
      <c r="AJ38" s="267">
        <v>6.9444444444444397E-3</v>
      </c>
      <c r="AK38" s="267">
        <v>2.0833333333333301E-2</v>
      </c>
      <c r="AL38" s="267">
        <v>6.9444444444444397E-3</v>
      </c>
      <c r="AM38" s="267">
        <v>3.125E-2</v>
      </c>
      <c r="AN38" s="271">
        <v>2</v>
      </c>
      <c r="AO38" s="292">
        <f t="shared" si="7"/>
        <v>0.12222222222222219</v>
      </c>
      <c r="AP38" s="291">
        <f t="shared" si="8"/>
        <v>117.3333333333333</v>
      </c>
      <c r="AQ38" s="272">
        <f t="shared" si="9"/>
        <v>58.66666666666665</v>
      </c>
      <c r="AR38" s="23"/>
      <c r="AS38" s="273">
        <f t="shared" si="10"/>
        <v>271.78492282100001</v>
      </c>
      <c r="AT38" s="274">
        <f t="shared" si="11"/>
        <v>117.3333333333333</v>
      </c>
      <c r="AU38" s="275">
        <v>2</v>
      </c>
      <c r="AV38" s="276">
        <f t="shared" si="12"/>
        <v>58.66666666666665</v>
      </c>
      <c r="AW38" s="293">
        <f t="shared" si="13"/>
        <v>330.45158948766664</v>
      </c>
      <c r="AX38" s="275">
        <v>2</v>
      </c>
      <c r="BS38" s="293">
        <v>80</v>
      </c>
      <c r="BT38" s="293">
        <f t="shared" si="14"/>
        <v>410.45158948766664</v>
      </c>
    </row>
    <row r="39" spans="1:72" ht="25.5" customHeight="1" x14ac:dyDescent="0.3">
      <c r="A39" s="224" t="s">
        <v>47</v>
      </c>
      <c r="B39" s="225" t="s">
        <v>1409</v>
      </c>
      <c r="C39" s="228">
        <v>7.8</v>
      </c>
      <c r="D39" s="263">
        <f>C39*C5</f>
        <v>152.80199999999999</v>
      </c>
      <c r="E39" s="228">
        <v>3.9</v>
      </c>
      <c r="F39" s="263">
        <f>E39*F5</f>
        <v>76.400999999999996</v>
      </c>
      <c r="G39" s="227">
        <f t="shared" si="0"/>
        <v>229.20299999999997</v>
      </c>
      <c r="H39" s="228">
        <v>1.8</v>
      </c>
      <c r="I39" s="227">
        <f>H39*PARÂMETROS!$E$22</f>
        <v>76.265999999999991</v>
      </c>
      <c r="J39" s="228">
        <v>0.124</v>
      </c>
      <c r="K39" s="227">
        <f>J39*PARÂMETROS!$E$22</f>
        <v>5.2538799999999997</v>
      </c>
      <c r="L39" s="228">
        <v>2E-3</v>
      </c>
      <c r="M39" s="230">
        <f>L39*PARÂMETROS!$E$8</f>
        <v>6.1780000000000002E-2</v>
      </c>
      <c r="N39" s="228">
        <f t="shared" si="1"/>
        <v>1.8000000000000002E-2</v>
      </c>
      <c r="O39" s="230">
        <f>N39*PARÂMETROS!$E$8</f>
        <v>0.55602000000000007</v>
      </c>
      <c r="P39" s="228">
        <f t="shared" si="2"/>
        <v>1.2400000000000001E-2</v>
      </c>
      <c r="Q39" s="230">
        <f>P39*PARÂMETROS!$E$8</f>
        <v>0.38303600000000004</v>
      </c>
      <c r="R39" s="228">
        <f t="shared" si="3"/>
        <v>1.8000000000000004E-3</v>
      </c>
      <c r="S39" s="230">
        <f>R39*PARÂMETROS!$E$8</f>
        <v>5.5602000000000013E-2</v>
      </c>
      <c r="T39" s="231">
        <v>1.22</v>
      </c>
      <c r="U39" s="230">
        <f>T39*PARÂMETROS!$E$27</f>
        <v>3.66</v>
      </c>
      <c r="V39" s="228">
        <f t="shared" si="4"/>
        <v>1.5280199999999999</v>
      </c>
      <c r="W39" s="230">
        <f>V39*PARÂMETROS!$E$8</f>
        <v>47.200537799999999</v>
      </c>
      <c r="X39" s="228">
        <f t="shared" si="5"/>
        <v>0.76400999999999997</v>
      </c>
      <c r="Y39" s="230">
        <f>X39*PARÂMETROS!$E$8</f>
        <v>23.6002689</v>
      </c>
      <c r="Z39" s="23"/>
      <c r="AA39" s="23"/>
      <c r="AB39" s="232" t="s">
        <v>1418</v>
      </c>
      <c r="AC39" s="264">
        <f t="shared" si="6"/>
        <v>386.24012469999997</v>
      </c>
      <c r="AD39" s="23"/>
      <c r="AE39" s="224" t="s">
        <v>47</v>
      </c>
      <c r="AF39" s="291">
        <f>PARÂMETROS!$H$3</f>
        <v>40</v>
      </c>
      <c r="AG39" s="267">
        <v>2.1527777777777798E-2</v>
      </c>
      <c r="AH39" s="267">
        <v>2.7777777777777801E-2</v>
      </c>
      <c r="AI39" s="267">
        <v>2.7777777777777801E-2</v>
      </c>
      <c r="AJ39" s="267">
        <v>6.9444444444444397E-3</v>
      </c>
      <c r="AK39" s="267">
        <v>2.0833333333333301E-2</v>
      </c>
      <c r="AL39" s="267">
        <v>6.9444444444444397E-3</v>
      </c>
      <c r="AM39" s="267">
        <v>3.125E-2</v>
      </c>
      <c r="AN39" s="271">
        <v>1</v>
      </c>
      <c r="AO39" s="292">
        <f t="shared" si="7"/>
        <v>0.1430555555555556</v>
      </c>
      <c r="AP39" s="291">
        <f t="shared" si="8"/>
        <v>137.33333333333337</v>
      </c>
      <c r="AQ39" s="272">
        <f t="shared" si="9"/>
        <v>137.33333333333337</v>
      </c>
      <c r="AR39" s="23"/>
      <c r="AS39" s="273">
        <f t="shared" si="10"/>
        <v>386.24012469999997</v>
      </c>
      <c r="AT39" s="274">
        <f t="shared" si="11"/>
        <v>137.33333333333337</v>
      </c>
      <c r="AU39" s="275">
        <v>1</v>
      </c>
      <c r="AV39" s="276">
        <f t="shared" si="12"/>
        <v>137.33333333333337</v>
      </c>
      <c r="AW39" s="293">
        <f t="shared" si="13"/>
        <v>523.57345803333328</v>
      </c>
      <c r="AX39" s="275">
        <v>1</v>
      </c>
      <c r="BS39" s="293">
        <v>80</v>
      </c>
      <c r="BT39" s="293">
        <f t="shared" si="14"/>
        <v>603.57345803333328</v>
      </c>
    </row>
    <row r="40" spans="1:72" ht="25.5" customHeight="1" x14ac:dyDescent="0.3">
      <c r="A40" s="224" t="s">
        <v>222</v>
      </c>
      <c r="B40" s="225" t="s">
        <v>1409</v>
      </c>
      <c r="C40" s="228">
        <v>10.4</v>
      </c>
      <c r="D40" s="263">
        <f>C40*C5</f>
        <v>203.73600000000002</v>
      </c>
      <c r="E40" s="228">
        <v>5.2</v>
      </c>
      <c r="F40" s="263">
        <f>E40*F5</f>
        <v>101.86800000000001</v>
      </c>
      <c r="G40" s="227">
        <f t="shared" si="0"/>
        <v>305.60400000000004</v>
      </c>
      <c r="H40" s="228">
        <v>2.5</v>
      </c>
      <c r="I40" s="227">
        <f>H40*PARÂMETROS!$E$22</f>
        <v>105.925</v>
      </c>
      <c r="J40" s="228">
        <v>0.161</v>
      </c>
      <c r="K40" s="227">
        <f>J40*PARÂMETROS!$E$22</f>
        <v>6.8215699999999995</v>
      </c>
      <c r="L40" s="228">
        <v>2E-3</v>
      </c>
      <c r="M40" s="230">
        <f>L40*PARÂMETROS!$E$8</f>
        <v>6.1780000000000002E-2</v>
      </c>
      <c r="N40" s="228">
        <f t="shared" si="1"/>
        <v>2.5000000000000001E-2</v>
      </c>
      <c r="O40" s="230">
        <f>N40*PARÂMETROS!$E$8</f>
        <v>0.7722500000000001</v>
      </c>
      <c r="P40" s="228">
        <f t="shared" si="2"/>
        <v>1.61E-2</v>
      </c>
      <c r="Q40" s="230">
        <f>P40*PARÂMETROS!$E$8</f>
        <v>0.49732900000000002</v>
      </c>
      <c r="R40" s="228">
        <f t="shared" si="3"/>
        <v>2.5000000000000005E-3</v>
      </c>
      <c r="S40" s="230">
        <f>R40*PARÂMETROS!$E$8</f>
        <v>7.7225000000000016E-2</v>
      </c>
      <c r="T40" s="231">
        <v>1.31</v>
      </c>
      <c r="U40" s="230">
        <f>T40*PARÂMETROS!$E$27</f>
        <v>3.93</v>
      </c>
      <c r="V40" s="228">
        <f t="shared" si="4"/>
        <v>2.0373600000000001</v>
      </c>
      <c r="W40" s="230">
        <f>V40*PARÂMETROS!$E$8</f>
        <v>62.934050400000004</v>
      </c>
      <c r="X40" s="228">
        <f t="shared" si="5"/>
        <v>1.01868</v>
      </c>
      <c r="Y40" s="230">
        <f>X40*PARÂMETROS!$E$8</f>
        <v>31.467025200000002</v>
      </c>
      <c r="Z40" s="23"/>
      <c r="AA40" s="23"/>
      <c r="AB40" s="232" t="s">
        <v>1419</v>
      </c>
      <c r="AC40" s="264">
        <f t="shared" si="6"/>
        <v>518.09022960000004</v>
      </c>
      <c r="AD40" s="23"/>
      <c r="AE40" s="224" t="s">
        <v>222</v>
      </c>
      <c r="AF40" s="291">
        <f>PARÂMETROS!$H$3</f>
        <v>40</v>
      </c>
      <c r="AG40" s="267">
        <v>2.1527777777777798E-2</v>
      </c>
      <c r="AH40" s="267">
        <v>2.7777777777777801E-2</v>
      </c>
      <c r="AI40" s="267">
        <v>2.7777777777777801E-2</v>
      </c>
      <c r="AJ40" s="267">
        <v>6.9444444444444397E-3</v>
      </c>
      <c r="AK40" s="267">
        <v>2.0833333333333301E-2</v>
      </c>
      <c r="AL40" s="267">
        <v>6.9444444444444397E-3</v>
      </c>
      <c r="AM40" s="267">
        <v>3.125E-2</v>
      </c>
      <c r="AN40" s="271">
        <v>1</v>
      </c>
      <c r="AO40" s="292">
        <f t="shared" si="7"/>
        <v>0.1430555555555556</v>
      </c>
      <c r="AP40" s="291">
        <f t="shared" si="8"/>
        <v>137.33333333333337</v>
      </c>
      <c r="AQ40" s="272">
        <f t="shared" si="9"/>
        <v>137.33333333333337</v>
      </c>
      <c r="AR40" s="23"/>
      <c r="AS40" s="273">
        <f t="shared" si="10"/>
        <v>518.09022960000004</v>
      </c>
      <c r="AT40" s="274">
        <f t="shared" si="11"/>
        <v>137.33333333333337</v>
      </c>
      <c r="AU40" s="275">
        <v>1</v>
      </c>
      <c r="AV40" s="276">
        <f t="shared" si="12"/>
        <v>137.33333333333337</v>
      </c>
      <c r="AW40" s="293">
        <f t="shared" si="13"/>
        <v>655.42356293333341</v>
      </c>
      <c r="AX40" s="275">
        <v>1</v>
      </c>
      <c r="BS40" s="293">
        <v>80</v>
      </c>
      <c r="BT40" s="293">
        <f t="shared" si="14"/>
        <v>735.42356293333341</v>
      </c>
    </row>
    <row r="41" spans="1:72" ht="25.5" customHeight="1" x14ac:dyDescent="0.3">
      <c r="A41" s="224" t="s">
        <v>226</v>
      </c>
      <c r="B41" s="225" t="s">
        <v>1409</v>
      </c>
      <c r="C41" s="228">
        <v>18</v>
      </c>
      <c r="D41" s="263">
        <f>C41*C5</f>
        <v>352.62</v>
      </c>
      <c r="E41" s="228">
        <v>9</v>
      </c>
      <c r="F41" s="263">
        <f>E41*F5</f>
        <v>176.31</v>
      </c>
      <c r="G41" s="227">
        <f t="shared" si="0"/>
        <v>528.93000000000006</v>
      </c>
      <c r="H41" s="228">
        <v>3</v>
      </c>
      <c r="I41" s="227">
        <f>H41*PARÂMETROS!$E$22</f>
        <v>127.10999999999999</v>
      </c>
      <c r="J41" s="228">
        <v>0.19400000000000001</v>
      </c>
      <c r="K41" s="227">
        <f>J41*PARÂMETROS!$E$22</f>
        <v>8.2197800000000001</v>
      </c>
      <c r="L41" s="228">
        <v>2E-3</v>
      </c>
      <c r="M41" s="230">
        <f>L41*PARÂMETROS!$E$8</f>
        <v>6.1780000000000002E-2</v>
      </c>
      <c r="N41" s="228">
        <f t="shared" si="1"/>
        <v>0.03</v>
      </c>
      <c r="O41" s="230">
        <f>N41*PARÂMETROS!$E$8</f>
        <v>0.92669999999999997</v>
      </c>
      <c r="P41" s="228">
        <f t="shared" si="2"/>
        <v>1.9400000000000001E-2</v>
      </c>
      <c r="Q41" s="230">
        <f>P41*PARÂMETROS!$E$8</f>
        <v>0.59926600000000008</v>
      </c>
      <c r="R41" s="228">
        <f t="shared" si="3"/>
        <v>3.0000000000000001E-3</v>
      </c>
      <c r="S41" s="230">
        <f>R41*PARÂMETROS!$E$8</f>
        <v>9.2670000000000002E-2</v>
      </c>
      <c r="T41" s="231">
        <v>1.4</v>
      </c>
      <c r="U41" s="230">
        <f>T41*PARÂMETROS!$E$27</f>
        <v>4.1999999999999993</v>
      </c>
      <c r="V41" s="228">
        <f t="shared" si="4"/>
        <v>3.5262000000000002</v>
      </c>
      <c r="W41" s="230">
        <f>V41*PARÂMETROS!$E$8</f>
        <v>108.92431800000001</v>
      </c>
      <c r="X41" s="228">
        <f t="shared" si="5"/>
        <v>1.7631000000000001</v>
      </c>
      <c r="Y41" s="230">
        <f>X41*PARÂMETROS!$E$8</f>
        <v>54.462159000000007</v>
      </c>
      <c r="Z41" s="23"/>
      <c r="AA41" s="23"/>
      <c r="AB41" s="232" t="s">
        <v>1420</v>
      </c>
      <c r="AC41" s="264">
        <f t="shared" si="6"/>
        <v>833.52667300000007</v>
      </c>
      <c r="AD41" s="23"/>
      <c r="AE41" s="224" t="s">
        <v>226</v>
      </c>
      <c r="AF41" s="291">
        <f>PARÂMETROS!$H$3</f>
        <v>40</v>
      </c>
      <c r="AG41" s="267">
        <v>2.1527777777777798E-2</v>
      </c>
      <c r="AH41" s="267">
        <v>2.7777777777777801E-2</v>
      </c>
      <c r="AI41" s="267">
        <v>2.7777777777777801E-2</v>
      </c>
      <c r="AJ41" s="267">
        <v>6.9444444444444397E-3</v>
      </c>
      <c r="AK41" s="267">
        <v>2.0833333333333301E-2</v>
      </c>
      <c r="AL41" s="267">
        <v>6.9444444444444397E-3</v>
      </c>
      <c r="AM41" s="267">
        <v>3.125E-2</v>
      </c>
      <c r="AN41" s="271">
        <v>1</v>
      </c>
      <c r="AO41" s="292">
        <f t="shared" si="7"/>
        <v>0.1430555555555556</v>
      </c>
      <c r="AP41" s="291">
        <f t="shared" si="8"/>
        <v>137.33333333333337</v>
      </c>
      <c r="AQ41" s="272">
        <f t="shared" si="9"/>
        <v>137.33333333333337</v>
      </c>
      <c r="AR41" s="23"/>
      <c r="AS41" s="273">
        <f t="shared" si="10"/>
        <v>833.52667300000007</v>
      </c>
      <c r="AT41" s="274">
        <f t="shared" si="11"/>
        <v>137.33333333333337</v>
      </c>
      <c r="AU41" s="275">
        <v>1</v>
      </c>
      <c r="AV41" s="276">
        <f t="shared" si="12"/>
        <v>137.33333333333337</v>
      </c>
      <c r="AW41" s="293">
        <f t="shared" si="13"/>
        <v>970.86000633333344</v>
      </c>
      <c r="AX41" s="275">
        <v>1</v>
      </c>
      <c r="BS41" s="293">
        <v>80</v>
      </c>
      <c r="BT41" s="293">
        <f t="shared" si="14"/>
        <v>1050.8600063333333</v>
      </c>
    </row>
    <row r="42" spans="1:72" ht="25.5" customHeight="1" x14ac:dyDescent="0.3">
      <c r="A42" s="224" t="s">
        <v>230</v>
      </c>
      <c r="B42" s="225" t="s">
        <v>1409</v>
      </c>
      <c r="C42" s="228">
        <v>24</v>
      </c>
      <c r="D42" s="263">
        <f>C42*C5</f>
        <v>470.15999999999997</v>
      </c>
      <c r="E42" s="228">
        <v>12</v>
      </c>
      <c r="F42" s="263">
        <f>E42*F5</f>
        <v>235.07999999999998</v>
      </c>
      <c r="G42" s="227">
        <f t="shared" si="0"/>
        <v>705.24</v>
      </c>
      <c r="H42" s="228">
        <v>3.4</v>
      </c>
      <c r="I42" s="227">
        <f>H42*PARÂMETROS!$E$22</f>
        <v>144.05799999999999</v>
      </c>
      <c r="J42" s="228">
        <v>0.25</v>
      </c>
      <c r="K42" s="227">
        <f>J42*PARÂMETROS!$E$22</f>
        <v>10.592499999999999</v>
      </c>
      <c r="L42" s="228">
        <v>2E-3</v>
      </c>
      <c r="M42" s="230">
        <f>L42*PARÂMETROS!$E$8</f>
        <v>6.1780000000000002E-2</v>
      </c>
      <c r="N42" s="228">
        <f t="shared" si="1"/>
        <v>3.4000000000000002E-2</v>
      </c>
      <c r="O42" s="230">
        <f>N42*PARÂMETROS!$E$8</f>
        <v>1.0502600000000002</v>
      </c>
      <c r="P42" s="228">
        <f t="shared" si="2"/>
        <v>2.5000000000000001E-2</v>
      </c>
      <c r="Q42" s="230">
        <f>P42*PARÂMETROS!$E$8</f>
        <v>0.7722500000000001</v>
      </c>
      <c r="R42" s="228">
        <f t="shared" si="3"/>
        <v>3.4000000000000002E-3</v>
      </c>
      <c r="S42" s="230">
        <f>R42*PARÂMETROS!$E$8</f>
        <v>0.10502600000000001</v>
      </c>
      <c r="T42" s="231">
        <v>1.52</v>
      </c>
      <c r="U42" s="230">
        <f>T42*PARÂMETROS!$E$27</f>
        <v>4.5600000000000005</v>
      </c>
      <c r="V42" s="228">
        <f t="shared" si="4"/>
        <v>4.7016</v>
      </c>
      <c r="W42" s="230">
        <f>V42*PARÂMETROS!$E$8</f>
        <v>145.23242400000001</v>
      </c>
      <c r="X42" s="228">
        <f t="shared" si="5"/>
        <v>2.3508</v>
      </c>
      <c r="Y42" s="230">
        <f>X42*PARÂMETROS!$E$8</f>
        <v>72.616212000000004</v>
      </c>
      <c r="Z42" s="23"/>
      <c r="AA42" s="23"/>
      <c r="AB42" s="232" t="s">
        <v>1421</v>
      </c>
      <c r="AC42" s="264">
        <f t="shared" si="6"/>
        <v>1084.288452</v>
      </c>
      <c r="AD42" s="23"/>
      <c r="AE42" s="224" t="s">
        <v>230</v>
      </c>
      <c r="AF42" s="291">
        <f>PARÂMETROS!$H$3</f>
        <v>40</v>
      </c>
      <c r="AG42" s="267">
        <v>2.1527777777777798E-2</v>
      </c>
      <c r="AH42" s="267">
        <v>4.1666666666666699E-2</v>
      </c>
      <c r="AI42" s="267">
        <v>3.4722222222222203E-2</v>
      </c>
      <c r="AJ42" s="267">
        <v>6.9444444444444397E-3</v>
      </c>
      <c r="AK42" s="267">
        <v>2.0833333333333301E-2</v>
      </c>
      <c r="AL42" s="267">
        <v>6.9444444444444397E-3</v>
      </c>
      <c r="AM42" s="267">
        <v>3.125E-2</v>
      </c>
      <c r="AN42" s="271">
        <v>1</v>
      </c>
      <c r="AO42" s="292">
        <f t="shared" si="7"/>
        <v>0.16388888888888892</v>
      </c>
      <c r="AP42" s="291">
        <f t="shared" si="8"/>
        <v>157.33333333333337</v>
      </c>
      <c r="AQ42" s="272">
        <f t="shared" si="9"/>
        <v>157.33333333333337</v>
      </c>
      <c r="AR42" s="23"/>
      <c r="AS42" s="273">
        <f t="shared" si="10"/>
        <v>1084.288452</v>
      </c>
      <c r="AT42" s="274">
        <f t="shared" si="11"/>
        <v>157.33333333333337</v>
      </c>
      <c r="AU42" s="275">
        <v>1</v>
      </c>
      <c r="AV42" s="276">
        <f t="shared" si="12"/>
        <v>157.33333333333337</v>
      </c>
      <c r="AW42" s="293">
        <f t="shared" si="13"/>
        <v>1241.6217853333333</v>
      </c>
      <c r="AX42" s="275">
        <v>1</v>
      </c>
      <c r="BS42" s="293">
        <v>80</v>
      </c>
      <c r="BT42" s="293">
        <f t="shared" si="14"/>
        <v>1321.6217853333333</v>
      </c>
    </row>
    <row r="43" spans="1:72" ht="25.5" customHeight="1" x14ac:dyDescent="0.3">
      <c r="A43" s="224" t="s">
        <v>234</v>
      </c>
      <c r="B43" s="225" t="s">
        <v>1409</v>
      </c>
      <c r="C43" s="228">
        <v>34</v>
      </c>
      <c r="D43" s="263">
        <f>C43*C5</f>
        <v>666.06</v>
      </c>
      <c r="E43" s="228">
        <v>17</v>
      </c>
      <c r="F43" s="263">
        <f>E43*F5</f>
        <v>333.03</v>
      </c>
      <c r="G43" s="227">
        <f t="shared" si="0"/>
        <v>999.08999999999992</v>
      </c>
      <c r="H43" s="228">
        <v>3.9</v>
      </c>
      <c r="I43" s="227">
        <f>H43*PARÂMETROS!$E$22</f>
        <v>165.24299999999999</v>
      </c>
      <c r="J43" s="228">
        <v>0.30099999999999999</v>
      </c>
      <c r="K43" s="227">
        <f>J43*PARÂMETROS!$E$22</f>
        <v>12.753369999999999</v>
      </c>
      <c r="L43" s="228">
        <v>2E-3</v>
      </c>
      <c r="M43" s="230">
        <f>L43*PARÂMETROS!$E$8</f>
        <v>6.1780000000000002E-2</v>
      </c>
      <c r="N43" s="228">
        <f t="shared" si="1"/>
        <v>3.9E-2</v>
      </c>
      <c r="O43" s="230">
        <f>N43*PARÂMETROS!$E$8</f>
        <v>1.2047099999999999</v>
      </c>
      <c r="P43" s="228">
        <f t="shared" si="2"/>
        <v>3.0100000000000002E-2</v>
      </c>
      <c r="Q43" s="230">
        <f>P43*PARÂMETROS!$E$8</f>
        <v>0.92978900000000009</v>
      </c>
      <c r="R43" s="228">
        <f t="shared" si="3"/>
        <v>3.9000000000000003E-3</v>
      </c>
      <c r="S43" s="230">
        <f>R43*PARÂMETROS!$E$8</f>
        <v>0.12047100000000001</v>
      </c>
      <c r="T43" s="231">
        <v>1.62</v>
      </c>
      <c r="U43" s="230">
        <f>T43*PARÂMETROS!$E$27</f>
        <v>4.8600000000000003</v>
      </c>
      <c r="V43" s="228">
        <f t="shared" si="4"/>
        <v>6.6605999999999996</v>
      </c>
      <c r="W43" s="230">
        <f>V43*PARÂMETROS!$E$8</f>
        <v>205.74593400000001</v>
      </c>
      <c r="X43" s="228">
        <f t="shared" si="5"/>
        <v>3.3302999999999998</v>
      </c>
      <c r="Y43" s="230">
        <f>X43*PARÂMETROS!$E$8</f>
        <v>102.872967</v>
      </c>
      <c r="Z43" s="23"/>
      <c r="AA43" s="23"/>
      <c r="AB43" s="232" t="s">
        <v>1422</v>
      </c>
      <c r="AC43" s="264">
        <f t="shared" si="6"/>
        <v>1492.8820209999999</v>
      </c>
      <c r="AD43" s="23"/>
      <c r="AE43" s="224" t="s">
        <v>234</v>
      </c>
      <c r="AF43" s="291">
        <f>PARÂMETROS!$H$3</f>
        <v>40</v>
      </c>
      <c r="AG43" s="267">
        <v>2.1527777777777798E-2</v>
      </c>
      <c r="AH43" s="267">
        <v>4.1666666666666699E-2</v>
      </c>
      <c r="AI43" s="267">
        <v>8.3333333333333301E-2</v>
      </c>
      <c r="AJ43" s="267">
        <v>6.9444444444444397E-3</v>
      </c>
      <c r="AK43" s="267">
        <v>2.0833333333333301E-2</v>
      </c>
      <c r="AL43" s="267">
        <v>6.9444444444444397E-3</v>
      </c>
      <c r="AM43" s="267">
        <v>3.125E-2</v>
      </c>
      <c r="AN43" s="271">
        <v>1</v>
      </c>
      <c r="AO43" s="292">
        <f t="shared" si="7"/>
        <v>0.21249999999999997</v>
      </c>
      <c r="AP43" s="291">
        <f t="shared" si="8"/>
        <v>203.99999999999994</v>
      </c>
      <c r="AQ43" s="272">
        <f t="shared" si="9"/>
        <v>203.99999999999994</v>
      </c>
      <c r="AR43" s="23"/>
      <c r="AS43" s="273">
        <f t="shared" si="10"/>
        <v>1492.8820209999999</v>
      </c>
      <c r="AT43" s="274">
        <f t="shared" si="11"/>
        <v>203.99999999999994</v>
      </c>
      <c r="AU43" s="275">
        <v>1</v>
      </c>
      <c r="AV43" s="276">
        <f t="shared" si="12"/>
        <v>203.99999999999994</v>
      </c>
      <c r="AW43" s="293">
        <f t="shared" si="13"/>
        <v>1696.8820209999999</v>
      </c>
      <c r="AX43" s="275">
        <v>1</v>
      </c>
      <c r="BS43" s="293">
        <v>80</v>
      </c>
      <c r="BT43" s="293">
        <f t="shared" si="14"/>
        <v>1776.8820209999999</v>
      </c>
    </row>
    <row r="44" spans="1:72" ht="25.5" customHeight="1" x14ac:dyDescent="0.3">
      <c r="A44" s="224" t="s">
        <v>238</v>
      </c>
      <c r="B44" s="225" t="s">
        <v>1409</v>
      </c>
      <c r="C44" s="228">
        <v>40</v>
      </c>
      <c r="D44" s="263">
        <f>C44*C5</f>
        <v>783.6</v>
      </c>
      <c r="E44" s="228">
        <v>20</v>
      </c>
      <c r="F44" s="263">
        <f>E44*F5</f>
        <v>391.8</v>
      </c>
      <c r="G44" s="227">
        <f t="shared" si="0"/>
        <v>1175.4000000000001</v>
      </c>
      <c r="H44" s="228">
        <v>4.5</v>
      </c>
      <c r="I44" s="227">
        <f>H44*PARÂMETROS!$E$22</f>
        <v>190.66499999999999</v>
      </c>
      <c r="J44" s="228">
        <v>0.35699999999999998</v>
      </c>
      <c r="K44" s="227">
        <f>J44*PARÂMETROS!$E$22</f>
        <v>15.126089999999998</v>
      </c>
      <c r="L44" s="228">
        <v>2E-3</v>
      </c>
      <c r="M44" s="230">
        <f>L44*PARÂMETROS!$E$8</f>
        <v>6.1780000000000002E-2</v>
      </c>
      <c r="N44" s="228">
        <f t="shared" si="1"/>
        <v>4.4999999999999998E-2</v>
      </c>
      <c r="O44" s="230">
        <f>N44*PARÂMETROS!$E$8</f>
        <v>1.39005</v>
      </c>
      <c r="P44" s="228">
        <f t="shared" si="2"/>
        <v>3.5700000000000003E-2</v>
      </c>
      <c r="Q44" s="230">
        <f>P44*PARÂMETROS!$E$8</f>
        <v>1.102773</v>
      </c>
      <c r="R44" s="228">
        <f t="shared" si="3"/>
        <v>4.4999999999999997E-3</v>
      </c>
      <c r="S44" s="230">
        <f>R44*PARÂMETROS!$E$8</f>
        <v>0.13900499999999999</v>
      </c>
      <c r="T44" s="231">
        <v>1.72</v>
      </c>
      <c r="U44" s="230">
        <f>T44*PARÂMETROS!$E$27</f>
        <v>5.16</v>
      </c>
      <c r="V44" s="228">
        <f t="shared" si="4"/>
        <v>7.8360000000000003</v>
      </c>
      <c r="W44" s="230">
        <f>V44*PARÂMETROS!$E$8</f>
        <v>242.05404000000001</v>
      </c>
      <c r="X44" s="228">
        <f t="shared" si="5"/>
        <v>3.9180000000000001</v>
      </c>
      <c r="Y44" s="230">
        <f>X44*PARÂMETROS!$E$8</f>
        <v>121.02702000000001</v>
      </c>
      <c r="Z44" s="23"/>
      <c r="AA44" s="23"/>
      <c r="AB44" s="232" t="s">
        <v>1423</v>
      </c>
      <c r="AC44" s="264">
        <f t="shared" si="6"/>
        <v>1752.1257580000001</v>
      </c>
      <c r="AD44" s="23"/>
      <c r="AE44" s="224" t="s">
        <v>238</v>
      </c>
      <c r="AF44" s="291">
        <f>PARÂMETROS!$H$3</f>
        <v>40</v>
      </c>
      <c r="AG44" s="267">
        <v>4.1666666666666699E-2</v>
      </c>
      <c r="AH44" s="267">
        <v>0.125</v>
      </c>
      <c r="AI44" s="267">
        <v>8.3333333333333301E-2</v>
      </c>
      <c r="AJ44" s="267">
        <v>6.9444444444444397E-3</v>
      </c>
      <c r="AK44" s="267">
        <v>2.0833333333333301E-2</v>
      </c>
      <c r="AL44" s="267">
        <v>6.9444444444444397E-3</v>
      </c>
      <c r="AM44" s="267">
        <v>3.125E-2</v>
      </c>
      <c r="AN44" s="271">
        <v>1</v>
      </c>
      <c r="AO44" s="292">
        <f t="shared" si="7"/>
        <v>0.31597222222222215</v>
      </c>
      <c r="AP44" s="291">
        <f t="shared" si="8"/>
        <v>303.33333333333326</v>
      </c>
      <c r="AQ44" s="272">
        <f t="shared" si="9"/>
        <v>303.33333333333326</v>
      </c>
      <c r="AR44" s="23"/>
      <c r="AS44" s="273">
        <f t="shared" si="10"/>
        <v>1752.1257580000001</v>
      </c>
      <c r="AT44" s="274">
        <f t="shared" si="11"/>
        <v>303.33333333333326</v>
      </c>
      <c r="AU44" s="275">
        <v>1</v>
      </c>
      <c r="AV44" s="276">
        <f t="shared" si="12"/>
        <v>303.33333333333326</v>
      </c>
      <c r="AW44" s="293">
        <f t="shared" si="13"/>
        <v>2055.4590913333332</v>
      </c>
      <c r="AX44" s="275">
        <v>1</v>
      </c>
      <c r="BS44" s="293">
        <v>80</v>
      </c>
      <c r="BT44" s="293">
        <f t="shared" si="14"/>
        <v>2135.4590913333332</v>
      </c>
    </row>
    <row r="45" spans="1:72" ht="25.5" customHeight="1" x14ac:dyDescent="0.3">
      <c r="A45" s="224" t="s">
        <v>242</v>
      </c>
      <c r="B45" s="225" t="s">
        <v>1409</v>
      </c>
      <c r="C45" s="228">
        <v>52</v>
      </c>
      <c r="D45" s="263">
        <f>C45*C5</f>
        <v>1018.68</v>
      </c>
      <c r="E45" s="228">
        <v>26</v>
      </c>
      <c r="F45" s="263">
        <f>E45*F5</f>
        <v>509.34</v>
      </c>
      <c r="G45" s="227">
        <f t="shared" si="0"/>
        <v>1528.02</v>
      </c>
      <c r="H45" s="228">
        <v>5</v>
      </c>
      <c r="I45" s="227">
        <f>H45*PARÂMETROS!$E$22</f>
        <v>211.85</v>
      </c>
      <c r="J45" s="228">
        <v>0.41799999999999998</v>
      </c>
      <c r="K45" s="227">
        <f>J45*PARÂMETROS!$E$22</f>
        <v>17.710659999999997</v>
      </c>
      <c r="L45" s="228">
        <v>2E-3</v>
      </c>
      <c r="M45" s="230">
        <f>L45*PARÂMETROS!$E$8</f>
        <v>6.1780000000000002E-2</v>
      </c>
      <c r="N45" s="228">
        <f t="shared" si="1"/>
        <v>0.05</v>
      </c>
      <c r="O45" s="230">
        <f>N45*PARÂMETROS!$E$8</f>
        <v>1.5445000000000002</v>
      </c>
      <c r="P45" s="228">
        <f t="shared" si="2"/>
        <v>4.1800000000000004E-2</v>
      </c>
      <c r="Q45" s="230">
        <f>P45*PARÂMETROS!$E$8</f>
        <v>1.2912020000000002</v>
      </c>
      <c r="R45" s="228">
        <f t="shared" si="3"/>
        <v>5.000000000000001E-3</v>
      </c>
      <c r="S45" s="230">
        <f>R45*PARÂMETROS!$E$8</f>
        <v>0.15445000000000003</v>
      </c>
      <c r="T45" s="231">
        <v>1.82</v>
      </c>
      <c r="U45" s="230">
        <f>T45*PARÂMETROS!$E$27</f>
        <v>5.46</v>
      </c>
      <c r="V45" s="228">
        <f t="shared" si="4"/>
        <v>10.1868</v>
      </c>
      <c r="W45" s="230">
        <f>V45*PARÂMETROS!$E$8</f>
        <v>314.670252</v>
      </c>
      <c r="X45" s="228">
        <f t="shared" si="5"/>
        <v>5.0933999999999999</v>
      </c>
      <c r="Y45" s="230">
        <f>X45*PARÂMETROS!$E$8</f>
        <v>157.335126</v>
      </c>
      <c r="Z45" s="23"/>
      <c r="AA45" s="23"/>
      <c r="AB45" s="232" t="s">
        <v>1424</v>
      </c>
      <c r="AC45" s="264">
        <f t="shared" si="6"/>
        <v>2238.0979699999998</v>
      </c>
      <c r="AD45" s="23"/>
      <c r="AE45" s="224" t="s">
        <v>242</v>
      </c>
      <c r="AF45" s="291">
        <f>PARÂMETROS!$H$3</f>
        <v>40</v>
      </c>
      <c r="AG45" s="267">
        <v>4.1666666666666699E-2</v>
      </c>
      <c r="AH45" s="267">
        <v>0.125</v>
      </c>
      <c r="AI45" s="267">
        <v>8.3333333333333301E-2</v>
      </c>
      <c r="AJ45" s="267">
        <v>6.9444444444444397E-3</v>
      </c>
      <c r="AK45" s="267">
        <v>2.0833333333333301E-2</v>
      </c>
      <c r="AL45" s="267">
        <v>6.9444444444444397E-3</v>
      </c>
      <c r="AM45" s="267">
        <v>3.125E-2</v>
      </c>
      <c r="AN45" s="271">
        <v>1</v>
      </c>
      <c r="AO45" s="292">
        <f t="shared" si="7"/>
        <v>0.31597222222222215</v>
      </c>
      <c r="AP45" s="291">
        <f t="shared" si="8"/>
        <v>303.33333333333326</v>
      </c>
      <c r="AQ45" s="272">
        <f t="shared" si="9"/>
        <v>303.33333333333326</v>
      </c>
      <c r="AR45" s="23"/>
      <c r="AS45" s="273">
        <f t="shared" si="10"/>
        <v>2238.0979699999998</v>
      </c>
      <c r="AT45" s="274">
        <f t="shared" si="11"/>
        <v>303.33333333333326</v>
      </c>
      <c r="AU45" s="275">
        <v>1</v>
      </c>
      <c r="AV45" s="276">
        <f t="shared" si="12"/>
        <v>303.33333333333326</v>
      </c>
      <c r="AW45" s="293">
        <f t="shared" si="13"/>
        <v>2541.4313033333328</v>
      </c>
      <c r="AX45" s="275">
        <v>1</v>
      </c>
      <c r="BS45" s="293">
        <v>80</v>
      </c>
      <c r="BT45" s="293">
        <f t="shared" si="14"/>
        <v>2621.4313033333328</v>
      </c>
    </row>
    <row r="46" spans="1:72" ht="25.5" customHeight="1" x14ac:dyDescent="0.3">
      <c r="A46" s="224" t="s">
        <v>246</v>
      </c>
      <c r="B46" s="225" t="s">
        <v>1409</v>
      </c>
      <c r="C46" s="228">
        <v>66</v>
      </c>
      <c r="D46" s="263">
        <f>C46*C5</f>
        <v>1292.94</v>
      </c>
      <c r="E46" s="228">
        <v>33</v>
      </c>
      <c r="F46" s="263">
        <f>E46*F5</f>
        <v>646.47</v>
      </c>
      <c r="G46" s="227">
        <f t="shared" si="0"/>
        <v>1939.41</v>
      </c>
      <c r="H46" s="228">
        <v>5.4</v>
      </c>
      <c r="I46" s="227">
        <f>H46*PARÂMETROS!$E$22</f>
        <v>228.798</v>
      </c>
      <c r="J46" s="228">
        <v>0.498</v>
      </c>
      <c r="K46" s="227">
        <f>J46*PARÂMETROS!$E$22</f>
        <v>21.100259999999999</v>
      </c>
      <c r="L46" s="228">
        <v>2E-3</v>
      </c>
      <c r="M46" s="230">
        <f>L46*PARÂMETROS!$E$8</f>
        <v>6.1780000000000002E-2</v>
      </c>
      <c r="N46" s="228">
        <f t="shared" si="1"/>
        <v>5.4000000000000006E-2</v>
      </c>
      <c r="O46" s="230">
        <f>N46*PARÂMETROS!$E$8</f>
        <v>1.6680600000000003</v>
      </c>
      <c r="P46" s="228">
        <f t="shared" si="2"/>
        <v>4.9800000000000004E-2</v>
      </c>
      <c r="Q46" s="230">
        <f>P46*PARÂMETROS!$E$8</f>
        <v>1.5383220000000002</v>
      </c>
      <c r="R46" s="228">
        <f t="shared" si="3"/>
        <v>5.4000000000000012E-3</v>
      </c>
      <c r="S46" s="230">
        <f>R46*PARÂMETROS!$E$8</f>
        <v>0.16680600000000004</v>
      </c>
      <c r="T46" s="231">
        <v>1.92</v>
      </c>
      <c r="U46" s="230">
        <f>T46*PARÂMETROS!$E$27</f>
        <v>5.76</v>
      </c>
      <c r="V46" s="228">
        <f t="shared" si="4"/>
        <v>12.929400000000001</v>
      </c>
      <c r="W46" s="230">
        <f>V46*PARÂMETROS!$E$8</f>
        <v>399.38916600000005</v>
      </c>
      <c r="X46" s="228">
        <f t="shared" si="5"/>
        <v>6.4647000000000006</v>
      </c>
      <c r="Y46" s="230">
        <f>X46*PARÂMETROS!$E$8</f>
        <v>199.69458300000002</v>
      </c>
      <c r="Z46" s="23"/>
      <c r="AA46" s="23"/>
      <c r="AB46" s="232" t="s">
        <v>1425</v>
      </c>
      <c r="AC46" s="264">
        <f t="shared" si="6"/>
        <v>2797.5869769999999</v>
      </c>
      <c r="AD46" s="23"/>
      <c r="AE46" s="224" t="s">
        <v>246</v>
      </c>
      <c r="AF46" s="291">
        <f>PARÂMETROS!$H$3</f>
        <v>40</v>
      </c>
      <c r="AG46" s="267">
        <v>4.1666666666666699E-2</v>
      </c>
      <c r="AH46" s="267">
        <v>0.125</v>
      </c>
      <c r="AI46" s="267">
        <v>8.3333333333333301E-2</v>
      </c>
      <c r="AJ46" s="267">
        <v>6.9444444444444397E-3</v>
      </c>
      <c r="AK46" s="267">
        <v>2.0833333333333301E-2</v>
      </c>
      <c r="AL46" s="267">
        <v>6.9444444444444397E-3</v>
      </c>
      <c r="AM46" s="267">
        <v>3.125E-2</v>
      </c>
      <c r="AN46" s="271">
        <v>1</v>
      </c>
      <c r="AO46" s="292">
        <f t="shared" si="7"/>
        <v>0.31597222222222215</v>
      </c>
      <c r="AP46" s="291">
        <f t="shared" si="8"/>
        <v>303.33333333333326</v>
      </c>
      <c r="AQ46" s="272">
        <f t="shared" si="9"/>
        <v>303.33333333333326</v>
      </c>
      <c r="AR46" s="23"/>
      <c r="AS46" s="273">
        <f t="shared" si="10"/>
        <v>2797.5869769999999</v>
      </c>
      <c r="AT46" s="274">
        <f t="shared" si="11"/>
        <v>303.33333333333326</v>
      </c>
      <c r="AU46" s="275">
        <v>1</v>
      </c>
      <c r="AV46" s="276">
        <f t="shared" si="12"/>
        <v>303.33333333333326</v>
      </c>
      <c r="AW46" s="293">
        <f t="shared" si="13"/>
        <v>3100.920310333333</v>
      </c>
      <c r="AX46" s="275">
        <v>1</v>
      </c>
      <c r="BS46" s="293">
        <v>80</v>
      </c>
      <c r="BT46" s="293">
        <f t="shared" si="14"/>
        <v>3180.920310333333</v>
      </c>
    </row>
    <row r="47" spans="1:72" ht="25.5" customHeight="1" x14ac:dyDescent="0.3">
      <c r="A47" s="224" t="s">
        <v>250</v>
      </c>
      <c r="B47" s="225" t="s">
        <v>1409</v>
      </c>
      <c r="C47" s="228">
        <v>86</v>
      </c>
      <c r="D47" s="263">
        <f>C47*C5</f>
        <v>1684.74</v>
      </c>
      <c r="E47" s="228">
        <v>43</v>
      </c>
      <c r="F47" s="263">
        <f>E47*F5</f>
        <v>842.37</v>
      </c>
      <c r="G47" s="227">
        <f t="shared" si="0"/>
        <v>2527.11</v>
      </c>
      <c r="H47" s="228">
        <v>6</v>
      </c>
      <c r="I47" s="227">
        <f>H47*PARÂMETROS!$E$22</f>
        <v>254.21999999999997</v>
      </c>
      <c r="J47" s="228">
        <v>0.54</v>
      </c>
      <c r="K47" s="227">
        <f>J47*PARÂMETROS!$E$22</f>
        <v>22.879799999999999</v>
      </c>
      <c r="L47" s="228">
        <v>2E-3</v>
      </c>
      <c r="M47" s="230">
        <f>L47*PARÂMETROS!$E$8</f>
        <v>6.1780000000000002E-2</v>
      </c>
      <c r="N47" s="228">
        <f t="shared" si="1"/>
        <v>0.06</v>
      </c>
      <c r="O47" s="230">
        <f>N47*PARÂMETROS!$E$8</f>
        <v>1.8533999999999999</v>
      </c>
      <c r="P47" s="228">
        <f t="shared" si="2"/>
        <v>5.4000000000000006E-2</v>
      </c>
      <c r="Q47" s="230">
        <f>P47*PARÂMETROS!$E$8</f>
        <v>1.6680600000000003</v>
      </c>
      <c r="R47" s="228">
        <f t="shared" si="3"/>
        <v>6.0000000000000001E-3</v>
      </c>
      <c r="S47" s="230">
        <f>R47*PARÂMETROS!$E$8</f>
        <v>0.18534</v>
      </c>
      <c r="T47" s="231">
        <v>2</v>
      </c>
      <c r="U47" s="230">
        <f>T47*PARÂMETROS!$E$27</f>
        <v>6</v>
      </c>
      <c r="V47" s="228">
        <f t="shared" si="4"/>
        <v>16.8474</v>
      </c>
      <c r="W47" s="230">
        <f>V47*PARÂMETROS!$E$8</f>
        <v>520.41618600000004</v>
      </c>
      <c r="X47" s="228">
        <f t="shared" si="5"/>
        <v>8.4237000000000002</v>
      </c>
      <c r="Y47" s="230">
        <f>X47*PARÂMETROS!$E$8</f>
        <v>260.20809300000002</v>
      </c>
      <c r="Z47" s="23"/>
      <c r="AA47" s="23"/>
      <c r="AB47" s="232" t="s">
        <v>1426</v>
      </c>
      <c r="AC47" s="264">
        <f t="shared" si="6"/>
        <v>3594.6026590000001</v>
      </c>
      <c r="AD47" s="23"/>
      <c r="AE47" s="224" t="s">
        <v>250</v>
      </c>
      <c r="AF47" s="291">
        <f>PARÂMETROS!$H$3</f>
        <v>40</v>
      </c>
      <c r="AG47" s="267">
        <v>4.1666666666666699E-2</v>
      </c>
      <c r="AH47" s="267">
        <v>0.125</v>
      </c>
      <c r="AI47" s="267">
        <v>8.3333333333333301E-2</v>
      </c>
      <c r="AJ47" s="267">
        <v>6.9444444444444397E-3</v>
      </c>
      <c r="AK47" s="267">
        <v>2.0833333333333301E-2</v>
      </c>
      <c r="AL47" s="267">
        <v>6.9444444444444397E-3</v>
      </c>
      <c r="AM47" s="267">
        <v>3.125E-2</v>
      </c>
      <c r="AN47" s="271">
        <v>1</v>
      </c>
      <c r="AO47" s="292">
        <f t="shared" si="7"/>
        <v>0.31597222222222215</v>
      </c>
      <c r="AP47" s="291">
        <f t="shared" si="8"/>
        <v>303.33333333333326</v>
      </c>
      <c r="AQ47" s="272">
        <f t="shared" si="9"/>
        <v>303.33333333333326</v>
      </c>
      <c r="AR47" s="23"/>
      <c r="AS47" s="273">
        <f t="shared" si="10"/>
        <v>3594.6026590000001</v>
      </c>
      <c r="AT47" s="274">
        <f t="shared" si="11"/>
        <v>303.33333333333326</v>
      </c>
      <c r="AU47" s="275">
        <v>1</v>
      </c>
      <c r="AV47" s="276">
        <f t="shared" si="12"/>
        <v>303.33333333333326</v>
      </c>
      <c r="AW47" s="293">
        <f t="shared" si="13"/>
        <v>3897.9359923333332</v>
      </c>
      <c r="AX47" s="275">
        <v>1</v>
      </c>
      <c r="BS47" s="293">
        <v>80</v>
      </c>
      <c r="BT47" s="293">
        <f t="shared" si="14"/>
        <v>3977.9359923333332</v>
      </c>
    </row>
    <row r="48" spans="1:72" ht="25.5" customHeight="1" x14ac:dyDescent="0.3">
      <c r="A48" s="224" t="s">
        <v>254</v>
      </c>
      <c r="B48" s="225" t="s">
        <v>1409</v>
      </c>
      <c r="C48" s="228">
        <v>90</v>
      </c>
      <c r="D48" s="263">
        <f>C48*C5</f>
        <v>1763.1</v>
      </c>
      <c r="E48" s="228">
        <v>45</v>
      </c>
      <c r="F48" s="263">
        <f>E48*F5</f>
        <v>881.55</v>
      </c>
      <c r="G48" s="227">
        <f t="shared" si="0"/>
        <v>2644.6499999999996</v>
      </c>
      <c r="H48" s="228">
        <v>6.4</v>
      </c>
      <c r="I48" s="227">
        <f>H48*PARÂMETROS!$E$22</f>
        <v>271.16800000000001</v>
      </c>
      <c r="J48" s="228">
        <v>0.61499999999999999</v>
      </c>
      <c r="K48" s="227">
        <f>J48*PARÂMETROS!$E$22</f>
        <v>26.057549999999999</v>
      </c>
      <c r="L48" s="228">
        <v>2E-3</v>
      </c>
      <c r="M48" s="230">
        <f>L48*PARÂMETROS!$E$8</f>
        <v>6.1780000000000002E-2</v>
      </c>
      <c r="N48" s="228">
        <f t="shared" si="1"/>
        <v>6.4000000000000001E-2</v>
      </c>
      <c r="O48" s="230">
        <f>N48*PARÂMETROS!$E$8</f>
        <v>1.9769600000000001</v>
      </c>
      <c r="P48" s="228">
        <f t="shared" si="2"/>
        <v>6.1499999999999999E-2</v>
      </c>
      <c r="Q48" s="230">
        <f>P48*PARÂMETROS!$E$8</f>
        <v>1.899735</v>
      </c>
      <c r="R48" s="228">
        <f t="shared" si="3"/>
        <v>6.4000000000000003E-3</v>
      </c>
      <c r="S48" s="230">
        <f>R48*PARÂMETROS!$E$8</f>
        <v>0.19769600000000001</v>
      </c>
      <c r="T48" s="231">
        <v>2.1</v>
      </c>
      <c r="U48" s="230">
        <f>T48*PARÂMETROS!$E$27</f>
        <v>6.3000000000000007</v>
      </c>
      <c r="V48" s="228">
        <f t="shared" si="4"/>
        <v>17.631</v>
      </c>
      <c r="W48" s="230">
        <f>V48*PARÂMETROS!$E$8</f>
        <v>544.62158999999997</v>
      </c>
      <c r="X48" s="228">
        <f t="shared" si="5"/>
        <v>8.8155000000000001</v>
      </c>
      <c r="Y48" s="230">
        <f>X48*PARÂMETROS!$E$8</f>
        <v>272.31079499999998</v>
      </c>
      <c r="Z48" s="23"/>
      <c r="AA48" s="23"/>
      <c r="AB48" s="232" t="s">
        <v>1427</v>
      </c>
      <c r="AC48" s="264">
        <f t="shared" si="6"/>
        <v>3769.2441059999996</v>
      </c>
      <c r="AD48" s="23"/>
      <c r="AE48" s="224" t="s">
        <v>254</v>
      </c>
      <c r="AF48" s="291">
        <f>PARÂMETROS!$H$3</f>
        <v>40</v>
      </c>
      <c r="AG48" s="267">
        <v>4.1666666666666699E-2</v>
      </c>
      <c r="AH48" s="267">
        <v>0.125</v>
      </c>
      <c r="AI48" s="267">
        <v>8.3333333333333301E-2</v>
      </c>
      <c r="AJ48" s="267">
        <v>6.9444444444444397E-3</v>
      </c>
      <c r="AK48" s="267">
        <v>2.0833333333333301E-2</v>
      </c>
      <c r="AL48" s="267">
        <v>6.9444444444444397E-3</v>
      </c>
      <c r="AM48" s="267">
        <v>3.125E-2</v>
      </c>
      <c r="AN48" s="271">
        <v>1</v>
      </c>
      <c r="AO48" s="292">
        <f t="shared" si="7"/>
        <v>0.31597222222222215</v>
      </c>
      <c r="AP48" s="291">
        <f t="shared" si="8"/>
        <v>303.33333333333326</v>
      </c>
      <c r="AQ48" s="272">
        <f t="shared" si="9"/>
        <v>303.33333333333326</v>
      </c>
      <c r="AR48" s="23"/>
      <c r="AS48" s="273">
        <f t="shared" si="10"/>
        <v>3769.2441059999996</v>
      </c>
      <c r="AT48" s="274">
        <f t="shared" si="11"/>
        <v>303.33333333333326</v>
      </c>
      <c r="AU48" s="275">
        <v>1</v>
      </c>
      <c r="AV48" s="276">
        <f t="shared" si="12"/>
        <v>303.33333333333326</v>
      </c>
      <c r="AW48" s="293">
        <f t="shared" si="13"/>
        <v>4072.5774393333331</v>
      </c>
      <c r="AX48" s="275">
        <v>1</v>
      </c>
      <c r="BS48" s="293">
        <v>80</v>
      </c>
      <c r="BT48" s="293">
        <f t="shared" si="14"/>
        <v>4152.5774393333331</v>
      </c>
    </row>
    <row r="49" spans="1:72" ht="25.5" customHeight="1" x14ac:dyDescent="0.3">
      <c r="A49" s="224" t="s">
        <v>258</v>
      </c>
      <c r="B49" s="225" t="s">
        <v>1409</v>
      </c>
      <c r="C49" s="228">
        <v>115</v>
      </c>
      <c r="D49" s="263">
        <f>C49*C5</f>
        <v>2252.85</v>
      </c>
      <c r="E49" s="228">
        <v>57</v>
      </c>
      <c r="F49" s="263">
        <f>E49*F5</f>
        <v>1116.6299999999999</v>
      </c>
      <c r="G49" s="227">
        <f t="shared" si="0"/>
        <v>3369.4799999999996</v>
      </c>
      <c r="H49" s="228">
        <v>7.7</v>
      </c>
      <c r="I49" s="227">
        <f>H49*PARÂMETROS!$E$22</f>
        <v>326.24899999999997</v>
      </c>
      <c r="J49" s="228">
        <v>0.71</v>
      </c>
      <c r="K49" s="227">
        <f>J49*PARÂMETROS!$E$22</f>
        <v>30.082699999999996</v>
      </c>
      <c r="L49" s="228">
        <v>2E-3</v>
      </c>
      <c r="M49" s="230">
        <f>L49*PARÂMETROS!$E$8</f>
        <v>6.1780000000000002E-2</v>
      </c>
      <c r="N49" s="228">
        <f t="shared" si="1"/>
        <v>7.6999999999999999E-2</v>
      </c>
      <c r="O49" s="230">
        <f>N49*PARÂMETROS!$E$8</f>
        <v>2.37853</v>
      </c>
      <c r="P49" s="228">
        <f t="shared" si="2"/>
        <v>7.0999999999999994E-2</v>
      </c>
      <c r="Q49" s="230">
        <f>P49*PARÂMETROS!$E$8</f>
        <v>2.19319</v>
      </c>
      <c r="R49" s="228">
        <f t="shared" si="3"/>
        <v>7.7000000000000002E-3</v>
      </c>
      <c r="S49" s="230">
        <f>R49*PARÂMETROS!$E$8</f>
        <v>0.23785300000000001</v>
      </c>
      <c r="T49" s="231">
        <v>2.2000000000000002</v>
      </c>
      <c r="U49" s="230">
        <f>T49*PARÂMETROS!$E$27</f>
        <v>6.6000000000000005</v>
      </c>
      <c r="V49" s="228">
        <f t="shared" si="4"/>
        <v>22.528500000000001</v>
      </c>
      <c r="W49" s="230">
        <f>V49*PARÂMETROS!$E$8</f>
        <v>695.90536500000007</v>
      </c>
      <c r="X49" s="228">
        <f t="shared" si="5"/>
        <v>11.1663</v>
      </c>
      <c r="Y49" s="230">
        <f>X49*PARÂMETROS!$E$8</f>
        <v>344.927007</v>
      </c>
      <c r="Z49" s="23"/>
      <c r="AA49" s="23"/>
      <c r="AB49" s="232" t="s">
        <v>1428</v>
      </c>
      <c r="AC49" s="264">
        <f t="shared" si="6"/>
        <v>4778.115425</v>
      </c>
      <c r="AD49" s="23"/>
      <c r="AE49" s="224" t="s">
        <v>258</v>
      </c>
      <c r="AF49" s="291">
        <f>PARÂMETROS!$H$3</f>
        <v>40</v>
      </c>
      <c r="AG49" s="267">
        <v>4.1666666666666699E-2</v>
      </c>
      <c r="AH49" s="267">
        <v>0.13888888888888901</v>
      </c>
      <c r="AI49" s="267">
        <v>0.11111111111111099</v>
      </c>
      <c r="AJ49" s="267">
        <v>6.9444444444444397E-3</v>
      </c>
      <c r="AK49" s="267">
        <v>2.0833333333333301E-2</v>
      </c>
      <c r="AL49" s="267">
        <v>6.9444444444444397E-3</v>
      </c>
      <c r="AM49" s="267">
        <v>3.125E-2</v>
      </c>
      <c r="AN49" s="271">
        <v>1</v>
      </c>
      <c r="AO49" s="292">
        <f t="shared" si="7"/>
        <v>0.3576388888888889</v>
      </c>
      <c r="AP49" s="291">
        <f t="shared" si="8"/>
        <v>343.33333333333331</v>
      </c>
      <c r="AQ49" s="272">
        <f t="shared" si="9"/>
        <v>343.33333333333331</v>
      </c>
      <c r="AR49" s="23"/>
      <c r="AS49" s="273">
        <f t="shared" si="10"/>
        <v>4778.115425</v>
      </c>
      <c r="AT49" s="274">
        <f t="shared" si="11"/>
        <v>343.33333333333331</v>
      </c>
      <c r="AU49" s="275">
        <v>1</v>
      </c>
      <c r="AV49" s="276">
        <f t="shared" si="12"/>
        <v>343.33333333333331</v>
      </c>
      <c r="AW49" s="293">
        <f t="shared" si="13"/>
        <v>5121.448758333333</v>
      </c>
      <c r="AX49" s="275">
        <v>1</v>
      </c>
      <c r="BS49" s="293">
        <v>80</v>
      </c>
      <c r="BT49" s="293">
        <f t="shared" si="14"/>
        <v>5201.448758333333</v>
      </c>
    </row>
    <row r="50" spans="1:72" ht="25.5" customHeight="1" x14ac:dyDescent="0.3">
      <c r="A50" s="224" t="s">
        <v>262</v>
      </c>
      <c r="B50" s="225" t="s">
        <v>1409</v>
      </c>
      <c r="C50" s="228">
        <v>140</v>
      </c>
      <c r="D50" s="263">
        <f>C50*C5</f>
        <v>2742.6</v>
      </c>
      <c r="E50" s="228">
        <v>70</v>
      </c>
      <c r="F50" s="263">
        <f>E50*F5</f>
        <v>1371.3</v>
      </c>
      <c r="G50" s="227">
        <f t="shared" si="0"/>
        <v>4113.8999999999996</v>
      </c>
      <c r="H50" s="228">
        <v>8.4</v>
      </c>
      <c r="I50" s="227">
        <f>H50*PARÂMETROS!$E$22</f>
        <v>355.90800000000002</v>
      </c>
      <c r="J50" s="228">
        <v>0.79500000000000004</v>
      </c>
      <c r="K50" s="227">
        <f>J50*PARÂMETROS!$E$22</f>
        <v>33.684150000000002</v>
      </c>
      <c r="L50" s="228">
        <v>2E-3</v>
      </c>
      <c r="M50" s="230">
        <f>L50*PARÂMETROS!$E$8</f>
        <v>6.1780000000000002E-2</v>
      </c>
      <c r="N50" s="228">
        <f t="shared" si="1"/>
        <v>8.4000000000000005E-2</v>
      </c>
      <c r="O50" s="230">
        <f>N50*PARÂMETROS!$E$8</f>
        <v>2.5947600000000004</v>
      </c>
      <c r="P50" s="228">
        <f t="shared" si="2"/>
        <v>7.9500000000000015E-2</v>
      </c>
      <c r="Q50" s="230">
        <f>P50*PARÂMETROS!$E$8</f>
        <v>2.4557550000000004</v>
      </c>
      <c r="R50" s="228">
        <f t="shared" si="3"/>
        <v>8.4000000000000012E-3</v>
      </c>
      <c r="S50" s="230">
        <f>R50*PARÂMETROS!$E$8</f>
        <v>0.25947600000000004</v>
      </c>
      <c r="T50" s="231">
        <v>2.2999999999999998</v>
      </c>
      <c r="U50" s="230">
        <f>T50*PARÂMETROS!$E$27</f>
        <v>6.8999999999999995</v>
      </c>
      <c r="V50" s="228">
        <f t="shared" si="4"/>
        <v>27.425999999999998</v>
      </c>
      <c r="W50" s="230">
        <f>V50*PARÂMETROS!$E$8</f>
        <v>847.18913999999995</v>
      </c>
      <c r="X50" s="228">
        <f t="shared" si="5"/>
        <v>13.712999999999999</v>
      </c>
      <c r="Y50" s="230">
        <f>X50*PARÂMETROS!$E$8</f>
        <v>423.59456999999998</v>
      </c>
      <c r="Z50" s="23"/>
      <c r="AA50" s="23"/>
      <c r="AB50" s="232" t="s">
        <v>1429</v>
      </c>
      <c r="AC50" s="264">
        <f t="shared" si="6"/>
        <v>5786.5476310000004</v>
      </c>
      <c r="AD50" s="23"/>
      <c r="AE50" s="224" t="s">
        <v>262</v>
      </c>
      <c r="AF50" s="291">
        <f>PARÂMETROS!$H$3</f>
        <v>40</v>
      </c>
      <c r="AG50" s="267">
        <v>4.1666666666666699E-2</v>
      </c>
      <c r="AH50" s="267">
        <v>0.13888888888888901</v>
      </c>
      <c r="AI50" s="267">
        <v>0.11111111111111099</v>
      </c>
      <c r="AJ50" s="267">
        <v>6.9444444444444397E-3</v>
      </c>
      <c r="AK50" s="267">
        <v>2.0833333333333301E-2</v>
      </c>
      <c r="AL50" s="267">
        <v>6.9444444444444397E-3</v>
      </c>
      <c r="AM50" s="267">
        <v>3.125E-2</v>
      </c>
      <c r="AN50" s="271">
        <v>1</v>
      </c>
      <c r="AO50" s="292">
        <f t="shared" si="7"/>
        <v>0.3576388888888889</v>
      </c>
      <c r="AP50" s="291">
        <f t="shared" si="8"/>
        <v>343.33333333333331</v>
      </c>
      <c r="AQ50" s="272">
        <f t="shared" si="9"/>
        <v>343.33333333333331</v>
      </c>
      <c r="AR50" s="23"/>
      <c r="AS50" s="273">
        <f t="shared" si="10"/>
        <v>5786.5476310000004</v>
      </c>
      <c r="AT50" s="274">
        <f t="shared" si="11"/>
        <v>343.33333333333331</v>
      </c>
      <c r="AU50" s="275">
        <v>1</v>
      </c>
      <c r="AV50" s="276">
        <f t="shared" si="12"/>
        <v>343.33333333333331</v>
      </c>
      <c r="AW50" s="293">
        <f t="shared" si="13"/>
        <v>6129.8809643333334</v>
      </c>
      <c r="AX50" s="275">
        <v>1</v>
      </c>
      <c r="BS50" s="293">
        <v>80</v>
      </c>
      <c r="BT50" s="293">
        <f t="shared" si="14"/>
        <v>6209.8809643333334</v>
      </c>
    </row>
    <row r="51" spans="1:72" ht="25.5" customHeight="1" x14ac:dyDescent="0.3">
      <c r="A51" s="224" t="s">
        <v>266</v>
      </c>
      <c r="B51" s="225" t="s">
        <v>1409</v>
      </c>
      <c r="C51" s="228">
        <v>170</v>
      </c>
      <c r="D51" s="263">
        <f>C51*C5</f>
        <v>3330.3</v>
      </c>
      <c r="E51" s="228">
        <v>85</v>
      </c>
      <c r="F51" s="263">
        <f>E51*F5</f>
        <v>1665.15</v>
      </c>
      <c r="G51" s="227">
        <f t="shared" si="0"/>
        <v>4995.4500000000007</v>
      </c>
      <c r="H51" s="228">
        <v>9</v>
      </c>
      <c r="I51" s="227">
        <f>H51*PARÂMETROS!$E$22</f>
        <v>381.33</v>
      </c>
      <c r="J51" s="228">
        <v>0.88500000000000001</v>
      </c>
      <c r="K51" s="227">
        <f>J51*PARÂMETROS!$E$22</f>
        <v>37.497450000000001</v>
      </c>
      <c r="L51" s="228">
        <v>2E-3</v>
      </c>
      <c r="M51" s="230">
        <f>L51*PARÂMETROS!$E$8</f>
        <v>6.1780000000000002E-2</v>
      </c>
      <c r="N51" s="228">
        <f t="shared" si="1"/>
        <v>0.09</v>
      </c>
      <c r="O51" s="230">
        <f>N51*PARÂMETROS!$E$8</f>
        <v>2.7801</v>
      </c>
      <c r="P51" s="228">
        <f t="shared" si="2"/>
        <v>8.8500000000000009E-2</v>
      </c>
      <c r="Q51" s="230">
        <f>P51*PARÂMETROS!$E$8</f>
        <v>2.7337650000000004</v>
      </c>
      <c r="R51" s="228">
        <f t="shared" si="3"/>
        <v>8.9999999999999993E-3</v>
      </c>
      <c r="S51" s="230">
        <f>R51*PARÂMETROS!$E$8</f>
        <v>0.27800999999999998</v>
      </c>
      <c r="T51" s="231">
        <v>2.4</v>
      </c>
      <c r="U51" s="230">
        <f>T51*PARÂMETROS!$E$27</f>
        <v>7.1999999999999993</v>
      </c>
      <c r="V51" s="228">
        <f t="shared" si="4"/>
        <v>33.303000000000004</v>
      </c>
      <c r="W51" s="230">
        <f>V51*PARÂMETROS!$E$8</f>
        <v>1028.7296700000002</v>
      </c>
      <c r="X51" s="228">
        <f t="shared" si="5"/>
        <v>16.651500000000002</v>
      </c>
      <c r="Y51" s="230">
        <f>X51*PARÂMETROS!$E$8</f>
        <v>514.36483500000008</v>
      </c>
      <c r="Z51" s="23"/>
      <c r="AA51" s="23"/>
      <c r="AB51" s="232" t="s">
        <v>1430</v>
      </c>
      <c r="AC51" s="264">
        <f t="shared" si="6"/>
        <v>6970.4256100000021</v>
      </c>
      <c r="AD51" s="23"/>
      <c r="AE51" s="224" t="s">
        <v>266</v>
      </c>
      <c r="AF51" s="291">
        <f>PARÂMETROS!$H$3</f>
        <v>40</v>
      </c>
      <c r="AG51" s="267">
        <v>8.3333333333333301E-2</v>
      </c>
      <c r="AH51" s="267">
        <v>0.13888888888888901</v>
      </c>
      <c r="AI51" s="267">
        <v>0.11111111111111099</v>
      </c>
      <c r="AJ51" s="267">
        <v>6.9444444444444397E-3</v>
      </c>
      <c r="AK51" s="267">
        <v>2.0833333333333301E-2</v>
      </c>
      <c r="AL51" s="267">
        <v>6.9444444444444397E-3</v>
      </c>
      <c r="AM51" s="267">
        <v>3.125E-2</v>
      </c>
      <c r="AN51" s="271">
        <v>1</v>
      </c>
      <c r="AO51" s="292">
        <f t="shared" si="7"/>
        <v>0.39930555555555552</v>
      </c>
      <c r="AP51" s="291">
        <f t="shared" si="8"/>
        <v>383.33333333333331</v>
      </c>
      <c r="AQ51" s="272">
        <f t="shared" si="9"/>
        <v>383.33333333333331</v>
      </c>
      <c r="AR51" s="23"/>
      <c r="AS51" s="273">
        <f t="shared" si="10"/>
        <v>6970.4256100000021</v>
      </c>
      <c r="AT51" s="274">
        <f t="shared" si="11"/>
        <v>383.33333333333331</v>
      </c>
      <c r="AU51" s="275">
        <v>1</v>
      </c>
      <c r="AV51" s="276">
        <f t="shared" si="12"/>
        <v>383.33333333333331</v>
      </c>
      <c r="AW51" s="293">
        <f t="shared" si="13"/>
        <v>7353.7589433333351</v>
      </c>
      <c r="AX51" s="275">
        <v>1</v>
      </c>
      <c r="BS51" s="293">
        <v>80</v>
      </c>
      <c r="BT51" s="293">
        <f t="shared" si="14"/>
        <v>7433.7589433333351</v>
      </c>
    </row>
    <row r="52" spans="1:72" ht="25.5" customHeight="1" x14ac:dyDescent="0.3">
      <c r="A52" s="224" t="s">
        <v>270</v>
      </c>
      <c r="B52" s="225" t="s">
        <v>1409</v>
      </c>
      <c r="C52" s="228">
        <v>180</v>
      </c>
      <c r="D52" s="263">
        <f>C52*C5</f>
        <v>3526.2</v>
      </c>
      <c r="E52" s="228">
        <v>90</v>
      </c>
      <c r="F52" s="263">
        <f>E52*F5</f>
        <v>1763.1</v>
      </c>
      <c r="G52" s="227">
        <f t="shared" si="0"/>
        <v>5289.2999999999993</v>
      </c>
      <c r="H52" s="228">
        <v>9.6999999999999993</v>
      </c>
      <c r="I52" s="227">
        <f>H52*PARÂMETROS!$E$22</f>
        <v>410.98899999999992</v>
      </c>
      <c r="J52" s="228">
        <v>0.96</v>
      </c>
      <c r="K52" s="227">
        <f>J52*PARÂMETROS!$E$22</f>
        <v>40.675199999999997</v>
      </c>
      <c r="L52" s="228">
        <v>2E-3</v>
      </c>
      <c r="M52" s="230">
        <f>L52*PARÂMETROS!$E$8</f>
        <v>6.1780000000000002E-2</v>
      </c>
      <c r="N52" s="228">
        <f t="shared" si="1"/>
        <v>9.6999999999999989E-2</v>
      </c>
      <c r="O52" s="230">
        <f>N52*PARÂMETROS!$E$8</f>
        <v>2.9963299999999995</v>
      </c>
      <c r="P52" s="228">
        <f t="shared" si="2"/>
        <v>9.6000000000000002E-2</v>
      </c>
      <c r="Q52" s="230">
        <f>P52*PARÂMETROS!$E$8</f>
        <v>2.9654400000000001</v>
      </c>
      <c r="R52" s="228">
        <f t="shared" si="3"/>
        <v>9.7000000000000003E-3</v>
      </c>
      <c r="S52" s="230">
        <f>R52*PARÂMETROS!$E$8</f>
        <v>0.29963300000000004</v>
      </c>
      <c r="T52" s="231">
        <v>2.5</v>
      </c>
      <c r="U52" s="230">
        <f>T52*PARÂMETROS!$E$27</f>
        <v>7.5</v>
      </c>
      <c r="V52" s="228">
        <f t="shared" si="4"/>
        <v>35.262</v>
      </c>
      <c r="W52" s="230">
        <f>V52*PARÂMETROS!$E$8</f>
        <v>1089.2431799999999</v>
      </c>
      <c r="X52" s="228">
        <f t="shared" si="5"/>
        <v>17.631</v>
      </c>
      <c r="Y52" s="230">
        <f>X52*PARÂMETROS!$E$8</f>
        <v>544.62158999999997</v>
      </c>
      <c r="Z52" s="23"/>
      <c r="AA52" s="23"/>
      <c r="AB52" s="232" t="s">
        <v>1431</v>
      </c>
      <c r="AC52" s="264">
        <f t="shared" si="6"/>
        <v>7388.6521529999982</v>
      </c>
      <c r="AD52" s="23"/>
      <c r="AE52" s="224" t="s">
        <v>270</v>
      </c>
      <c r="AF52" s="291">
        <f>PARÂMETROS!$H$3</f>
        <v>40</v>
      </c>
      <c r="AG52" s="267">
        <v>8.3333333333333301E-2</v>
      </c>
      <c r="AH52" s="267">
        <v>0.15277777777777801</v>
      </c>
      <c r="AI52" s="267">
        <v>0.11111111111111099</v>
      </c>
      <c r="AJ52" s="267">
        <v>6.9444444444444397E-3</v>
      </c>
      <c r="AK52" s="267">
        <v>2.0833333333333301E-2</v>
      </c>
      <c r="AL52" s="267">
        <v>6.9444444444444397E-3</v>
      </c>
      <c r="AM52" s="267">
        <v>3.125E-2</v>
      </c>
      <c r="AN52" s="271">
        <v>1</v>
      </c>
      <c r="AO52" s="292">
        <f t="shared" si="7"/>
        <v>0.41319444444444448</v>
      </c>
      <c r="AP52" s="291">
        <f t="shared" si="8"/>
        <v>396.66666666666669</v>
      </c>
      <c r="AQ52" s="272">
        <f t="shared" si="9"/>
        <v>396.66666666666669</v>
      </c>
      <c r="AR52" s="23"/>
      <c r="AS52" s="273">
        <f t="shared" si="10"/>
        <v>7388.6521529999982</v>
      </c>
      <c r="AT52" s="274">
        <f t="shared" si="11"/>
        <v>396.66666666666669</v>
      </c>
      <c r="AU52" s="275">
        <v>1</v>
      </c>
      <c r="AV52" s="276">
        <f t="shared" si="12"/>
        <v>396.66666666666669</v>
      </c>
      <c r="AW52" s="293">
        <f t="shared" si="13"/>
        <v>7785.3188196666651</v>
      </c>
      <c r="AX52" s="275">
        <v>1</v>
      </c>
      <c r="BS52" s="293">
        <v>80</v>
      </c>
      <c r="BT52" s="293">
        <f t="shared" si="14"/>
        <v>7865.3188196666651</v>
      </c>
    </row>
    <row r="53" spans="1:72" ht="25.5" customHeight="1" x14ac:dyDescent="0.3">
      <c r="A53" s="224" t="s">
        <v>274</v>
      </c>
      <c r="B53" s="225" t="s">
        <v>1409</v>
      </c>
      <c r="C53" s="228">
        <v>200</v>
      </c>
      <c r="D53" s="263">
        <f>C53*C5</f>
        <v>3918</v>
      </c>
      <c r="E53" s="228">
        <v>100</v>
      </c>
      <c r="F53" s="263">
        <f>E53*F5</f>
        <v>1959</v>
      </c>
      <c r="G53" s="227">
        <f t="shared" si="0"/>
        <v>5877</v>
      </c>
      <c r="H53" s="228">
        <v>10.4</v>
      </c>
      <c r="I53" s="227">
        <f>H53*PARÂMETROS!$E$22</f>
        <v>440.64799999999997</v>
      </c>
      <c r="J53" s="228">
        <v>1.079</v>
      </c>
      <c r="K53" s="227">
        <f>J53*PARÂMETROS!$E$22</f>
        <v>45.717229999999994</v>
      </c>
      <c r="L53" s="228">
        <v>2E-3</v>
      </c>
      <c r="M53" s="230">
        <f>L53*PARÂMETROS!$E$8</f>
        <v>6.1780000000000002E-2</v>
      </c>
      <c r="N53" s="228">
        <f t="shared" si="1"/>
        <v>0.10400000000000001</v>
      </c>
      <c r="O53" s="230">
        <f>N53*PARÂMETROS!$E$8</f>
        <v>3.2125600000000003</v>
      </c>
      <c r="P53" s="228">
        <f t="shared" si="2"/>
        <v>0.1079</v>
      </c>
      <c r="Q53" s="230">
        <f>P53*PARÂMETROS!$E$8</f>
        <v>3.3330310000000001</v>
      </c>
      <c r="R53" s="228">
        <f t="shared" si="3"/>
        <v>1.0400000000000001E-2</v>
      </c>
      <c r="S53" s="230">
        <f>R53*PARÂMETROS!$E$8</f>
        <v>0.32125600000000004</v>
      </c>
      <c r="T53" s="231">
        <v>2.6</v>
      </c>
      <c r="U53" s="230">
        <f>T53*PARÂMETROS!$E$27</f>
        <v>7.8000000000000007</v>
      </c>
      <c r="V53" s="228">
        <f t="shared" si="4"/>
        <v>39.18</v>
      </c>
      <c r="W53" s="230">
        <f>V53*PARÂMETROS!$E$8</f>
        <v>1210.2701999999999</v>
      </c>
      <c r="X53" s="228">
        <f t="shared" si="5"/>
        <v>19.59</v>
      </c>
      <c r="Y53" s="230">
        <f>X53*PARÂMETROS!$E$8</f>
        <v>605.13509999999997</v>
      </c>
      <c r="Z53" s="23"/>
      <c r="AA53" s="23"/>
      <c r="AB53" s="232" t="s">
        <v>1432</v>
      </c>
      <c r="AC53" s="264">
        <f t="shared" si="6"/>
        <v>8193.4991570000002</v>
      </c>
      <c r="AD53" s="23"/>
      <c r="AE53" s="224" t="s">
        <v>274</v>
      </c>
      <c r="AF53" s="291">
        <f>PARÂMETROS!$H$3</f>
        <v>40</v>
      </c>
      <c r="AG53" s="267">
        <v>8.3333333333333301E-2</v>
      </c>
      <c r="AH53" s="267">
        <v>0.15277777777777801</v>
      </c>
      <c r="AI53" s="267">
        <v>0.11111111111111099</v>
      </c>
      <c r="AJ53" s="267">
        <v>6.9444444444444397E-3</v>
      </c>
      <c r="AK53" s="267">
        <v>2.0833333333333301E-2</v>
      </c>
      <c r="AL53" s="267">
        <v>6.9444444444444397E-3</v>
      </c>
      <c r="AM53" s="267">
        <v>3.125E-2</v>
      </c>
      <c r="AN53" s="271">
        <v>1</v>
      </c>
      <c r="AO53" s="292">
        <f t="shared" si="7"/>
        <v>0.41319444444444448</v>
      </c>
      <c r="AP53" s="291">
        <f t="shared" si="8"/>
        <v>396.66666666666669</v>
      </c>
      <c r="AQ53" s="272">
        <f t="shared" si="9"/>
        <v>396.66666666666669</v>
      </c>
      <c r="AR53" s="23"/>
      <c r="AS53" s="273">
        <f t="shared" si="10"/>
        <v>8193.4991570000002</v>
      </c>
      <c r="AT53" s="274">
        <f t="shared" si="11"/>
        <v>396.66666666666669</v>
      </c>
      <c r="AU53" s="275">
        <v>1</v>
      </c>
      <c r="AV53" s="276">
        <f t="shared" si="12"/>
        <v>396.66666666666669</v>
      </c>
      <c r="AW53" s="293">
        <f t="shared" si="13"/>
        <v>8590.1658236666663</v>
      </c>
      <c r="AX53" s="275">
        <v>1</v>
      </c>
      <c r="BS53" s="293">
        <v>80</v>
      </c>
      <c r="BT53" s="293">
        <f t="shared" si="14"/>
        <v>8670.1658236666663</v>
      </c>
    </row>
    <row r="54" spans="1:72" ht="25.5" customHeight="1" x14ac:dyDescent="0.3">
      <c r="A54" s="224" t="s">
        <v>278</v>
      </c>
      <c r="B54" s="225" t="s">
        <v>1409</v>
      </c>
      <c r="C54" s="228">
        <v>235</v>
      </c>
      <c r="D54" s="263">
        <f>C54*C5</f>
        <v>4603.6499999999996</v>
      </c>
      <c r="E54" s="228">
        <v>117.5</v>
      </c>
      <c r="F54" s="263">
        <f>E54*F5</f>
        <v>2301.8249999999998</v>
      </c>
      <c r="G54" s="227">
        <f t="shared" si="0"/>
        <v>6905.4749999999995</v>
      </c>
      <c r="H54" s="228">
        <v>11.7</v>
      </c>
      <c r="I54" s="227">
        <f>H54*PARÂMETROS!$E$22</f>
        <v>495.72899999999993</v>
      </c>
      <c r="J54" s="228">
        <v>1.1599999999999999</v>
      </c>
      <c r="K54" s="227">
        <f>J54*PARÂMETROS!$E$22</f>
        <v>49.149199999999993</v>
      </c>
      <c r="L54" s="228">
        <v>2E-3</v>
      </c>
      <c r="M54" s="230">
        <f>L54*PARÂMETROS!$E$8</f>
        <v>6.1780000000000002E-2</v>
      </c>
      <c r="N54" s="228">
        <f t="shared" si="1"/>
        <v>0.11699999999999999</v>
      </c>
      <c r="O54" s="230">
        <f>N54*PARÂMETROS!$E$8</f>
        <v>3.6141299999999998</v>
      </c>
      <c r="P54" s="228">
        <f t="shared" si="2"/>
        <v>0.11599999999999999</v>
      </c>
      <c r="Q54" s="230">
        <f>P54*PARÂMETROS!$E$8</f>
        <v>3.58324</v>
      </c>
      <c r="R54" s="228">
        <f t="shared" si="3"/>
        <v>1.17E-2</v>
      </c>
      <c r="S54" s="230">
        <f>R54*PARÂMETROS!$E$8</f>
        <v>0.36141300000000004</v>
      </c>
      <c r="T54" s="231">
        <v>2.7</v>
      </c>
      <c r="U54" s="230">
        <f>T54*PARÂMETROS!$E$27</f>
        <v>8.1000000000000014</v>
      </c>
      <c r="V54" s="228">
        <f t="shared" si="4"/>
        <v>46.036499999999997</v>
      </c>
      <c r="W54" s="230">
        <f>V54*PARÂMETROS!$E$8</f>
        <v>1422.067485</v>
      </c>
      <c r="X54" s="228">
        <f t="shared" si="5"/>
        <v>23.018249999999998</v>
      </c>
      <c r="Y54" s="230">
        <f>X54*PARÂMETROS!$E$8</f>
        <v>711.03374250000002</v>
      </c>
      <c r="Z54" s="23"/>
      <c r="AA54" s="23"/>
      <c r="AB54" s="232" t="s">
        <v>1433</v>
      </c>
      <c r="AC54" s="264">
        <f t="shared" si="6"/>
        <v>9599.1749904999997</v>
      </c>
      <c r="AD54" s="23"/>
      <c r="AE54" s="224" t="s">
        <v>278</v>
      </c>
      <c r="AF54" s="291">
        <f>PARÂMETROS!$H$3</f>
        <v>40</v>
      </c>
      <c r="AG54" s="267">
        <v>8.3333333333333301E-2</v>
      </c>
      <c r="AH54" s="267">
        <v>0.15277777777777801</v>
      </c>
      <c r="AI54" s="267">
        <v>0.11111111111111099</v>
      </c>
      <c r="AJ54" s="267">
        <v>6.9444444444444397E-3</v>
      </c>
      <c r="AK54" s="267">
        <v>2.0833333333333301E-2</v>
      </c>
      <c r="AL54" s="267">
        <v>6.9444444444444397E-3</v>
      </c>
      <c r="AM54" s="267">
        <v>3.125E-2</v>
      </c>
      <c r="AN54" s="271">
        <v>1</v>
      </c>
      <c r="AO54" s="292">
        <f t="shared" si="7"/>
        <v>0.41319444444444448</v>
      </c>
      <c r="AP54" s="291">
        <f t="shared" si="8"/>
        <v>396.66666666666669</v>
      </c>
      <c r="AQ54" s="272">
        <f t="shared" si="9"/>
        <v>396.66666666666669</v>
      </c>
      <c r="AR54" s="23"/>
      <c r="AS54" s="273">
        <f t="shared" si="10"/>
        <v>9599.1749904999997</v>
      </c>
      <c r="AT54" s="274">
        <f t="shared" si="11"/>
        <v>396.66666666666669</v>
      </c>
      <c r="AU54" s="275">
        <v>1</v>
      </c>
      <c r="AV54" s="276">
        <f t="shared" si="12"/>
        <v>396.66666666666669</v>
      </c>
      <c r="AW54" s="293">
        <f t="shared" si="13"/>
        <v>9995.8416571666658</v>
      </c>
      <c r="AX54" s="275">
        <v>1</v>
      </c>
      <c r="BS54" s="293">
        <v>80</v>
      </c>
      <c r="BT54" s="293">
        <f t="shared" si="14"/>
        <v>10075.841657166666</v>
      </c>
    </row>
    <row r="55" spans="1:72" s="223" customFormat="1" ht="14.25" customHeight="1" x14ac:dyDescent="0.3">
      <c r="A55" s="43"/>
      <c r="B55" s="43"/>
      <c r="C55" s="43"/>
      <c r="D55" s="246"/>
      <c r="E55" s="43"/>
      <c r="F55" s="246"/>
      <c r="G55" s="246"/>
      <c r="H55" s="43"/>
      <c r="I55" s="43"/>
      <c r="J55" s="246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23"/>
      <c r="AA55" s="2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23"/>
      <c r="AT55" s="23"/>
      <c r="AW55" s="23"/>
      <c r="AX55" s="23"/>
      <c r="AY55" s="23"/>
      <c r="AZ55" s="23"/>
      <c r="BA55" s="23"/>
      <c r="BB55" s="280"/>
      <c r="BC55" s="280"/>
      <c r="BD55" s="280"/>
      <c r="BE55" s="280"/>
      <c r="BF55" s="280"/>
      <c r="BG55" s="280"/>
      <c r="BH55" s="280"/>
      <c r="BI55" s="280"/>
      <c r="BJ55" s="280"/>
      <c r="BK55" s="280"/>
      <c r="BL55" s="280"/>
      <c r="BM55" s="280"/>
      <c r="BN55" s="280"/>
      <c r="BO55" s="280"/>
      <c r="BP55" s="280"/>
      <c r="BQ55" s="280"/>
    </row>
    <row r="56" spans="1:72" s="223" customFormat="1" ht="14.25" customHeight="1" x14ac:dyDescent="0.3">
      <c r="A56" s="43"/>
      <c r="B56" s="43"/>
      <c r="C56" s="43"/>
      <c r="D56" s="246"/>
      <c r="E56" s="43"/>
      <c r="F56" s="246"/>
      <c r="G56" s="246"/>
      <c r="H56" s="43"/>
      <c r="I56" s="43"/>
      <c r="J56" s="246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23"/>
      <c r="AA56" s="2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23"/>
      <c r="AT56" s="23"/>
      <c r="AW56" s="23"/>
      <c r="AX56" s="23"/>
      <c r="AY56" s="23"/>
      <c r="AZ56" s="23"/>
      <c r="BA56" s="23"/>
      <c r="BB56" s="280"/>
      <c r="BC56" s="280"/>
      <c r="BD56" s="280"/>
      <c r="BE56" s="280"/>
      <c r="BF56" s="280"/>
      <c r="BG56" s="280"/>
      <c r="BH56" s="280"/>
      <c r="BI56" s="280"/>
      <c r="BJ56" s="280"/>
      <c r="BK56" s="280"/>
      <c r="BL56" s="280"/>
      <c r="BM56" s="280"/>
      <c r="BN56" s="280"/>
      <c r="BO56" s="280"/>
      <c r="BP56" s="280"/>
      <c r="BQ56" s="280"/>
    </row>
    <row r="57" spans="1:72" s="223" customFormat="1" ht="14.25" customHeight="1" x14ac:dyDescent="0.3">
      <c r="A57" s="43"/>
      <c r="B57" s="43"/>
      <c r="C57" s="43"/>
      <c r="D57" s="246"/>
      <c r="E57" s="43"/>
      <c r="F57" s="246"/>
      <c r="G57" s="246"/>
      <c r="H57" s="43"/>
      <c r="I57" s="43"/>
      <c r="J57" s="246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23"/>
      <c r="AT57" s="23"/>
      <c r="AW57" s="23"/>
      <c r="AX57" s="23"/>
      <c r="AY57" s="23"/>
      <c r="AZ57" s="23"/>
      <c r="BA57" s="23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</row>
    <row r="58" spans="1:72" s="223" customFormat="1" ht="14.25" customHeight="1" x14ac:dyDescent="0.3">
      <c r="A58" s="43"/>
      <c r="B58" s="43"/>
      <c r="C58" s="43"/>
      <c r="D58" s="246"/>
      <c r="E58" s="43"/>
      <c r="F58" s="246"/>
      <c r="G58" s="246"/>
      <c r="H58" s="43"/>
      <c r="I58" s="43"/>
      <c r="J58" s="246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23"/>
      <c r="AT58" s="23"/>
      <c r="AW58" s="23"/>
      <c r="AX58" s="23"/>
      <c r="AY58" s="23"/>
      <c r="AZ58" s="23"/>
      <c r="BA58" s="23"/>
      <c r="BB58" s="280"/>
      <c r="BC58" s="280"/>
      <c r="BD58" s="280"/>
      <c r="BE58" s="280"/>
      <c r="BF58" s="280"/>
      <c r="BG58" s="280"/>
      <c r="BH58" s="280"/>
      <c r="BI58" s="280"/>
      <c r="BJ58" s="280"/>
      <c r="BK58" s="280"/>
      <c r="BL58" s="280"/>
      <c r="BM58" s="280"/>
      <c r="BN58" s="280"/>
      <c r="BO58" s="280"/>
      <c r="BP58" s="280"/>
      <c r="BQ58" s="280"/>
    </row>
    <row r="59" spans="1:72" ht="14.25" customHeight="1" x14ac:dyDescent="0.3">
      <c r="A59" s="43"/>
      <c r="B59" s="43"/>
      <c r="C59" s="43"/>
      <c r="D59" s="246"/>
      <c r="E59" s="43"/>
      <c r="F59" s="246"/>
      <c r="G59" s="246"/>
      <c r="H59" s="43"/>
      <c r="I59" s="43"/>
      <c r="J59" s="246"/>
      <c r="K59" s="43"/>
      <c r="L59" s="43"/>
      <c r="M59" s="43"/>
      <c r="N59" s="43"/>
    </row>
  </sheetData>
  <autoFilter ref="A6:BO54" xr:uid="{00000000-0009-0000-0000-000012000000}"/>
  <mergeCells count="24">
    <mergeCell ref="A1:B1"/>
    <mergeCell ref="A2:Y2"/>
    <mergeCell ref="AT2:AV3"/>
    <mergeCell ref="AW2:BA2"/>
    <mergeCell ref="A3:G3"/>
    <mergeCell ref="H3:M3"/>
    <mergeCell ref="N3:S3"/>
    <mergeCell ref="T3:U3"/>
    <mergeCell ref="V3:Y3"/>
    <mergeCell ref="AB4:AC5"/>
    <mergeCell ref="AE4:AP5"/>
    <mergeCell ref="AT4:AV5"/>
    <mergeCell ref="D5:E5"/>
    <mergeCell ref="F5:G5"/>
    <mergeCell ref="N4:P5"/>
    <mergeCell ref="Q4:S5"/>
    <mergeCell ref="T4:T5"/>
    <mergeCell ref="U4:U5"/>
    <mergeCell ref="V4:W5"/>
    <mergeCell ref="D4:E4"/>
    <mergeCell ref="F4:G4"/>
    <mergeCell ref="H4:J5"/>
    <mergeCell ref="K4:M5"/>
    <mergeCell ref="X4:Y5"/>
  </mergeCells>
  <hyperlinks>
    <hyperlink ref="A5" location="PAINEL!A1" tooltip="Voltar ao Painel de Navegação" display="⬅ PAINEL" xr:uid="{F92762A7-CFAF-4F8C-89A7-CA010FA30D07}"/>
    <hyperlink ref="C2" location="PAINEL!A1" tooltip="Voltar ao Painel de Navegação" display="⬅ PAINEL" xr:uid="{4765FCAE-CF0A-420D-9D70-1ACF68F702EF}"/>
    <hyperlink ref="A1" location="PAINEL!A1" tooltip="Voltar ao Painel de Navegação" display="⬅ PAINEL" xr:uid="{A5BC0054-E6C8-4CD7-AC80-053B54B43BA5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pageSetUpPr fitToPage="1"/>
  </sheetPr>
  <dimension ref="A1:BS202"/>
  <sheetViews>
    <sheetView zoomScale="85" zoomScaleNormal="85" workbookViewId="0">
      <pane ySplit="5" topLeftCell="A6" activePane="bottomLeft" state="frozen"/>
      <selection activeCell="Z1" sqref="Z1"/>
      <selection pane="bottomLeft" activeCell="C8" sqref="C8"/>
    </sheetView>
  </sheetViews>
  <sheetFormatPr defaultColWidth="8.5546875" defaultRowHeight="14.4" x14ac:dyDescent="0.3"/>
  <cols>
    <col min="1" max="1" width="38.21875" style="184" bestFit="1" customWidth="1"/>
    <col min="2" max="2" width="31.33203125" style="185" customWidth="1"/>
    <col min="3" max="3" width="15.6640625" style="185" customWidth="1"/>
    <col min="4" max="4" width="16.109375" style="186" customWidth="1"/>
    <col min="5" max="5" width="14.6640625" style="185" customWidth="1"/>
    <col min="6" max="6" width="19.109375" style="186" customWidth="1"/>
    <col min="7" max="7" width="20.33203125" style="186" customWidth="1"/>
    <col min="8" max="9" width="23.6640625" style="185" customWidth="1"/>
    <col min="10" max="10" width="23" style="186" customWidth="1"/>
    <col min="11" max="11" width="24" style="185" customWidth="1"/>
    <col min="12" max="12" width="20.33203125" style="187" customWidth="1"/>
    <col min="13" max="13" width="19.109375" style="188" customWidth="1"/>
    <col min="14" max="14" width="21.88671875" style="188" customWidth="1"/>
    <col min="15" max="15" width="20" style="43" customWidth="1"/>
    <col min="16" max="16" width="21.109375" style="43" customWidth="1"/>
    <col min="17" max="17" width="24.88671875" style="43" customWidth="1"/>
    <col min="18" max="18" width="17.5546875" style="43" customWidth="1"/>
    <col min="19" max="19" width="17" style="43" customWidth="1"/>
    <col min="20" max="20" width="20.6640625" style="43" customWidth="1"/>
    <col min="21" max="21" width="13.44140625" style="43" customWidth="1"/>
    <col min="22" max="22" width="25.33203125" style="43" customWidth="1"/>
    <col min="23" max="23" width="21.33203125" style="43" customWidth="1"/>
    <col min="24" max="24" width="19.88671875" style="43" customWidth="1"/>
    <col min="25" max="25" width="19" style="43" customWidth="1"/>
    <col min="26" max="26" width="17.109375" style="43" customWidth="1"/>
    <col min="27" max="27" width="18.44140625" style="43" customWidth="1"/>
    <col min="28" max="29" width="13.44140625" style="43" customWidth="1"/>
    <col min="30" max="30" width="17.6640625" style="43" customWidth="1"/>
    <col min="31" max="31" width="20.5546875" style="43" customWidth="1"/>
    <col min="32" max="41" width="8.88671875" style="43" customWidth="1"/>
    <col min="42" max="42" width="15.6640625" style="43" customWidth="1"/>
    <col min="43" max="43" width="20.109375" style="43" customWidth="1"/>
    <col min="44" max="44" width="26.88671875" style="23" customWidth="1"/>
    <col min="45" max="46" width="14" style="23" customWidth="1"/>
    <col min="47" max="47" width="8" style="23" customWidth="1"/>
    <col min="48" max="66" width="14" style="23" customWidth="1"/>
  </cols>
  <sheetData>
    <row r="1" spans="1:71" ht="24.6" customHeight="1" x14ac:dyDescent="0.3">
      <c r="A1" s="357" t="s">
        <v>1757</v>
      </c>
    </row>
    <row r="2" spans="1:71" ht="75" customHeight="1" x14ac:dyDescent="0.3">
      <c r="A2" s="485" t="s">
        <v>1478</v>
      </c>
      <c r="B2" s="485"/>
      <c r="C2" s="496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  <c r="AA2" s="485"/>
      <c r="AY2" s="497"/>
      <c r="AZ2" s="497"/>
      <c r="BA2" s="497"/>
      <c r="BB2" s="497"/>
      <c r="BC2" s="497"/>
    </row>
    <row r="3" spans="1:71" ht="70.5" customHeight="1" x14ac:dyDescent="0.3">
      <c r="A3" s="498" t="s">
        <v>1359</v>
      </c>
      <c r="B3" s="498"/>
      <c r="C3" s="498"/>
      <c r="D3" s="498"/>
      <c r="E3" s="498"/>
      <c r="F3" s="498"/>
      <c r="G3" s="498"/>
      <c r="H3" s="485" t="s">
        <v>1435</v>
      </c>
      <c r="I3" s="485"/>
      <c r="J3" s="485"/>
      <c r="K3" s="485"/>
      <c r="L3" s="485"/>
      <c r="M3" s="485"/>
      <c r="N3" s="485" t="s">
        <v>1361</v>
      </c>
      <c r="O3" s="485"/>
      <c r="P3" s="485"/>
      <c r="Q3" s="485"/>
      <c r="R3" s="485"/>
      <c r="S3" s="485"/>
      <c r="T3" s="485" t="s">
        <v>1479</v>
      </c>
      <c r="U3" s="485"/>
      <c r="V3" s="485" t="s">
        <v>1480</v>
      </c>
      <c r="W3" s="485"/>
      <c r="X3" s="485" t="s">
        <v>1436</v>
      </c>
      <c r="Y3" s="485"/>
      <c r="Z3" s="485"/>
      <c r="AA3" s="485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 spans="1:71" ht="39.75" customHeight="1" x14ac:dyDescent="0.3">
      <c r="A4" s="319" t="s">
        <v>1758</v>
      </c>
      <c r="B4" s="200"/>
      <c r="C4" s="250" t="s">
        <v>1363</v>
      </c>
      <c r="D4" s="493" t="s">
        <v>1364</v>
      </c>
      <c r="E4" s="493"/>
      <c r="F4" s="494" t="s">
        <v>1365</v>
      </c>
      <c r="G4" s="494"/>
      <c r="H4" s="501" t="s">
        <v>1843</v>
      </c>
      <c r="I4" s="501"/>
      <c r="J4" s="501"/>
      <c r="K4" s="478">
        <f>PARÂMETROS!$E$22</f>
        <v>42.37</v>
      </c>
      <c r="L4" s="478"/>
      <c r="M4" s="478"/>
      <c r="N4" s="477" t="s">
        <v>1837</v>
      </c>
      <c r="O4" s="477"/>
      <c r="P4" s="477"/>
      <c r="Q4" s="492">
        <f>PARÂMETROS!$E$8</f>
        <v>30.89</v>
      </c>
      <c r="R4" s="492"/>
      <c r="S4" s="492"/>
      <c r="T4" s="479" t="s">
        <v>1854</v>
      </c>
      <c r="U4" s="510">
        <v>9.6999999999999993</v>
      </c>
      <c r="V4" s="479" t="s">
        <v>898</v>
      </c>
      <c r="W4" s="510">
        <v>0.95</v>
      </c>
      <c r="X4" s="500" t="s">
        <v>1437</v>
      </c>
      <c r="Y4" s="500"/>
      <c r="Z4" s="502">
        <f>PARÂMETROS!$E$26</f>
        <v>89.3</v>
      </c>
      <c r="AA4" s="502"/>
      <c r="AB4" s="23"/>
      <c r="AC4" s="23"/>
      <c r="AD4" s="472" t="s">
        <v>1481</v>
      </c>
      <c r="AE4" s="472"/>
      <c r="AF4" s="23"/>
      <c r="AG4" s="509" t="s">
        <v>838</v>
      </c>
      <c r="AH4" s="509"/>
      <c r="AI4" s="509"/>
      <c r="AJ4" s="509"/>
      <c r="AK4" s="509"/>
      <c r="AL4" s="509"/>
      <c r="AM4" s="509"/>
      <c r="AN4" s="509"/>
      <c r="AO4" s="509"/>
      <c r="AP4" s="509"/>
      <c r="AQ4" s="509"/>
    </row>
    <row r="5" spans="1:71" ht="31.5" customHeight="1" x14ac:dyDescent="0.3">
      <c r="A5" s="359"/>
      <c r="B5" s="361"/>
      <c r="C5" s="252">
        <f>PARÂMETROS!$E$23</f>
        <v>19.59</v>
      </c>
      <c r="D5" s="490">
        <f>PARÂMETROS!$E$24</f>
        <v>19.59</v>
      </c>
      <c r="E5" s="490"/>
      <c r="F5" s="491">
        <f>PARÂMETROS!$E$25</f>
        <v>19.59</v>
      </c>
      <c r="G5" s="491"/>
      <c r="H5" s="501"/>
      <c r="I5" s="501"/>
      <c r="J5" s="501"/>
      <c r="K5" s="478"/>
      <c r="L5" s="478"/>
      <c r="M5" s="478"/>
      <c r="N5" s="477"/>
      <c r="O5" s="477"/>
      <c r="P5" s="477"/>
      <c r="Q5" s="492"/>
      <c r="R5" s="492"/>
      <c r="S5" s="492"/>
      <c r="T5" s="479"/>
      <c r="U5" s="480"/>
      <c r="V5" s="479"/>
      <c r="W5" s="480"/>
      <c r="X5" s="500"/>
      <c r="Y5" s="500"/>
      <c r="Z5" s="502"/>
      <c r="AA5" s="502"/>
      <c r="AB5" s="23"/>
      <c r="AC5" s="23"/>
      <c r="AD5" s="472"/>
      <c r="AE5" s="472"/>
      <c r="AF5" s="23"/>
      <c r="AG5" s="509"/>
      <c r="AH5" s="509"/>
      <c r="AI5" s="509"/>
      <c r="AJ5" s="509"/>
      <c r="AK5" s="509"/>
      <c r="AL5" s="509"/>
      <c r="AM5" s="509"/>
      <c r="AN5" s="509"/>
      <c r="AO5" s="509"/>
      <c r="AP5" s="509"/>
      <c r="AQ5" s="509"/>
    </row>
    <row r="6" spans="1:71" ht="34.5" customHeight="1" x14ac:dyDescent="0.3">
      <c r="A6" s="204" t="s">
        <v>10</v>
      </c>
      <c r="B6" s="205" t="s">
        <v>1235</v>
      </c>
      <c r="C6" s="206" t="s">
        <v>1369</v>
      </c>
      <c r="D6" s="253" t="s">
        <v>1370</v>
      </c>
      <c r="E6" s="206" t="s">
        <v>1371</v>
      </c>
      <c r="F6" s="253" t="s">
        <v>1372</v>
      </c>
      <c r="G6" s="254" t="s">
        <v>1373</v>
      </c>
      <c r="H6" s="206" t="s">
        <v>1440</v>
      </c>
      <c r="I6" s="253" t="s">
        <v>1441</v>
      </c>
      <c r="J6" s="206" t="s">
        <v>1442</v>
      </c>
      <c r="K6" s="207" t="s">
        <v>1443</v>
      </c>
      <c r="L6" s="206" t="s">
        <v>1240</v>
      </c>
      <c r="M6" s="207" t="s">
        <v>1443</v>
      </c>
      <c r="N6" s="208" t="s">
        <v>1444</v>
      </c>
      <c r="O6" s="209" t="s">
        <v>1445</v>
      </c>
      <c r="P6" s="208" t="s">
        <v>1374</v>
      </c>
      <c r="Q6" s="209" t="s">
        <v>1446</v>
      </c>
      <c r="R6" s="208" t="s">
        <v>1447</v>
      </c>
      <c r="S6" s="209" t="s">
        <v>1448</v>
      </c>
      <c r="T6" s="208" t="s">
        <v>1482</v>
      </c>
      <c r="U6" s="209" t="s">
        <v>1483</v>
      </c>
      <c r="V6" s="208" t="s">
        <v>1484</v>
      </c>
      <c r="W6" s="209" t="s">
        <v>1485</v>
      </c>
      <c r="X6" s="208" t="s">
        <v>1449</v>
      </c>
      <c r="Y6" s="209" t="s">
        <v>1450</v>
      </c>
      <c r="Z6" s="208" t="s">
        <v>1451</v>
      </c>
      <c r="AA6" s="209" t="s">
        <v>1452</v>
      </c>
      <c r="AB6" s="23"/>
      <c r="AC6" s="23"/>
      <c r="AD6" s="210" t="s">
        <v>10</v>
      </c>
      <c r="AE6" s="211" t="s">
        <v>1120</v>
      </c>
      <c r="AF6" s="23"/>
      <c r="AG6" s="285"/>
      <c r="AH6" s="291" t="s">
        <v>880</v>
      </c>
      <c r="AI6" s="309" t="s">
        <v>1376</v>
      </c>
      <c r="AJ6" s="309" t="s">
        <v>1453</v>
      </c>
      <c r="AK6" s="309" t="s">
        <v>1454</v>
      </c>
      <c r="AL6" s="309" t="s">
        <v>1377</v>
      </c>
      <c r="AM6" s="309" t="s">
        <v>1248</v>
      </c>
      <c r="AN6" s="309" t="s">
        <v>1378</v>
      </c>
      <c r="AO6" s="309" t="s">
        <v>1251</v>
      </c>
      <c r="AP6" s="310" t="s">
        <v>1252</v>
      </c>
      <c r="AQ6" s="291" t="s">
        <v>1253</v>
      </c>
      <c r="AS6" s="217" t="s">
        <v>1093</v>
      </c>
      <c r="AT6" s="218" t="s">
        <v>882</v>
      </c>
      <c r="AU6" s="36" t="s">
        <v>954</v>
      </c>
      <c r="AV6" s="220" t="s">
        <v>955</v>
      </c>
      <c r="AW6" s="48" t="s">
        <v>883</v>
      </c>
      <c r="BR6" s="48" t="s">
        <v>957</v>
      </c>
      <c r="BS6" s="48" t="s">
        <v>1383</v>
      </c>
    </row>
    <row r="7" spans="1:71" ht="27" customHeight="1" x14ac:dyDescent="0.3">
      <c r="A7" s="224" t="s">
        <v>196</v>
      </c>
      <c r="B7" s="225" t="s">
        <v>1384</v>
      </c>
      <c r="C7" s="225">
        <v>5.2999999999999999E-2</v>
      </c>
      <c r="D7" s="263">
        <f>C7*D5</f>
        <v>1.03827</v>
      </c>
      <c r="E7" s="225">
        <v>2.4E-2</v>
      </c>
      <c r="F7" s="263">
        <f>E7*F5</f>
        <v>0.47016000000000002</v>
      </c>
      <c r="G7" s="227">
        <f t="shared" ref="G7:G13" si="0">D7+F7</f>
        <v>1.5084300000000002</v>
      </c>
      <c r="H7" s="228">
        <v>0.1</v>
      </c>
      <c r="I7" s="227">
        <f>H7*PARÂMETROS!$E$22</f>
        <v>4.2370000000000001</v>
      </c>
      <c r="J7" s="228">
        <v>3.0000000000000001E-3</v>
      </c>
      <c r="K7" s="227">
        <f>J7*PARÂMETROS!$E$22</f>
        <v>0.12711</v>
      </c>
      <c r="L7" s="228">
        <v>2E-3</v>
      </c>
      <c r="M7" s="230">
        <f>L7*PARÂMETROS!$E$8</f>
        <v>6.1780000000000002E-2</v>
      </c>
      <c r="N7" s="228">
        <f t="shared" ref="N7:N13" si="1">H7*0.01</f>
        <v>1E-3</v>
      </c>
      <c r="O7" s="230">
        <f>N7*PARÂMETROS!$E$8</f>
        <v>3.0890000000000001E-2</v>
      </c>
      <c r="P7" s="228">
        <f t="shared" ref="P7:P13" si="2">0.1 * J7</f>
        <v>3.0000000000000003E-4</v>
      </c>
      <c r="Q7" s="230">
        <f>P7*PARÂMETROS!$E$8</f>
        <v>9.2670000000000009E-3</v>
      </c>
      <c r="R7" s="228">
        <f t="shared" ref="R7:R13" si="3">0.1 * N7</f>
        <v>1E-4</v>
      </c>
      <c r="S7" s="230">
        <f>R7*PARÂMETROS!$E$8</f>
        <v>3.0890000000000002E-3</v>
      </c>
      <c r="T7" s="231">
        <v>0.28000000000000003</v>
      </c>
      <c r="U7" s="345">
        <v>0.84</v>
      </c>
      <c r="V7" s="311">
        <v>2</v>
      </c>
      <c r="W7" s="345">
        <v>1.9</v>
      </c>
      <c r="X7" s="228">
        <f t="shared" ref="X7:X13" si="4">D7*0.01</f>
        <v>1.03827E-2</v>
      </c>
      <c r="Y7" s="230">
        <f>X7*PARÂMETROS!$E$8</f>
        <v>0.32072160300000002</v>
      </c>
      <c r="Z7" s="229">
        <f t="shared" ref="Z7:Z13" si="5">F7*0.01</f>
        <v>4.7016000000000002E-3</v>
      </c>
      <c r="AA7" s="230">
        <f>Z7*PARÂMETROS!$E$8</f>
        <v>0.145232424</v>
      </c>
      <c r="AB7" s="23"/>
      <c r="AC7" s="23"/>
      <c r="AD7" s="232" t="s">
        <v>1385</v>
      </c>
      <c r="AE7" s="264">
        <f t="shared" ref="AE7:AE13" si="6">AA7+Y7+W7+U7+S7+Q7+O7+M7+K7+I7+G7</f>
        <v>9.1835200270000001</v>
      </c>
      <c r="AF7" s="23"/>
      <c r="AG7" s="224" t="s">
        <v>196</v>
      </c>
      <c r="AH7" s="291">
        <f>PARÂMETROS!$H$3</f>
        <v>40</v>
      </c>
      <c r="AI7" s="267">
        <v>6.9444444444444397E-3</v>
      </c>
      <c r="AJ7" s="267">
        <v>6.9444444444444397E-3</v>
      </c>
      <c r="AK7" s="267">
        <v>1.38888888888889E-2</v>
      </c>
      <c r="AL7" s="267"/>
      <c r="AM7" s="267">
        <v>2.0833333333333301E-2</v>
      </c>
      <c r="AN7" s="267">
        <v>6.9444444444444397E-3</v>
      </c>
      <c r="AO7" s="267">
        <v>3.125E-2</v>
      </c>
      <c r="AP7" s="292">
        <f t="shared" ref="AP7:AP13" si="7">AN7+AO7+AM7+AL7+AK7+AJ7+AI7</f>
        <v>8.6805555555555511E-2</v>
      </c>
      <c r="AQ7" s="291">
        <f t="shared" ref="AQ7:AQ13" si="8">AH7*AP7*24</f>
        <v>83.333333333333286</v>
      </c>
      <c r="AS7" s="273">
        <f t="shared" ref="AS7:AS13" si="9">AE7</f>
        <v>9.1835200270000001</v>
      </c>
      <c r="AT7" s="274">
        <f t="shared" ref="AT7:AT13" si="10">AQ7</f>
        <v>83.333333333333286</v>
      </c>
      <c r="AU7" s="275">
        <v>1</v>
      </c>
      <c r="AV7" s="276">
        <f t="shared" ref="AV7:AV13" si="11">IFERROR(AT7/AU7,0)</f>
        <v>83.333333333333286</v>
      </c>
      <c r="AW7" s="293">
        <f t="shared" ref="AW7:AW13" si="12">AV7+AS7</f>
        <v>92.516853360333286</v>
      </c>
      <c r="BR7" s="293">
        <v>80</v>
      </c>
      <c r="BS7" s="293">
        <f t="shared" ref="BS7:BS13" si="13">AW7+BR7</f>
        <v>172.5168533603333</v>
      </c>
    </row>
    <row r="8" spans="1:71" ht="27" customHeight="1" x14ac:dyDescent="0.3">
      <c r="A8" s="224" t="s">
        <v>200</v>
      </c>
      <c r="B8" s="225" t="s">
        <v>1384</v>
      </c>
      <c r="C8" s="228">
        <v>0.1</v>
      </c>
      <c r="D8" s="263">
        <f>C8*D5</f>
        <v>1.9590000000000001</v>
      </c>
      <c r="E8" s="228">
        <v>4.4999999999999998E-2</v>
      </c>
      <c r="F8" s="263">
        <f>E8*F5</f>
        <v>0.88154999999999994</v>
      </c>
      <c r="G8" s="227">
        <f t="shared" si="0"/>
        <v>2.8405499999999999</v>
      </c>
      <c r="H8" s="228">
        <v>0.14000000000000001</v>
      </c>
      <c r="I8" s="227">
        <f>H8*PARÂMETROS!$E$22</f>
        <v>5.9318</v>
      </c>
      <c r="J8" s="228">
        <v>6.0000000000000001E-3</v>
      </c>
      <c r="K8" s="227">
        <f>J8*PARÂMETROS!$E$22</f>
        <v>0.25422</v>
      </c>
      <c r="L8" s="228">
        <v>2E-3</v>
      </c>
      <c r="M8" s="230">
        <f>L8*PARÂMETROS!$E$8</f>
        <v>6.1780000000000002E-2</v>
      </c>
      <c r="N8" s="228">
        <f t="shared" si="1"/>
        <v>1.4000000000000002E-3</v>
      </c>
      <c r="O8" s="230">
        <f>N8*PARÂMETROS!$E$8</f>
        <v>4.3246000000000007E-2</v>
      </c>
      <c r="P8" s="228">
        <f t="shared" si="2"/>
        <v>6.0000000000000006E-4</v>
      </c>
      <c r="Q8" s="230">
        <f>P8*PARÂMETROS!$E$8</f>
        <v>1.8534000000000002E-2</v>
      </c>
      <c r="R8" s="228">
        <f t="shared" si="3"/>
        <v>1.4000000000000001E-4</v>
      </c>
      <c r="S8" s="230">
        <f>R8*PARÂMETROS!$E$8</f>
        <v>4.3246000000000005E-3</v>
      </c>
      <c r="T8" s="231">
        <v>0.34</v>
      </c>
      <c r="U8" s="345">
        <v>1.02</v>
      </c>
      <c r="V8" s="311">
        <v>2</v>
      </c>
      <c r="W8" s="345">
        <v>1.9</v>
      </c>
      <c r="X8" s="228">
        <f t="shared" si="4"/>
        <v>1.959E-2</v>
      </c>
      <c r="Y8" s="230">
        <f>X8*PARÂMETROS!$E$8</f>
        <v>0.60513510000000004</v>
      </c>
      <c r="Z8" s="229">
        <f t="shared" si="5"/>
        <v>8.8155000000000004E-3</v>
      </c>
      <c r="AA8" s="230">
        <f>Z8*PARÂMETROS!$E$8</f>
        <v>0.27231079499999999</v>
      </c>
      <c r="AB8" s="23"/>
      <c r="AC8" s="23"/>
      <c r="AD8" s="232" t="s">
        <v>1386</v>
      </c>
      <c r="AE8" s="264">
        <f t="shared" si="6"/>
        <v>12.951900495</v>
      </c>
      <c r="AF8" s="23"/>
      <c r="AG8" s="224" t="s">
        <v>200</v>
      </c>
      <c r="AH8" s="291">
        <f>PARÂMETROS!$H$3</f>
        <v>40</v>
      </c>
      <c r="AI8" s="267">
        <v>6.9444444444444397E-3</v>
      </c>
      <c r="AJ8" s="267">
        <v>6.9444444444444397E-3</v>
      </c>
      <c r="AK8" s="267">
        <v>1.38888888888889E-2</v>
      </c>
      <c r="AL8" s="267"/>
      <c r="AM8" s="267">
        <v>2.0833333333333301E-2</v>
      </c>
      <c r="AN8" s="267">
        <v>6.9444444444444397E-3</v>
      </c>
      <c r="AO8" s="267">
        <v>3.125E-2</v>
      </c>
      <c r="AP8" s="292">
        <f t="shared" si="7"/>
        <v>8.6805555555555511E-2</v>
      </c>
      <c r="AQ8" s="291">
        <f t="shared" si="8"/>
        <v>83.333333333333286</v>
      </c>
      <c r="AS8" s="273">
        <f t="shared" si="9"/>
        <v>12.951900495</v>
      </c>
      <c r="AT8" s="274">
        <f t="shared" si="10"/>
        <v>83.333333333333286</v>
      </c>
      <c r="AU8" s="275">
        <v>1</v>
      </c>
      <c r="AV8" s="276">
        <f t="shared" si="11"/>
        <v>83.333333333333286</v>
      </c>
      <c r="AW8" s="293">
        <f t="shared" si="12"/>
        <v>96.28523382833329</v>
      </c>
      <c r="BR8" s="293">
        <v>80</v>
      </c>
      <c r="BS8" s="293">
        <f t="shared" si="13"/>
        <v>176.28523382833328</v>
      </c>
    </row>
    <row r="9" spans="1:71" ht="27" customHeight="1" x14ac:dyDescent="0.3">
      <c r="A9" s="224" t="s">
        <v>185</v>
      </c>
      <c r="B9" s="225" t="s">
        <v>1384</v>
      </c>
      <c r="C9" s="228">
        <v>0.16800000000000001</v>
      </c>
      <c r="D9" s="263">
        <f>C9*D5</f>
        <v>3.2911200000000003</v>
      </c>
      <c r="E9" s="228">
        <v>7.5999999999999998E-2</v>
      </c>
      <c r="F9" s="263">
        <f>E9*F5</f>
        <v>1.4888399999999999</v>
      </c>
      <c r="G9" s="227">
        <f t="shared" si="0"/>
        <v>4.77996</v>
      </c>
      <c r="H9" s="228">
        <v>0.26</v>
      </c>
      <c r="I9" s="227">
        <f>H9*PARÂMETROS!$E$22</f>
        <v>11.0162</v>
      </c>
      <c r="J9" s="228">
        <v>1.0999999999999999E-2</v>
      </c>
      <c r="K9" s="227">
        <f>J9*PARÂMETROS!$E$22</f>
        <v>0.46606999999999993</v>
      </c>
      <c r="L9" s="228">
        <v>2E-3</v>
      </c>
      <c r="M9" s="230">
        <f>L9*PARÂMETROS!$E$8</f>
        <v>6.1780000000000002E-2</v>
      </c>
      <c r="N9" s="228">
        <f t="shared" si="1"/>
        <v>2.6000000000000003E-3</v>
      </c>
      <c r="O9" s="230">
        <f>N9*PARÂMETROS!$E$8</f>
        <v>8.031400000000001E-2</v>
      </c>
      <c r="P9" s="228">
        <f t="shared" si="2"/>
        <v>1.1000000000000001E-3</v>
      </c>
      <c r="Q9" s="230">
        <f>P9*PARÂMETROS!$E$8</f>
        <v>3.3979000000000002E-2</v>
      </c>
      <c r="R9" s="228">
        <f t="shared" si="3"/>
        <v>2.6000000000000003E-4</v>
      </c>
      <c r="S9" s="230">
        <f>R9*PARÂMETROS!$E$8</f>
        <v>8.031400000000001E-3</v>
      </c>
      <c r="T9" s="231">
        <v>0.39</v>
      </c>
      <c r="U9" s="345">
        <v>1.17</v>
      </c>
      <c r="V9" s="311">
        <v>2</v>
      </c>
      <c r="W9" s="345">
        <v>1.9</v>
      </c>
      <c r="X9" s="228">
        <f t="shared" si="4"/>
        <v>3.2911200000000002E-2</v>
      </c>
      <c r="Y9" s="230">
        <f>X9*PARÂMETROS!$E$8</f>
        <v>1.016626968</v>
      </c>
      <c r="Z9" s="229">
        <f t="shared" si="5"/>
        <v>1.48884E-2</v>
      </c>
      <c r="AA9" s="230">
        <f>Z9*PARÂMETROS!$E$8</f>
        <v>0.45990267600000001</v>
      </c>
      <c r="AB9" s="23"/>
      <c r="AC9" s="23"/>
      <c r="AD9" s="232" t="s">
        <v>1387</v>
      </c>
      <c r="AE9" s="264">
        <f t="shared" si="6"/>
        <v>20.992864043999997</v>
      </c>
      <c r="AF9" s="23"/>
      <c r="AG9" s="224" t="s">
        <v>185</v>
      </c>
      <c r="AH9" s="291">
        <f>PARÂMETROS!$H$3</f>
        <v>40</v>
      </c>
      <c r="AI9" s="267">
        <v>6.9444444444444397E-3</v>
      </c>
      <c r="AJ9" s="267">
        <v>6.9444444444444397E-3</v>
      </c>
      <c r="AK9" s="267">
        <v>1.38888888888889E-2</v>
      </c>
      <c r="AL9" s="267"/>
      <c r="AM9" s="267">
        <v>2.0833333333333301E-2</v>
      </c>
      <c r="AN9" s="267">
        <v>6.9444444444444397E-3</v>
      </c>
      <c r="AO9" s="267">
        <v>3.125E-2</v>
      </c>
      <c r="AP9" s="292">
        <f t="shared" si="7"/>
        <v>8.6805555555555511E-2</v>
      </c>
      <c r="AQ9" s="291">
        <f t="shared" si="8"/>
        <v>83.333333333333286</v>
      </c>
      <c r="AS9" s="273">
        <f t="shared" si="9"/>
        <v>20.992864043999997</v>
      </c>
      <c r="AT9" s="274">
        <f t="shared" si="10"/>
        <v>83.333333333333286</v>
      </c>
      <c r="AU9" s="275">
        <v>1</v>
      </c>
      <c r="AV9" s="276">
        <f t="shared" si="11"/>
        <v>83.333333333333286</v>
      </c>
      <c r="AW9" s="293">
        <f t="shared" si="12"/>
        <v>104.32619737733329</v>
      </c>
      <c r="BR9" s="293">
        <v>80</v>
      </c>
      <c r="BS9" s="293">
        <f t="shared" si="13"/>
        <v>184.3261973773333</v>
      </c>
    </row>
    <row r="10" spans="1:71" ht="25.5" customHeight="1" x14ac:dyDescent="0.3">
      <c r="A10" s="224" t="s">
        <v>39</v>
      </c>
      <c r="B10" s="225" t="s">
        <v>1384</v>
      </c>
      <c r="C10" s="228">
        <v>0.624</v>
      </c>
      <c r="D10" s="263">
        <f>C10*D5</f>
        <v>12.224159999999999</v>
      </c>
      <c r="E10" s="228">
        <v>0.28100000000000003</v>
      </c>
      <c r="F10" s="263">
        <f>E10*F5</f>
        <v>5.5047900000000007</v>
      </c>
      <c r="G10" s="227">
        <f t="shared" si="0"/>
        <v>17.728950000000001</v>
      </c>
      <c r="H10" s="228">
        <v>0.5</v>
      </c>
      <c r="I10" s="227">
        <f>H10*PARÂMETROS!$E$22</f>
        <v>21.184999999999999</v>
      </c>
      <c r="J10" s="228">
        <v>2.5000000000000001E-2</v>
      </c>
      <c r="K10" s="227">
        <f>J10*PARÂMETROS!$E$22</f>
        <v>1.05925</v>
      </c>
      <c r="L10" s="228">
        <v>2E-3</v>
      </c>
      <c r="M10" s="230">
        <f>L10*PARÂMETROS!$E$8</f>
        <v>6.1780000000000002E-2</v>
      </c>
      <c r="N10" s="228">
        <f t="shared" si="1"/>
        <v>5.0000000000000001E-3</v>
      </c>
      <c r="O10" s="230">
        <f>N10*PARÂMETROS!$E$8</f>
        <v>0.15445</v>
      </c>
      <c r="P10" s="228">
        <f t="shared" si="2"/>
        <v>2.5000000000000005E-3</v>
      </c>
      <c r="Q10" s="230">
        <f>P10*PARÂMETROS!$E$8</f>
        <v>7.7225000000000016E-2</v>
      </c>
      <c r="R10" s="228">
        <f t="shared" si="3"/>
        <v>5.0000000000000001E-4</v>
      </c>
      <c r="S10" s="230">
        <f>R10*PARÂMETROS!$E$8</f>
        <v>1.5445E-2</v>
      </c>
      <c r="T10" s="231">
        <v>0.5</v>
      </c>
      <c r="U10" s="345">
        <v>1.5</v>
      </c>
      <c r="V10" s="311">
        <v>2</v>
      </c>
      <c r="W10" s="345">
        <v>1.9</v>
      </c>
      <c r="X10" s="228">
        <f t="shared" si="4"/>
        <v>0.12224159999999999</v>
      </c>
      <c r="Y10" s="230">
        <f>X10*PARÂMETROS!$E$8</f>
        <v>3.7760430239999998</v>
      </c>
      <c r="Z10" s="229">
        <f t="shared" si="5"/>
        <v>5.5047900000000011E-2</v>
      </c>
      <c r="AA10" s="230">
        <f>Z10*PARÂMETROS!$E$8</f>
        <v>1.7004296310000004</v>
      </c>
      <c r="AB10" s="23"/>
      <c r="AC10" s="23"/>
      <c r="AD10" s="232" t="s">
        <v>1388</v>
      </c>
      <c r="AE10" s="264">
        <f t="shared" si="6"/>
        <v>49.158572655</v>
      </c>
      <c r="AF10" s="23"/>
      <c r="AG10" s="224" t="s">
        <v>39</v>
      </c>
      <c r="AH10" s="291">
        <f>PARÂMETROS!$H$3</f>
        <v>40</v>
      </c>
      <c r="AI10" s="267">
        <v>6.9444444444444397E-3</v>
      </c>
      <c r="AJ10" s="267">
        <v>6.9444444444444397E-3</v>
      </c>
      <c r="AK10" s="267">
        <v>1.38888888888889E-2</v>
      </c>
      <c r="AL10" s="267"/>
      <c r="AM10" s="267">
        <v>2.0833333333333301E-2</v>
      </c>
      <c r="AN10" s="267">
        <v>6.9444444444444397E-3</v>
      </c>
      <c r="AO10" s="267">
        <v>3.125E-2</v>
      </c>
      <c r="AP10" s="292">
        <f t="shared" si="7"/>
        <v>8.6805555555555511E-2</v>
      </c>
      <c r="AQ10" s="291">
        <f t="shared" si="8"/>
        <v>83.333333333333286</v>
      </c>
      <c r="AS10" s="273">
        <f t="shared" si="9"/>
        <v>49.158572655</v>
      </c>
      <c r="AT10" s="274">
        <f t="shared" si="10"/>
        <v>83.333333333333286</v>
      </c>
      <c r="AU10" s="275">
        <v>1</v>
      </c>
      <c r="AV10" s="276">
        <f t="shared" si="11"/>
        <v>83.333333333333286</v>
      </c>
      <c r="AW10" s="293">
        <f t="shared" si="12"/>
        <v>132.49190598833329</v>
      </c>
      <c r="BR10" s="293">
        <v>80</v>
      </c>
      <c r="BS10" s="293">
        <f t="shared" si="13"/>
        <v>212.49190598833329</v>
      </c>
    </row>
    <row r="11" spans="1:71" ht="27" customHeight="1" x14ac:dyDescent="0.3">
      <c r="A11" s="224" t="s">
        <v>300</v>
      </c>
      <c r="B11" s="225" t="s">
        <v>1384</v>
      </c>
      <c r="C11" s="228">
        <v>0.94799999999999995</v>
      </c>
      <c r="D11" s="263">
        <f>C11*D5</f>
        <v>18.57132</v>
      </c>
      <c r="E11" s="228">
        <v>0.42699999999999999</v>
      </c>
      <c r="F11" s="263">
        <f>E11*F5</f>
        <v>8.3649299999999993</v>
      </c>
      <c r="G11" s="227">
        <f t="shared" si="0"/>
        <v>26.936250000000001</v>
      </c>
      <c r="H11" s="228">
        <v>0.65</v>
      </c>
      <c r="I11" s="227">
        <f>H11*PARÂMETROS!$E$22</f>
        <v>27.540499999999998</v>
      </c>
      <c r="J11" s="228">
        <v>3.2000000000000001E-2</v>
      </c>
      <c r="K11" s="227">
        <f>J11*PARÂMETROS!$E$22</f>
        <v>1.3558399999999999</v>
      </c>
      <c r="L11" s="228">
        <v>2E-3</v>
      </c>
      <c r="M11" s="230">
        <f>L11*PARÂMETROS!$E$8</f>
        <v>6.1780000000000002E-2</v>
      </c>
      <c r="N11" s="228">
        <f t="shared" si="1"/>
        <v>6.5000000000000006E-3</v>
      </c>
      <c r="O11" s="230">
        <f>N11*PARÂMETROS!$E$8</f>
        <v>0.20078500000000002</v>
      </c>
      <c r="P11" s="228">
        <f t="shared" si="2"/>
        <v>3.2000000000000002E-3</v>
      </c>
      <c r="Q11" s="230">
        <f>P11*PARÂMETROS!$E$8</f>
        <v>9.8848000000000005E-2</v>
      </c>
      <c r="R11" s="228">
        <f t="shared" si="3"/>
        <v>6.5000000000000008E-4</v>
      </c>
      <c r="S11" s="230">
        <f>R11*PARÂMETROS!$E$8</f>
        <v>2.0078500000000003E-2</v>
      </c>
      <c r="T11" s="231">
        <v>0.54</v>
      </c>
      <c r="U11" s="345">
        <v>1.62</v>
      </c>
      <c r="V11" s="311">
        <v>2</v>
      </c>
      <c r="W11" s="345">
        <v>1.9</v>
      </c>
      <c r="X11" s="228">
        <f t="shared" si="4"/>
        <v>0.18571319999999999</v>
      </c>
      <c r="Y11" s="230">
        <f>X11*PARÂMETROS!$E$8</f>
        <v>5.7366807480000004</v>
      </c>
      <c r="Z11" s="229">
        <f t="shared" si="5"/>
        <v>8.3649299999999996E-2</v>
      </c>
      <c r="AA11" s="230">
        <f>Z11*PARÂMETROS!$E$8</f>
        <v>2.5839268770000001</v>
      </c>
      <c r="AB11" s="23"/>
      <c r="AC11" s="23"/>
      <c r="AD11" s="232" t="s">
        <v>1389</v>
      </c>
      <c r="AE11" s="264">
        <f t="shared" si="6"/>
        <v>68.05468912500001</v>
      </c>
      <c r="AF11" s="23"/>
      <c r="AG11" s="224" t="s">
        <v>300</v>
      </c>
      <c r="AH11" s="291">
        <f>PARÂMETROS!$H$3</f>
        <v>40</v>
      </c>
      <c r="AI11" s="267">
        <v>6.9444444444444397E-3</v>
      </c>
      <c r="AJ11" s="267">
        <v>6.9444444444444397E-3</v>
      </c>
      <c r="AK11" s="267">
        <v>1.38888888888889E-2</v>
      </c>
      <c r="AL11" s="267"/>
      <c r="AM11" s="267">
        <v>2.0833333333333301E-2</v>
      </c>
      <c r="AN11" s="267">
        <v>6.9444444444444397E-3</v>
      </c>
      <c r="AO11" s="267">
        <v>3.125E-2</v>
      </c>
      <c r="AP11" s="292">
        <f t="shared" si="7"/>
        <v>8.6805555555555511E-2</v>
      </c>
      <c r="AQ11" s="291">
        <f t="shared" si="8"/>
        <v>83.333333333333286</v>
      </c>
      <c r="AS11" s="273">
        <f t="shared" si="9"/>
        <v>68.05468912500001</v>
      </c>
      <c r="AT11" s="274">
        <f t="shared" si="10"/>
        <v>83.333333333333286</v>
      </c>
      <c r="AU11" s="275">
        <v>1</v>
      </c>
      <c r="AV11" s="276">
        <f t="shared" si="11"/>
        <v>83.333333333333286</v>
      </c>
      <c r="AW11" s="293">
        <f t="shared" si="12"/>
        <v>151.3880224583333</v>
      </c>
      <c r="BR11" s="293">
        <v>80</v>
      </c>
      <c r="BS11" s="293">
        <f t="shared" si="13"/>
        <v>231.3880224583333</v>
      </c>
    </row>
    <row r="12" spans="1:71" ht="27" customHeight="1" x14ac:dyDescent="0.3">
      <c r="A12" s="224" t="s">
        <v>41</v>
      </c>
      <c r="B12" s="225" t="s">
        <v>1384</v>
      </c>
      <c r="C12" s="228">
        <v>1.3089999999999999</v>
      </c>
      <c r="D12" s="263">
        <f>C12*D5</f>
        <v>25.64331</v>
      </c>
      <c r="E12" s="228">
        <v>0.58899999999999997</v>
      </c>
      <c r="F12" s="263">
        <f>E12*F5</f>
        <v>11.538509999999999</v>
      </c>
      <c r="G12" s="227">
        <f t="shared" si="0"/>
        <v>37.181820000000002</v>
      </c>
      <c r="H12" s="228">
        <v>0.8</v>
      </c>
      <c r="I12" s="227">
        <f>H12*PARÂMETROS!$E$22</f>
        <v>33.896000000000001</v>
      </c>
      <c r="J12" s="228">
        <v>4.2000000000000003E-2</v>
      </c>
      <c r="K12" s="227">
        <f>J12*PARÂMETROS!$E$22</f>
        <v>1.7795399999999999</v>
      </c>
      <c r="L12" s="228">
        <v>2E-3</v>
      </c>
      <c r="M12" s="230">
        <f>L12*PARÂMETROS!$E$8</f>
        <v>6.1780000000000002E-2</v>
      </c>
      <c r="N12" s="228">
        <f t="shared" si="1"/>
        <v>8.0000000000000002E-3</v>
      </c>
      <c r="O12" s="230">
        <f>N12*PARÂMETROS!$E$8</f>
        <v>0.24712000000000001</v>
      </c>
      <c r="P12" s="228">
        <f t="shared" si="2"/>
        <v>4.2000000000000006E-3</v>
      </c>
      <c r="Q12" s="230">
        <f>P12*PARÂMETROS!$E$8</f>
        <v>0.12973800000000002</v>
      </c>
      <c r="R12" s="228">
        <f t="shared" si="3"/>
        <v>8.0000000000000004E-4</v>
      </c>
      <c r="S12" s="230">
        <f>R12*PARÂMETROS!$E$8</f>
        <v>2.4712000000000001E-2</v>
      </c>
      <c r="T12" s="231">
        <v>0.6</v>
      </c>
      <c r="U12" s="345">
        <v>1.8</v>
      </c>
      <c r="V12" s="311">
        <v>2</v>
      </c>
      <c r="W12" s="345">
        <v>1.9</v>
      </c>
      <c r="X12" s="228">
        <f t="shared" si="4"/>
        <v>0.25643310000000002</v>
      </c>
      <c r="Y12" s="230">
        <f>X12*PARÂMETROS!$E$8</f>
        <v>7.9212184590000012</v>
      </c>
      <c r="Z12" s="229">
        <f t="shared" si="5"/>
        <v>0.11538509999999999</v>
      </c>
      <c r="AA12" s="230">
        <f>Z12*PARÂMETROS!$E$8</f>
        <v>3.564245739</v>
      </c>
      <c r="AB12" s="23"/>
      <c r="AC12" s="23"/>
      <c r="AD12" s="232" t="s">
        <v>1390</v>
      </c>
      <c r="AE12" s="264">
        <f t="shared" si="6"/>
        <v>88.506174197999997</v>
      </c>
      <c r="AF12" s="23"/>
      <c r="AG12" s="224" t="s">
        <v>41</v>
      </c>
      <c r="AH12" s="291">
        <f>PARÂMETROS!$H$3</f>
        <v>40</v>
      </c>
      <c r="AI12" s="267">
        <v>6.9444444444444397E-3</v>
      </c>
      <c r="AJ12" s="267">
        <v>6.9444444444444397E-3</v>
      </c>
      <c r="AK12" s="267">
        <v>1.38888888888889E-2</v>
      </c>
      <c r="AL12" s="267"/>
      <c r="AM12" s="267">
        <v>2.0833333333333301E-2</v>
      </c>
      <c r="AN12" s="267">
        <v>6.9444444444444397E-3</v>
      </c>
      <c r="AO12" s="267">
        <v>3.125E-2</v>
      </c>
      <c r="AP12" s="292">
        <f t="shared" si="7"/>
        <v>8.6805555555555511E-2</v>
      </c>
      <c r="AQ12" s="291">
        <f t="shared" si="8"/>
        <v>83.333333333333286</v>
      </c>
      <c r="AS12" s="273">
        <f t="shared" si="9"/>
        <v>88.506174197999997</v>
      </c>
      <c r="AT12" s="274">
        <f t="shared" si="10"/>
        <v>83.333333333333286</v>
      </c>
      <c r="AU12" s="275">
        <v>1</v>
      </c>
      <c r="AV12" s="276">
        <f t="shared" si="11"/>
        <v>83.333333333333286</v>
      </c>
      <c r="AW12" s="293">
        <f t="shared" si="12"/>
        <v>171.83950753133328</v>
      </c>
      <c r="BR12" s="293">
        <v>80</v>
      </c>
      <c r="BS12" s="293">
        <f t="shared" si="13"/>
        <v>251.83950753133328</v>
      </c>
    </row>
    <row r="13" spans="1:71" ht="27" customHeight="1" x14ac:dyDescent="0.3">
      <c r="A13" s="224" t="s">
        <v>743</v>
      </c>
      <c r="B13" s="225" t="s">
        <v>1384</v>
      </c>
      <c r="C13" s="228">
        <v>2.774</v>
      </c>
      <c r="D13" s="263">
        <f>C13*D5</f>
        <v>54.342660000000002</v>
      </c>
      <c r="E13" s="228">
        <v>1.248</v>
      </c>
      <c r="F13" s="263">
        <f>E13*F5</f>
        <v>24.448319999999999</v>
      </c>
      <c r="G13" s="227">
        <f t="shared" si="0"/>
        <v>78.790980000000005</v>
      </c>
      <c r="H13" s="228">
        <v>1</v>
      </c>
      <c r="I13" s="227">
        <f>H13*PARÂMETROS!$E$22</f>
        <v>42.37</v>
      </c>
      <c r="J13" s="228">
        <v>6.5000000000000002E-2</v>
      </c>
      <c r="K13" s="227">
        <f>J13*PARÂMETROS!$E$22</f>
        <v>2.7540499999999999</v>
      </c>
      <c r="L13" s="228">
        <v>2E-3</v>
      </c>
      <c r="M13" s="230">
        <f>L13*PARÂMETROS!$E$8</f>
        <v>6.1780000000000002E-2</v>
      </c>
      <c r="N13" s="228">
        <f t="shared" si="1"/>
        <v>0.01</v>
      </c>
      <c r="O13" s="230">
        <f>N13*PARÂMETROS!$E$8</f>
        <v>0.30890000000000001</v>
      </c>
      <c r="P13" s="228">
        <f t="shared" si="2"/>
        <v>6.5000000000000006E-3</v>
      </c>
      <c r="Q13" s="230">
        <f>P13*PARÂMETROS!$E$8</f>
        <v>0.20078500000000002</v>
      </c>
      <c r="R13" s="228">
        <f t="shared" si="3"/>
        <v>1E-3</v>
      </c>
      <c r="S13" s="230">
        <f>R13*PARÂMETROS!$E$8</f>
        <v>3.0890000000000001E-2</v>
      </c>
      <c r="T13" s="231">
        <v>0.7</v>
      </c>
      <c r="U13" s="345">
        <v>2.1</v>
      </c>
      <c r="V13" s="311">
        <v>2</v>
      </c>
      <c r="W13" s="345">
        <v>1.9</v>
      </c>
      <c r="X13" s="228">
        <f t="shared" si="4"/>
        <v>0.54342659999999998</v>
      </c>
      <c r="Y13" s="230">
        <f>X13*PARÂMETROS!$E$8</f>
        <v>16.786447674000001</v>
      </c>
      <c r="Z13" s="228">
        <f t="shared" si="5"/>
        <v>0.24448319999999998</v>
      </c>
      <c r="AA13" s="230">
        <f>Z13*PARÂMETROS!$E$8</f>
        <v>7.5520860479999996</v>
      </c>
      <c r="AB13" s="23"/>
      <c r="AC13" s="23"/>
      <c r="AD13" s="232" t="s">
        <v>1486</v>
      </c>
      <c r="AE13" s="264">
        <f t="shared" si="6"/>
        <v>152.85591872200001</v>
      </c>
      <c r="AF13" s="23"/>
      <c r="AG13" s="224" t="s">
        <v>743</v>
      </c>
      <c r="AH13" s="291">
        <f>PARÂMETROS!$H$3</f>
        <v>40</v>
      </c>
      <c r="AI13" s="267">
        <v>1.0416666666666701E-2</v>
      </c>
      <c r="AJ13" s="267">
        <v>1.38888888888889E-2</v>
      </c>
      <c r="AK13" s="267">
        <v>2.7777777777777801E-2</v>
      </c>
      <c r="AL13" s="267">
        <v>6.9444444444444397E-3</v>
      </c>
      <c r="AM13" s="267">
        <v>2.0833333333333301E-2</v>
      </c>
      <c r="AN13" s="267">
        <v>6.9444444444444397E-3</v>
      </c>
      <c r="AO13" s="267">
        <v>3.125E-2</v>
      </c>
      <c r="AP13" s="292">
        <f t="shared" si="7"/>
        <v>0.11805555555555558</v>
      </c>
      <c r="AQ13" s="291">
        <f t="shared" si="8"/>
        <v>113.33333333333336</v>
      </c>
      <c r="AS13" s="273">
        <f t="shared" si="9"/>
        <v>152.85591872200001</v>
      </c>
      <c r="AT13" s="274">
        <f t="shared" si="10"/>
        <v>113.33333333333336</v>
      </c>
      <c r="AU13" s="275">
        <v>1</v>
      </c>
      <c r="AV13" s="276">
        <f t="shared" si="11"/>
        <v>113.33333333333336</v>
      </c>
      <c r="AW13" s="293">
        <f t="shared" si="12"/>
        <v>266.18925205533338</v>
      </c>
      <c r="BR13" s="293">
        <v>80</v>
      </c>
      <c r="BS13" s="293">
        <f t="shared" si="13"/>
        <v>346.18925205533338</v>
      </c>
    </row>
    <row r="14" spans="1:71" s="223" customFormat="1" ht="14.25" customHeight="1" x14ac:dyDescent="0.3">
      <c r="A14" s="43"/>
      <c r="B14" s="43"/>
      <c r="C14" s="43"/>
      <c r="D14" s="246"/>
      <c r="E14" s="43"/>
      <c r="F14" s="246"/>
      <c r="G14" s="246"/>
      <c r="H14" s="43"/>
      <c r="I14" s="43"/>
      <c r="J14" s="246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</row>
    <row r="15" spans="1:71" s="223" customFormat="1" ht="14.25" customHeight="1" x14ac:dyDescent="0.3">
      <c r="A15" s="43"/>
      <c r="B15" s="43"/>
      <c r="C15" s="43"/>
      <c r="D15" s="246"/>
      <c r="E15" s="43"/>
      <c r="F15" s="246"/>
      <c r="G15" s="246"/>
      <c r="H15" s="43"/>
      <c r="I15" s="43"/>
      <c r="J15" s="246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</row>
    <row r="16" spans="1:71" s="223" customFormat="1" ht="14.25" customHeight="1" x14ac:dyDescent="0.3">
      <c r="A16" s="43"/>
      <c r="B16" s="43"/>
      <c r="C16" s="43"/>
      <c r="D16" s="246"/>
      <c r="E16" s="43"/>
      <c r="F16" s="246"/>
      <c r="G16" s="246"/>
      <c r="H16" s="43"/>
      <c r="I16" s="43"/>
      <c r="J16" s="246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80"/>
      <c r="BC16" s="280"/>
      <c r="BD16" s="280"/>
      <c r="BE16" s="280"/>
      <c r="BF16" s="280"/>
      <c r="BG16" s="280"/>
      <c r="BH16" s="280"/>
      <c r="BI16" s="280"/>
      <c r="BJ16" s="280"/>
      <c r="BK16" s="280"/>
      <c r="BL16" s="280"/>
      <c r="BM16" s="280"/>
      <c r="BN16" s="280"/>
      <c r="BO16" s="280"/>
      <c r="BP16" s="280"/>
    </row>
    <row r="17" spans="1:68" s="223" customFormat="1" ht="14.25" customHeight="1" x14ac:dyDescent="0.3">
      <c r="A17" s="43"/>
      <c r="B17" s="43"/>
      <c r="C17" s="43"/>
      <c r="D17" s="246"/>
      <c r="E17" s="43"/>
      <c r="F17" s="246"/>
      <c r="G17" s="246"/>
      <c r="H17" s="43"/>
      <c r="I17" s="43"/>
      <c r="J17" s="246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</row>
    <row r="18" spans="1:68" s="223" customFormat="1" ht="14.25" customHeight="1" x14ac:dyDescent="0.3">
      <c r="A18" s="43"/>
      <c r="B18" s="43"/>
      <c r="C18" s="43"/>
      <c r="D18" s="246"/>
      <c r="E18" s="43"/>
      <c r="F18" s="246"/>
      <c r="G18" s="246"/>
      <c r="H18" s="43"/>
      <c r="I18" s="43"/>
      <c r="J18" s="246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</row>
    <row r="19" spans="1:68" s="223" customFormat="1" ht="14.25" customHeight="1" x14ac:dyDescent="0.3">
      <c r="A19" s="43"/>
      <c r="B19" s="43"/>
      <c r="C19" s="43"/>
      <c r="D19" s="246"/>
      <c r="E19" s="43"/>
      <c r="F19" s="246"/>
      <c r="G19" s="246"/>
      <c r="H19" s="43"/>
      <c r="I19" s="43"/>
      <c r="J19" s="246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</row>
    <row r="20" spans="1:68" s="223" customFormat="1" ht="14.25" customHeight="1" x14ac:dyDescent="0.3">
      <c r="A20" s="43"/>
      <c r="B20" s="43"/>
      <c r="C20" s="43"/>
      <c r="D20" s="246"/>
      <c r="E20" s="43"/>
      <c r="F20" s="246"/>
      <c r="G20" s="246"/>
      <c r="H20" s="43"/>
      <c r="I20" s="43"/>
      <c r="J20" s="246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</row>
    <row r="21" spans="1:68" s="223" customFormat="1" ht="14.25" customHeight="1" x14ac:dyDescent="0.3">
      <c r="A21" s="43"/>
      <c r="B21" s="43"/>
      <c r="C21" s="43"/>
      <c r="D21" s="246"/>
      <c r="E21" s="43"/>
      <c r="F21" s="246"/>
      <c r="G21" s="246"/>
      <c r="H21" s="43"/>
      <c r="I21" s="43"/>
      <c r="J21" s="246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</row>
    <row r="22" spans="1:68" s="223" customFormat="1" ht="14.25" customHeight="1" x14ac:dyDescent="0.3">
      <c r="A22" s="43"/>
      <c r="B22" s="43"/>
      <c r="C22" s="43"/>
      <c r="D22" s="246"/>
      <c r="E22" s="43"/>
      <c r="F22" s="246"/>
      <c r="G22" s="246"/>
      <c r="H22" s="43"/>
      <c r="I22" s="43"/>
      <c r="J22" s="246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</row>
    <row r="23" spans="1:68" s="223" customFormat="1" ht="14.25" customHeight="1" x14ac:dyDescent="0.3">
      <c r="A23" s="43"/>
      <c r="B23" s="43"/>
      <c r="C23" s="43"/>
      <c r="D23" s="246"/>
      <c r="E23" s="43"/>
      <c r="F23" s="246"/>
      <c r="G23" s="246"/>
      <c r="H23" s="43"/>
      <c r="I23" s="43"/>
      <c r="J23" s="246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</row>
    <row r="24" spans="1:68" s="223" customFormat="1" ht="14.25" customHeight="1" x14ac:dyDescent="0.3">
      <c r="A24" s="43"/>
      <c r="B24" s="43"/>
      <c r="C24" s="43"/>
      <c r="D24" s="246"/>
      <c r="E24" s="43"/>
      <c r="F24" s="246"/>
      <c r="G24" s="246"/>
      <c r="H24" s="43"/>
      <c r="I24" s="43"/>
      <c r="J24" s="246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</row>
    <row r="25" spans="1:68" s="223" customFormat="1" ht="14.25" customHeight="1" x14ac:dyDescent="0.3">
      <c r="A25" s="43"/>
      <c r="B25" s="43"/>
      <c r="C25" s="43"/>
      <c r="D25" s="246"/>
      <c r="E25" s="43"/>
      <c r="F25" s="246"/>
      <c r="G25" s="246"/>
      <c r="H25" s="43"/>
      <c r="I25" s="43"/>
      <c r="J25" s="246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80"/>
      <c r="BC25" s="280"/>
      <c r="BD25" s="280"/>
      <c r="BE25" s="280"/>
      <c r="BF25" s="280"/>
      <c r="BG25" s="280"/>
      <c r="BH25" s="280"/>
      <c r="BI25" s="280"/>
      <c r="BJ25" s="280"/>
      <c r="BK25" s="280"/>
      <c r="BL25" s="280"/>
      <c r="BM25" s="280"/>
      <c r="BN25" s="280"/>
      <c r="BO25" s="280"/>
      <c r="BP25" s="280"/>
    </row>
    <row r="26" spans="1:68" s="223" customFormat="1" ht="14.25" customHeight="1" x14ac:dyDescent="0.3">
      <c r="A26" s="43"/>
      <c r="B26" s="43"/>
      <c r="C26" s="43"/>
      <c r="D26" s="246"/>
      <c r="E26" s="43"/>
      <c r="F26" s="246"/>
      <c r="G26" s="246"/>
      <c r="H26" s="43"/>
      <c r="I26" s="43"/>
      <c r="J26" s="246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80"/>
      <c r="BC26" s="280"/>
      <c r="BD26" s="280"/>
      <c r="BE26" s="280"/>
      <c r="BF26" s="280"/>
      <c r="BG26" s="280"/>
      <c r="BH26" s="280"/>
      <c r="BI26" s="280"/>
      <c r="BJ26" s="280"/>
      <c r="BK26" s="280"/>
      <c r="BL26" s="280"/>
      <c r="BM26" s="280"/>
      <c r="BN26" s="280"/>
      <c r="BO26" s="280"/>
      <c r="BP26" s="280"/>
    </row>
    <row r="27" spans="1:68" s="223" customFormat="1" ht="14.25" customHeight="1" x14ac:dyDescent="0.3">
      <c r="A27" s="43"/>
      <c r="B27" s="43"/>
      <c r="C27" s="43"/>
      <c r="D27" s="246"/>
      <c r="E27" s="43"/>
      <c r="F27" s="246"/>
      <c r="G27" s="246"/>
      <c r="H27" s="43"/>
      <c r="I27" s="43"/>
      <c r="J27" s="246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</row>
    <row r="28" spans="1:68" s="223" customFormat="1" ht="14.25" customHeight="1" x14ac:dyDescent="0.3">
      <c r="A28" s="43"/>
      <c r="B28" s="43"/>
      <c r="C28" s="43"/>
      <c r="D28" s="246"/>
      <c r="E28" s="43"/>
      <c r="F28" s="246"/>
      <c r="G28" s="246"/>
      <c r="H28" s="43"/>
      <c r="I28" s="43"/>
      <c r="J28" s="246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</row>
    <row r="29" spans="1:68" s="223" customFormat="1" ht="14.25" customHeight="1" x14ac:dyDescent="0.3">
      <c r="A29" s="43"/>
      <c r="B29" s="43"/>
      <c r="C29" s="43"/>
      <c r="D29" s="246"/>
      <c r="E29" s="43"/>
      <c r="F29" s="246"/>
      <c r="G29" s="246"/>
      <c r="H29" s="43"/>
      <c r="I29" s="43"/>
      <c r="J29" s="246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</row>
    <row r="30" spans="1:68" s="223" customFormat="1" ht="14.25" customHeight="1" x14ac:dyDescent="0.3">
      <c r="A30" s="43"/>
      <c r="B30" s="43"/>
      <c r="C30" s="43"/>
      <c r="D30" s="246"/>
      <c r="E30" s="43"/>
      <c r="F30" s="246"/>
      <c r="G30" s="246"/>
      <c r="H30" s="43"/>
      <c r="I30" s="43"/>
      <c r="J30" s="246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80"/>
      <c r="BC30" s="280"/>
      <c r="BD30" s="280"/>
      <c r="BE30" s="280"/>
      <c r="BF30" s="280"/>
      <c r="BG30" s="280"/>
      <c r="BH30" s="280"/>
      <c r="BI30" s="280"/>
      <c r="BJ30" s="280"/>
      <c r="BK30" s="280"/>
      <c r="BL30" s="280"/>
      <c r="BM30" s="280"/>
      <c r="BN30" s="280"/>
      <c r="BO30" s="280"/>
      <c r="BP30" s="280"/>
    </row>
    <row r="31" spans="1:68" s="223" customFormat="1" ht="14.25" customHeight="1" x14ac:dyDescent="0.3">
      <c r="A31" s="43"/>
      <c r="B31" s="43"/>
      <c r="C31" s="43"/>
      <c r="D31" s="246"/>
      <c r="E31" s="43"/>
      <c r="F31" s="246"/>
      <c r="G31" s="246"/>
      <c r="H31" s="43"/>
      <c r="I31" s="43"/>
      <c r="J31" s="246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80"/>
      <c r="BC31" s="280"/>
      <c r="BD31" s="280"/>
      <c r="BE31" s="280"/>
      <c r="BF31" s="280"/>
      <c r="BG31" s="280"/>
      <c r="BH31" s="280"/>
      <c r="BI31" s="280"/>
      <c r="BJ31" s="280"/>
      <c r="BK31" s="280"/>
      <c r="BL31" s="280"/>
      <c r="BM31" s="280"/>
      <c r="BN31" s="280"/>
      <c r="BO31" s="280"/>
      <c r="BP31" s="280"/>
    </row>
    <row r="32" spans="1:68" s="223" customFormat="1" ht="14.25" customHeight="1" x14ac:dyDescent="0.3">
      <c r="A32" s="43"/>
      <c r="B32" s="43"/>
      <c r="C32" s="43"/>
      <c r="D32" s="246"/>
      <c r="E32" s="43"/>
      <c r="F32" s="246"/>
      <c r="G32" s="246"/>
      <c r="H32" s="43"/>
      <c r="I32" s="43"/>
      <c r="J32" s="246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</row>
    <row r="33" spans="1:68" s="223" customFormat="1" ht="14.25" customHeight="1" x14ac:dyDescent="0.3">
      <c r="A33" s="43"/>
      <c r="B33" s="43"/>
      <c r="C33" s="43"/>
      <c r="D33" s="246"/>
      <c r="E33" s="43"/>
      <c r="F33" s="246"/>
      <c r="G33" s="246"/>
      <c r="H33" s="43"/>
      <c r="I33" s="43"/>
      <c r="J33" s="246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</row>
    <row r="34" spans="1:68" s="223" customFormat="1" ht="14.25" customHeight="1" x14ac:dyDescent="0.3">
      <c r="A34" s="43"/>
      <c r="B34" s="43"/>
      <c r="C34" s="43"/>
      <c r="D34" s="246"/>
      <c r="E34" s="43"/>
      <c r="F34" s="246"/>
      <c r="G34" s="246"/>
      <c r="H34" s="43"/>
      <c r="I34" s="43"/>
      <c r="J34" s="246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</row>
    <row r="35" spans="1:68" s="223" customFormat="1" ht="14.25" customHeight="1" x14ac:dyDescent="0.3">
      <c r="A35" s="43"/>
      <c r="B35" s="43"/>
      <c r="C35" s="43"/>
      <c r="D35" s="246"/>
      <c r="E35" s="43"/>
      <c r="F35" s="246"/>
      <c r="G35" s="246"/>
      <c r="H35" s="43"/>
      <c r="I35" s="43"/>
      <c r="J35" s="246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</row>
    <row r="36" spans="1:68" s="223" customFormat="1" ht="14.25" customHeight="1" x14ac:dyDescent="0.3">
      <c r="A36" s="43"/>
      <c r="B36" s="43"/>
      <c r="C36" s="43"/>
      <c r="D36" s="246"/>
      <c r="E36" s="43"/>
      <c r="F36" s="246"/>
      <c r="G36" s="246"/>
      <c r="H36" s="43"/>
      <c r="I36" s="43"/>
      <c r="J36" s="246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80"/>
      <c r="BC36" s="280"/>
      <c r="BD36" s="280"/>
      <c r="BE36" s="280"/>
      <c r="BF36" s="280"/>
      <c r="BG36" s="280"/>
      <c r="BH36" s="280"/>
      <c r="BI36" s="280"/>
      <c r="BJ36" s="280"/>
      <c r="BK36" s="280"/>
      <c r="BL36" s="280"/>
      <c r="BM36" s="280"/>
      <c r="BN36" s="280"/>
      <c r="BO36" s="280"/>
      <c r="BP36" s="280"/>
    </row>
    <row r="37" spans="1:68" s="223" customFormat="1" ht="14.25" customHeight="1" x14ac:dyDescent="0.3">
      <c r="A37" s="43"/>
      <c r="B37" s="43"/>
      <c r="C37" s="43"/>
      <c r="D37" s="246"/>
      <c r="E37" s="43"/>
      <c r="F37" s="246"/>
      <c r="G37" s="246"/>
      <c r="H37" s="43"/>
      <c r="I37" s="43"/>
      <c r="J37" s="246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</row>
    <row r="38" spans="1:68" s="223" customFormat="1" ht="14.25" customHeight="1" x14ac:dyDescent="0.3">
      <c r="A38" s="43"/>
      <c r="B38" s="43"/>
      <c r="C38" s="43"/>
      <c r="D38" s="246"/>
      <c r="E38" s="43"/>
      <c r="F38" s="246"/>
      <c r="G38" s="246"/>
      <c r="H38" s="43"/>
      <c r="I38" s="43"/>
      <c r="J38" s="246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</row>
    <row r="39" spans="1:68" s="223" customFormat="1" ht="14.25" customHeight="1" x14ac:dyDescent="0.3">
      <c r="A39" s="43"/>
      <c r="B39" s="43"/>
      <c r="C39" s="43"/>
      <c r="D39" s="246"/>
      <c r="E39" s="43"/>
      <c r="F39" s="246"/>
      <c r="G39" s="246"/>
      <c r="H39" s="43"/>
      <c r="I39" s="43"/>
      <c r="J39" s="246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</row>
    <row r="40" spans="1:68" s="223" customFormat="1" ht="14.25" customHeight="1" x14ac:dyDescent="0.3">
      <c r="A40" s="43"/>
      <c r="B40" s="43"/>
      <c r="C40" s="43"/>
      <c r="D40" s="246"/>
      <c r="E40" s="43"/>
      <c r="F40" s="246"/>
      <c r="G40" s="246"/>
      <c r="H40" s="43"/>
      <c r="I40" s="43"/>
      <c r="J40" s="246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80"/>
      <c r="BC40" s="280"/>
      <c r="BD40" s="280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</row>
    <row r="41" spans="1:68" s="223" customFormat="1" ht="14.25" customHeight="1" x14ac:dyDescent="0.3">
      <c r="A41" s="43"/>
      <c r="B41" s="43"/>
      <c r="C41" s="43"/>
      <c r="D41" s="246"/>
      <c r="E41" s="43"/>
      <c r="F41" s="246"/>
      <c r="G41" s="246"/>
      <c r="H41" s="43"/>
      <c r="I41" s="43"/>
      <c r="J41" s="246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80"/>
      <c r="BC41" s="280"/>
      <c r="BD41" s="280"/>
      <c r="BE41" s="280"/>
      <c r="BF41" s="280"/>
      <c r="BG41" s="280"/>
      <c r="BH41" s="280"/>
      <c r="BI41" s="280"/>
      <c r="BJ41" s="280"/>
      <c r="BK41" s="280"/>
      <c r="BL41" s="280"/>
      <c r="BM41" s="280"/>
      <c r="BN41" s="280"/>
      <c r="BO41" s="280"/>
      <c r="BP41" s="280"/>
    </row>
    <row r="42" spans="1:68" s="223" customFormat="1" ht="14.25" customHeight="1" x14ac:dyDescent="0.3">
      <c r="A42" s="43"/>
      <c r="B42" s="43"/>
      <c r="C42" s="43"/>
      <c r="D42" s="246"/>
      <c r="E42" s="43"/>
      <c r="F42" s="246"/>
      <c r="G42" s="246"/>
      <c r="H42" s="43"/>
      <c r="I42" s="43"/>
      <c r="J42" s="246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80"/>
      <c r="BC42" s="280"/>
      <c r="BD42" s="280"/>
      <c r="BE42" s="280"/>
      <c r="BF42" s="280"/>
      <c r="BG42" s="280"/>
      <c r="BH42" s="280"/>
      <c r="BI42" s="280"/>
      <c r="BJ42" s="280"/>
      <c r="BK42" s="280"/>
      <c r="BL42" s="280"/>
      <c r="BM42" s="280"/>
      <c r="BN42" s="280"/>
      <c r="BO42" s="280"/>
      <c r="BP42" s="280"/>
    </row>
    <row r="43" spans="1:68" s="223" customFormat="1" ht="14.25" customHeight="1" x14ac:dyDescent="0.3">
      <c r="A43" s="43"/>
      <c r="B43" s="43"/>
      <c r="C43" s="43"/>
      <c r="D43" s="246"/>
      <c r="E43" s="43"/>
      <c r="F43" s="246"/>
      <c r="G43" s="246"/>
      <c r="H43" s="43"/>
      <c r="I43" s="43"/>
      <c r="J43" s="246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80"/>
      <c r="BC43" s="280"/>
      <c r="BD43" s="280"/>
      <c r="BE43" s="280"/>
      <c r="BF43" s="280"/>
      <c r="BG43" s="280"/>
      <c r="BH43" s="280"/>
      <c r="BI43" s="280"/>
      <c r="BJ43" s="280"/>
      <c r="BK43" s="280"/>
      <c r="BL43" s="280"/>
      <c r="BM43" s="280"/>
      <c r="BN43" s="280"/>
      <c r="BO43" s="280"/>
      <c r="BP43" s="280"/>
    </row>
    <row r="44" spans="1:68" s="223" customFormat="1" ht="14.25" customHeight="1" x14ac:dyDescent="0.3">
      <c r="A44" s="43"/>
      <c r="B44" s="43"/>
      <c r="C44" s="43"/>
      <c r="D44" s="246"/>
      <c r="E44" s="43"/>
      <c r="F44" s="246"/>
      <c r="G44" s="246"/>
      <c r="H44" s="43"/>
      <c r="I44" s="43"/>
      <c r="J44" s="246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80"/>
      <c r="BC44" s="280"/>
      <c r="BD44" s="280"/>
      <c r="BE44" s="280"/>
      <c r="BF44" s="280"/>
      <c r="BG44" s="280"/>
      <c r="BH44" s="280"/>
      <c r="BI44" s="280"/>
      <c r="BJ44" s="280"/>
      <c r="BK44" s="280"/>
      <c r="BL44" s="280"/>
      <c r="BM44" s="280"/>
      <c r="BN44" s="280"/>
      <c r="BO44" s="280"/>
      <c r="BP44" s="280"/>
    </row>
    <row r="45" spans="1:68" s="223" customFormat="1" ht="14.25" customHeight="1" x14ac:dyDescent="0.3">
      <c r="A45" s="43"/>
      <c r="B45" s="43"/>
      <c r="C45" s="43"/>
      <c r="D45" s="246"/>
      <c r="E45" s="43"/>
      <c r="F45" s="246"/>
      <c r="G45" s="246"/>
      <c r="H45" s="43"/>
      <c r="I45" s="43"/>
      <c r="J45" s="246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80"/>
      <c r="BC45" s="280"/>
      <c r="BD45" s="280"/>
      <c r="BE45" s="280"/>
      <c r="BF45" s="280"/>
      <c r="BG45" s="280"/>
      <c r="BH45" s="280"/>
      <c r="BI45" s="280"/>
      <c r="BJ45" s="280"/>
      <c r="BK45" s="280"/>
      <c r="BL45" s="280"/>
      <c r="BM45" s="280"/>
      <c r="BN45" s="280"/>
      <c r="BO45" s="280"/>
      <c r="BP45" s="280"/>
    </row>
    <row r="46" spans="1:68" s="223" customFormat="1" ht="14.25" customHeight="1" x14ac:dyDescent="0.3">
      <c r="A46" s="43"/>
      <c r="B46" s="43"/>
      <c r="C46" s="43"/>
      <c r="D46" s="246"/>
      <c r="E46" s="43"/>
      <c r="F46" s="246"/>
      <c r="G46" s="246"/>
      <c r="H46" s="43"/>
      <c r="I46" s="43"/>
      <c r="J46" s="246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80"/>
      <c r="BC46" s="280"/>
      <c r="BD46" s="280"/>
      <c r="BE46" s="280"/>
      <c r="BF46" s="280"/>
      <c r="BG46" s="280"/>
      <c r="BH46" s="280"/>
      <c r="BI46" s="280"/>
      <c r="BJ46" s="280"/>
      <c r="BK46" s="280"/>
      <c r="BL46" s="280"/>
      <c r="BM46" s="280"/>
      <c r="BN46" s="280"/>
      <c r="BO46" s="280"/>
      <c r="BP46" s="280"/>
    </row>
    <row r="47" spans="1:68" s="223" customFormat="1" ht="14.25" customHeight="1" x14ac:dyDescent="0.3">
      <c r="A47" s="43"/>
      <c r="B47" s="43"/>
      <c r="C47" s="43"/>
      <c r="D47" s="246"/>
      <c r="E47" s="43"/>
      <c r="F47" s="246"/>
      <c r="G47" s="246"/>
      <c r="H47" s="43"/>
      <c r="I47" s="43"/>
      <c r="J47" s="246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80"/>
      <c r="BC47" s="280"/>
      <c r="BD47" s="280"/>
      <c r="BE47" s="280"/>
      <c r="BF47" s="280"/>
      <c r="BG47" s="280"/>
      <c r="BH47" s="280"/>
      <c r="BI47" s="280"/>
      <c r="BJ47" s="280"/>
      <c r="BK47" s="280"/>
      <c r="BL47" s="280"/>
      <c r="BM47" s="280"/>
      <c r="BN47" s="280"/>
      <c r="BO47" s="280"/>
      <c r="BP47" s="280"/>
    </row>
    <row r="48" spans="1:68" s="223" customFormat="1" ht="14.25" customHeight="1" x14ac:dyDescent="0.3">
      <c r="A48" s="43"/>
      <c r="B48" s="43"/>
      <c r="C48" s="43"/>
      <c r="D48" s="246"/>
      <c r="E48" s="43"/>
      <c r="F48" s="246"/>
      <c r="G48" s="246"/>
      <c r="H48" s="43"/>
      <c r="I48" s="43"/>
      <c r="J48" s="246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80"/>
      <c r="BC48" s="280"/>
      <c r="BD48" s="280"/>
      <c r="BE48" s="280"/>
      <c r="BF48" s="280"/>
      <c r="BG48" s="280"/>
      <c r="BH48" s="280"/>
      <c r="BI48" s="280"/>
      <c r="BJ48" s="280"/>
      <c r="BK48" s="280"/>
      <c r="BL48" s="280"/>
      <c r="BM48" s="280"/>
      <c r="BN48" s="280"/>
      <c r="BO48" s="280"/>
      <c r="BP48" s="280"/>
    </row>
    <row r="49" spans="1:68" s="223" customFormat="1" ht="14.25" customHeight="1" x14ac:dyDescent="0.3">
      <c r="A49" s="43"/>
      <c r="B49" s="43"/>
      <c r="C49" s="43"/>
      <c r="D49" s="246"/>
      <c r="E49" s="43"/>
      <c r="F49" s="246"/>
      <c r="G49" s="246"/>
      <c r="H49" s="43"/>
      <c r="I49" s="43"/>
      <c r="J49" s="246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80"/>
      <c r="BC49" s="280"/>
      <c r="BD49" s="280"/>
      <c r="BE49" s="280"/>
      <c r="BF49" s="280"/>
      <c r="BG49" s="280"/>
      <c r="BH49" s="280"/>
      <c r="BI49" s="280"/>
      <c r="BJ49" s="280"/>
      <c r="BK49" s="280"/>
      <c r="BL49" s="280"/>
      <c r="BM49" s="280"/>
      <c r="BN49" s="280"/>
      <c r="BO49" s="280"/>
      <c r="BP49" s="280"/>
    </row>
    <row r="50" spans="1:68" s="223" customFormat="1" ht="14.25" customHeight="1" x14ac:dyDescent="0.3">
      <c r="A50" s="43"/>
      <c r="B50" s="43"/>
      <c r="C50" s="43"/>
      <c r="D50" s="246"/>
      <c r="E50" s="43"/>
      <c r="F50" s="246"/>
      <c r="G50" s="246"/>
      <c r="H50" s="43"/>
      <c r="I50" s="43"/>
      <c r="J50" s="246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80"/>
      <c r="BC50" s="280"/>
      <c r="BD50" s="280"/>
      <c r="BE50" s="280"/>
      <c r="BF50" s="280"/>
      <c r="BG50" s="280"/>
      <c r="BH50" s="280"/>
      <c r="BI50" s="280"/>
      <c r="BJ50" s="280"/>
      <c r="BK50" s="280"/>
      <c r="BL50" s="280"/>
      <c r="BM50" s="280"/>
      <c r="BN50" s="280"/>
      <c r="BO50" s="280"/>
      <c r="BP50" s="280"/>
    </row>
    <row r="51" spans="1:68" s="223" customFormat="1" ht="14.25" customHeight="1" x14ac:dyDescent="0.3">
      <c r="A51" s="43"/>
      <c r="B51" s="43"/>
      <c r="C51" s="43"/>
      <c r="D51" s="246"/>
      <c r="E51" s="43"/>
      <c r="F51" s="246"/>
      <c r="G51" s="246"/>
      <c r="H51" s="43"/>
      <c r="I51" s="43"/>
      <c r="J51" s="246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80"/>
      <c r="BC51" s="280"/>
      <c r="BD51" s="280"/>
      <c r="BE51" s="280"/>
      <c r="BF51" s="280"/>
      <c r="BG51" s="280"/>
      <c r="BH51" s="280"/>
      <c r="BI51" s="280"/>
      <c r="BJ51" s="280"/>
      <c r="BK51" s="280"/>
      <c r="BL51" s="280"/>
      <c r="BM51" s="280"/>
      <c r="BN51" s="280"/>
      <c r="BO51" s="280"/>
      <c r="BP51" s="280"/>
    </row>
    <row r="52" spans="1:68" s="223" customFormat="1" ht="14.25" customHeight="1" x14ac:dyDescent="0.3">
      <c r="A52" s="43"/>
      <c r="B52" s="43"/>
      <c r="C52" s="43"/>
      <c r="D52" s="246"/>
      <c r="E52" s="43"/>
      <c r="F52" s="246"/>
      <c r="G52" s="246"/>
      <c r="H52" s="43"/>
      <c r="I52" s="43"/>
      <c r="J52" s="246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80"/>
      <c r="BC52" s="280"/>
      <c r="BD52" s="280"/>
      <c r="BE52" s="280"/>
      <c r="BF52" s="280"/>
      <c r="BG52" s="280"/>
      <c r="BH52" s="280"/>
      <c r="BI52" s="280"/>
      <c r="BJ52" s="280"/>
      <c r="BK52" s="280"/>
      <c r="BL52" s="280"/>
      <c r="BM52" s="280"/>
      <c r="BN52" s="280"/>
      <c r="BO52" s="280"/>
      <c r="BP52" s="280"/>
    </row>
    <row r="53" spans="1:68" s="223" customFormat="1" ht="14.25" customHeight="1" x14ac:dyDescent="0.3">
      <c r="A53" s="43"/>
      <c r="B53" s="43"/>
      <c r="C53" s="43"/>
      <c r="D53" s="246"/>
      <c r="E53" s="43"/>
      <c r="F53" s="246"/>
      <c r="G53" s="246"/>
      <c r="H53" s="43"/>
      <c r="I53" s="43"/>
      <c r="J53" s="246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80"/>
      <c r="BC53" s="280"/>
      <c r="BD53" s="280"/>
      <c r="BE53" s="280"/>
      <c r="BF53" s="280"/>
      <c r="BG53" s="280"/>
      <c r="BH53" s="280"/>
      <c r="BI53" s="280"/>
      <c r="BJ53" s="280"/>
      <c r="BK53" s="280"/>
      <c r="BL53" s="280"/>
      <c r="BM53" s="280"/>
      <c r="BN53" s="280"/>
      <c r="BO53" s="280"/>
      <c r="BP53" s="280"/>
    </row>
    <row r="54" spans="1:68" s="223" customFormat="1" ht="14.25" customHeight="1" x14ac:dyDescent="0.3">
      <c r="A54" s="43"/>
      <c r="B54" s="43"/>
      <c r="C54" s="43"/>
      <c r="D54" s="246"/>
      <c r="E54" s="43"/>
      <c r="F54" s="246"/>
      <c r="G54" s="246"/>
      <c r="H54" s="43"/>
      <c r="I54" s="43"/>
      <c r="J54" s="246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80"/>
      <c r="BC54" s="280"/>
      <c r="BD54" s="280"/>
      <c r="BE54" s="280"/>
      <c r="BF54" s="280"/>
      <c r="BG54" s="280"/>
      <c r="BH54" s="280"/>
      <c r="BI54" s="280"/>
      <c r="BJ54" s="280"/>
      <c r="BK54" s="280"/>
      <c r="BL54" s="280"/>
      <c r="BM54" s="280"/>
      <c r="BN54" s="280"/>
      <c r="BO54" s="280"/>
      <c r="BP54" s="280"/>
    </row>
    <row r="55" spans="1:68" s="223" customFormat="1" ht="14.25" customHeight="1" x14ac:dyDescent="0.3">
      <c r="A55" s="43"/>
      <c r="B55" s="43"/>
      <c r="C55" s="43"/>
      <c r="D55" s="246"/>
      <c r="E55" s="43"/>
      <c r="F55" s="246"/>
      <c r="G55" s="246"/>
      <c r="H55" s="43"/>
      <c r="I55" s="43"/>
      <c r="J55" s="246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80"/>
      <c r="BC55" s="280"/>
      <c r="BD55" s="280"/>
      <c r="BE55" s="280"/>
      <c r="BF55" s="280"/>
      <c r="BG55" s="280"/>
      <c r="BH55" s="280"/>
      <c r="BI55" s="280"/>
      <c r="BJ55" s="280"/>
      <c r="BK55" s="280"/>
      <c r="BL55" s="280"/>
      <c r="BM55" s="280"/>
      <c r="BN55" s="280"/>
      <c r="BO55" s="280"/>
      <c r="BP55" s="280"/>
    </row>
    <row r="56" spans="1:68" s="223" customFormat="1" ht="14.25" customHeight="1" x14ac:dyDescent="0.3">
      <c r="A56" s="43"/>
      <c r="B56" s="43"/>
      <c r="C56" s="43"/>
      <c r="D56" s="246"/>
      <c r="E56" s="43"/>
      <c r="F56" s="246"/>
      <c r="G56" s="246"/>
      <c r="H56" s="43"/>
      <c r="I56" s="43"/>
      <c r="J56" s="246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80"/>
      <c r="BC56" s="280"/>
      <c r="BD56" s="280"/>
      <c r="BE56" s="280"/>
      <c r="BF56" s="280"/>
      <c r="BG56" s="280"/>
      <c r="BH56" s="280"/>
      <c r="BI56" s="280"/>
      <c r="BJ56" s="280"/>
      <c r="BK56" s="280"/>
      <c r="BL56" s="280"/>
      <c r="BM56" s="280"/>
      <c r="BN56" s="280"/>
      <c r="BO56" s="280"/>
      <c r="BP56" s="280"/>
    </row>
    <row r="57" spans="1:68" s="223" customFormat="1" ht="14.25" customHeight="1" x14ac:dyDescent="0.3">
      <c r="A57" s="43"/>
      <c r="B57" s="43"/>
      <c r="C57" s="43"/>
      <c r="D57" s="246"/>
      <c r="E57" s="43"/>
      <c r="F57" s="246"/>
      <c r="G57" s="246"/>
      <c r="H57" s="43"/>
      <c r="I57" s="43"/>
      <c r="J57" s="246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</row>
    <row r="58" spans="1:68" s="223" customFormat="1" ht="14.25" customHeight="1" x14ac:dyDescent="0.3">
      <c r="A58" s="43"/>
      <c r="B58" s="43"/>
      <c r="C58" s="43"/>
      <c r="D58" s="246"/>
      <c r="E58" s="43"/>
      <c r="F58" s="246"/>
      <c r="G58" s="246"/>
      <c r="H58" s="43"/>
      <c r="I58" s="43"/>
      <c r="J58" s="246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80"/>
      <c r="BC58" s="280"/>
      <c r="BD58" s="280"/>
      <c r="BE58" s="280"/>
      <c r="BF58" s="280"/>
      <c r="BG58" s="280"/>
      <c r="BH58" s="280"/>
      <c r="BI58" s="280"/>
      <c r="BJ58" s="280"/>
      <c r="BK58" s="280"/>
      <c r="BL58" s="280"/>
      <c r="BM58" s="280"/>
      <c r="BN58" s="280"/>
      <c r="BO58" s="280"/>
      <c r="BP58" s="280"/>
    </row>
    <row r="59" spans="1:68" s="223" customFormat="1" ht="14.25" customHeight="1" x14ac:dyDescent="0.3">
      <c r="A59" s="43"/>
      <c r="B59" s="43"/>
      <c r="C59" s="43"/>
      <c r="D59" s="246"/>
      <c r="E59" s="43"/>
      <c r="F59" s="246"/>
      <c r="G59" s="246"/>
      <c r="H59" s="43"/>
      <c r="I59" s="43"/>
      <c r="J59" s="246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80"/>
      <c r="BC59" s="280"/>
      <c r="BD59" s="280"/>
      <c r="BE59" s="280"/>
      <c r="BF59" s="280"/>
      <c r="BG59" s="280"/>
      <c r="BH59" s="280"/>
      <c r="BI59" s="280"/>
      <c r="BJ59" s="280"/>
      <c r="BK59" s="280"/>
      <c r="BL59" s="280"/>
      <c r="BM59" s="280"/>
      <c r="BN59" s="280"/>
      <c r="BO59" s="280"/>
      <c r="BP59" s="280"/>
    </row>
    <row r="60" spans="1:68" s="223" customFormat="1" ht="14.25" customHeight="1" x14ac:dyDescent="0.3">
      <c r="A60" s="43"/>
      <c r="B60" s="43"/>
      <c r="C60" s="43"/>
      <c r="D60" s="246"/>
      <c r="E60" s="43"/>
      <c r="F60" s="246"/>
      <c r="G60" s="246"/>
      <c r="H60" s="43"/>
      <c r="I60" s="43"/>
      <c r="J60" s="246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80"/>
      <c r="BC60" s="280"/>
      <c r="BD60" s="280"/>
      <c r="BE60" s="280"/>
      <c r="BF60" s="280"/>
      <c r="BG60" s="280"/>
      <c r="BH60" s="280"/>
      <c r="BI60" s="280"/>
      <c r="BJ60" s="280"/>
      <c r="BK60" s="280"/>
      <c r="BL60" s="280"/>
      <c r="BM60" s="280"/>
      <c r="BN60" s="280"/>
      <c r="BO60" s="280"/>
      <c r="BP60" s="280"/>
    </row>
    <row r="61" spans="1:68" s="223" customFormat="1" ht="14.25" customHeight="1" x14ac:dyDescent="0.3">
      <c r="A61" s="43"/>
      <c r="B61" s="43"/>
      <c r="C61" s="43"/>
      <c r="D61" s="246"/>
      <c r="E61" s="43"/>
      <c r="F61" s="246"/>
      <c r="G61" s="246"/>
      <c r="H61" s="43"/>
      <c r="I61" s="43"/>
      <c r="J61" s="246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80"/>
      <c r="BC61" s="280"/>
      <c r="BD61" s="280"/>
      <c r="BE61" s="280"/>
      <c r="BF61" s="280"/>
      <c r="BG61" s="280"/>
      <c r="BH61" s="280"/>
      <c r="BI61" s="280"/>
      <c r="BJ61" s="280"/>
      <c r="BK61" s="280"/>
      <c r="BL61" s="280"/>
      <c r="BM61" s="280"/>
      <c r="BN61" s="280"/>
      <c r="BO61" s="280"/>
      <c r="BP61" s="280"/>
    </row>
    <row r="62" spans="1:68" s="223" customFormat="1" ht="14.25" customHeight="1" x14ac:dyDescent="0.3">
      <c r="A62" s="43"/>
      <c r="B62" s="43"/>
      <c r="C62" s="43"/>
      <c r="D62" s="246"/>
      <c r="E62" s="43"/>
      <c r="F62" s="246"/>
      <c r="G62" s="246"/>
      <c r="H62" s="43"/>
      <c r="I62" s="43"/>
      <c r="J62" s="246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80"/>
      <c r="BC62" s="280"/>
      <c r="BD62" s="280"/>
      <c r="BE62" s="280"/>
      <c r="BF62" s="280"/>
      <c r="BG62" s="280"/>
      <c r="BH62" s="280"/>
      <c r="BI62" s="280"/>
      <c r="BJ62" s="280"/>
      <c r="BK62" s="280"/>
      <c r="BL62" s="280"/>
      <c r="BM62" s="280"/>
      <c r="BN62" s="280"/>
      <c r="BO62" s="280"/>
      <c r="BP62" s="280"/>
    </row>
    <row r="63" spans="1:68" s="223" customFormat="1" ht="14.25" customHeight="1" x14ac:dyDescent="0.3">
      <c r="A63" s="43"/>
      <c r="B63" s="43"/>
      <c r="C63" s="43"/>
      <c r="D63" s="246"/>
      <c r="E63" s="43"/>
      <c r="F63" s="246"/>
      <c r="G63" s="246"/>
      <c r="H63" s="43"/>
      <c r="I63" s="43"/>
      <c r="J63" s="246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80"/>
      <c r="BC63" s="280"/>
      <c r="BD63" s="280"/>
      <c r="BE63" s="280"/>
      <c r="BF63" s="280"/>
      <c r="BG63" s="280"/>
      <c r="BH63" s="280"/>
      <c r="BI63" s="280"/>
      <c r="BJ63" s="280"/>
      <c r="BK63" s="280"/>
      <c r="BL63" s="280"/>
      <c r="BM63" s="280"/>
      <c r="BN63" s="280"/>
      <c r="BO63" s="280"/>
      <c r="BP63" s="280"/>
    </row>
    <row r="64" spans="1:68" s="223" customFormat="1" ht="14.25" customHeight="1" x14ac:dyDescent="0.3">
      <c r="A64" s="43"/>
      <c r="B64" s="43"/>
      <c r="C64" s="43"/>
      <c r="D64" s="246"/>
      <c r="E64" s="43"/>
      <c r="F64" s="246"/>
      <c r="G64" s="246"/>
      <c r="H64" s="43"/>
      <c r="I64" s="43"/>
      <c r="J64" s="246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80"/>
      <c r="BC64" s="280"/>
      <c r="BD64" s="280"/>
      <c r="BE64" s="280"/>
      <c r="BF64" s="280"/>
      <c r="BG64" s="280"/>
      <c r="BH64" s="280"/>
      <c r="BI64" s="280"/>
      <c r="BJ64" s="280"/>
      <c r="BK64" s="280"/>
      <c r="BL64" s="280"/>
      <c r="BM64" s="280"/>
      <c r="BN64" s="280"/>
      <c r="BO64" s="280"/>
      <c r="BP64" s="280"/>
    </row>
    <row r="65" spans="1:68" s="223" customFormat="1" ht="14.25" customHeight="1" x14ac:dyDescent="0.3">
      <c r="A65" s="43"/>
      <c r="B65" s="43"/>
      <c r="C65" s="43"/>
      <c r="D65" s="246"/>
      <c r="E65" s="43"/>
      <c r="F65" s="246"/>
      <c r="G65" s="246"/>
      <c r="H65" s="43"/>
      <c r="I65" s="43"/>
      <c r="J65" s="246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80"/>
      <c r="BC65" s="280"/>
      <c r="BD65" s="280"/>
      <c r="BE65" s="280"/>
      <c r="BF65" s="280"/>
      <c r="BG65" s="280"/>
      <c r="BH65" s="280"/>
      <c r="BI65" s="280"/>
      <c r="BJ65" s="280"/>
      <c r="BK65" s="280"/>
      <c r="BL65" s="280"/>
      <c r="BM65" s="280"/>
      <c r="BN65" s="280"/>
      <c r="BO65" s="280"/>
      <c r="BP65" s="280"/>
    </row>
    <row r="66" spans="1:68" s="223" customFormat="1" ht="14.25" customHeight="1" x14ac:dyDescent="0.3">
      <c r="A66" s="43"/>
      <c r="B66" s="43"/>
      <c r="C66" s="43"/>
      <c r="D66" s="246"/>
      <c r="E66" s="43"/>
      <c r="F66" s="246"/>
      <c r="G66" s="246"/>
      <c r="H66" s="43"/>
      <c r="I66" s="43"/>
      <c r="J66" s="246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80"/>
      <c r="BC66" s="280"/>
      <c r="BD66" s="280"/>
      <c r="BE66" s="280"/>
      <c r="BF66" s="280"/>
      <c r="BG66" s="280"/>
      <c r="BH66" s="280"/>
      <c r="BI66" s="280"/>
      <c r="BJ66" s="280"/>
      <c r="BK66" s="280"/>
      <c r="BL66" s="280"/>
      <c r="BM66" s="280"/>
      <c r="BN66" s="280"/>
      <c r="BO66" s="280"/>
      <c r="BP66" s="280"/>
    </row>
    <row r="67" spans="1:68" s="223" customFormat="1" ht="14.25" customHeight="1" x14ac:dyDescent="0.3">
      <c r="A67" s="43"/>
      <c r="B67" s="43"/>
      <c r="C67" s="43"/>
      <c r="D67" s="246"/>
      <c r="E67" s="43"/>
      <c r="F67" s="246"/>
      <c r="G67" s="246"/>
      <c r="H67" s="43"/>
      <c r="I67" s="43"/>
      <c r="J67" s="246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80"/>
      <c r="BC67" s="280"/>
      <c r="BD67" s="280"/>
      <c r="BE67" s="280"/>
      <c r="BF67" s="280"/>
      <c r="BG67" s="280"/>
      <c r="BH67" s="280"/>
      <c r="BI67" s="280"/>
      <c r="BJ67" s="280"/>
      <c r="BK67" s="280"/>
      <c r="BL67" s="280"/>
      <c r="BM67" s="280"/>
      <c r="BN67" s="280"/>
      <c r="BO67" s="280"/>
      <c r="BP67" s="280"/>
    </row>
    <row r="68" spans="1:68" s="223" customFormat="1" ht="14.25" customHeight="1" x14ac:dyDescent="0.3">
      <c r="A68" s="43"/>
      <c r="B68" s="43"/>
      <c r="C68" s="43"/>
      <c r="D68" s="246"/>
      <c r="E68" s="43"/>
      <c r="F68" s="246"/>
      <c r="G68" s="246"/>
      <c r="H68" s="43"/>
      <c r="I68" s="43"/>
      <c r="J68" s="246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80"/>
      <c r="BC68" s="280"/>
      <c r="BD68" s="280"/>
      <c r="BE68" s="280"/>
      <c r="BF68" s="280"/>
      <c r="BG68" s="280"/>
      <c r="BH68" s="280"/>
      <c r="BI68" s="280"/>
      <c r="BJ68" s="280"/>
      <c r="BK68" s="280"/>
      <c r="BL68" s="280"/>
      <c r="BM68" s="280"/>
      <c r="BN68" s="280"/>
      <c r="BO68" s="280"/>
      <c r="BP68" s="280"/>
    </row>
    <row r="69" spans="1:68" s="223" customFormat="1" ht="14.25" customHeight="1" x14ac:dyDescent="0.3">
      <c r="A69" s="43"/>
      <c r="B69" s="43"/>
      <c r="C69" s="43"/>
      <c r="D69" s="246"/>
      <c r="E69" s="43"/>
      <c r="F69" s="246"/>
      <c r="G69" s="246"/>
      <c r="H69" s="43"/>
      <c r="I69" s="43"/>
      <c r="J69" s="246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80"/>
      <c r="BC69" s="280"/>
      <c r="BD69" s="280"/>
      <c r="BE69" s="280"/>
      <c r="BF69" s="280"/>
      <c r="BG69" s="280"/>
      <c r="BH69" s="280"/>
      <c r="BI69" s="280"/>
      <c r="BJ69" s="280"/>
      <c r="BK69" s="280"/>
      <c r="BL69" s="280"/>
      <c r="BM69" s="280"/>
      <c r="BN69" s="280"/>
      <c r="BO69" s="280"/>
      <c r="BP69" s="280"/>
    </row>
    <row r="70" spans="1:68" s="223" customFormat="1" ht="14.25" customHeight="1" x14ac:dyDescent="0.3">
      <c r="A70" s="43"/>
      <c r="B70" s="43"/>
      <c r="C70" s="43"/>
      <c r="D70" s="246"/>
      <c r="E70" s="43"/>
      <c r="F70" s="246"/>
      <c r="G70" s="246"/>
      <c r="H70" s="43"/>
      <c r="I70" s="43"/>
      <c r="J70" s="246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80"/>
      <c r="BC70" s="280"/>
      <c r="BD70" s="280"/>
      <c r="BE70" s="280"/>
      <c r="BF70" s="280"/>
      <c r="BG70" s="280"/>
      <c r="BH70" s="280"/>
      <c r="BI70" s="280"/>
      <c r="BJ70" s="280"/>
      <c r="BK70" s="280"/>
      <c r="BL70" s="280"/>
      <c r="BM70" s="280"/>
      <c r="BN70" s="280"/>
      <c r="BO70" s="280"/>
      <c r="BP70" s="280"/>
    </row>
    <row r="71" spans="1:68" s="223" customFormat="1" ht="14.25" customHeight="1" x14ac:dyDescent="0.3">
      <c r="A71" s="43"/>
      <c r="B71" s="43"/>
      <c r="C71" s="43"/>
      <c r="D71" s="246"/>
      <c r="E71" s="43"/>
      <c r="F71" s="246"/>
      <c r="G71" s="246"/>
      <c r="H71" s="43"/>
      <c r="I71" s="43"/>
      <c r="J71" s="246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80"/>
      <c r="BC71" s="280"/>
      <c r="BD71" s="280"/>
      <c r="BE71" s="280"/>
      <c r="BF71" s="280"/>
      <c r="BG71" s="280"/>
      <c r="BH71" s="280"/>
      <c r="BI71" s="280"/>
      <c r="BJ71" s="280"/>
      <c r="BK71" s="280"/>
      <c r="BL71" s="280"/>
      <c r="BM71" s="280"/>
      <c r="BN71" s="280"/>
      <c r="BO71" s="280"/>
      <c r="BP71" s="280"/>
    </row>
    <row r="72" spans="1:68" s="223" customFormat="1" ht="14.25" customHeight="1" x14ac:dyDescent="0.3">
      <c r="A72" s="43"/>
      <c r="B72" s="43"/>
      <c r="C72" s="43"/>
      <c r="D72" s="246"/>
      <c r="E72" s="43"/>
      <c r="F72" s="246"/>
      <c r="G72" s="246"/>
      <c r="H72" s="43"/>
      <c r="I72" s="43"/>
      <c r="J72" s="246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80"/>
      <c r="BC72" s="280"/>
      <c r="BD72" s="280"/>
      <c r="BE72" s="280"/>
      <c r="BF72" s="280"/>
      <c r="BG72" s="280"/>
      <c r="BH72" s="280"/>
      <c r="BI72" s="280"/>
      <c r="BJ72" s="280"/>
      <c r="BK72" s="280"/>
      <c r="BL72" s="280"/>
      <c r="BM72" s="280"/>
      <c r="BN72" s="280"/>
      <c r="BO72" s="280"/>
      <c r="BP72" s="280"/>
    </row>
    <row r="73" spans="1:68" s="223" customFormat="1" ht="14.25" customHeight="1" x14ac:dyDescent="0.3">
      <c r="A73" s="43"/>
      <c r="B73" s="43"/>
      <c r="C73" s="43"/>
      <c r="D73" s="246"/>
      <c r="E73" s="43"/>
      <c r="F73" s="246"/>
      <c r="G73" s="246"/>
      <c r="H73" s="43"/>
      <c r="I73" s="43"/>
      <c r="J73" s="246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80"/>
      <c r="BC73" s="280"/>
      <c r="BD73" s="280"/>
      <c r="BE73" s="280"/>
      <c r="BF73" s="280"/>
      <c r="BG73" s="280"/>
      <c r="BH73" s="280"/>
      <c r="BI73" s="280"/>
      <c r="BJ73" s="280"/>
      <c r="BK73" s="280"/>
      <c r="BL73" s="280"/>
      <c r="BM73" s="280"/>
      <c r="BN73" s="280"/>
      <c r="BO73" s="280"/>
      <c r="BP73" s="280"/>
    </row>
    <row r="74" spans="1:68" s="223" customFormat="1" ht="14.25" customHeight="1" x14ac:dyDescent="0.3">
      <c r="A74" s="43"/>
      <c r="B74" s="43"/>
      <c r="C74" s="43"/>
      <c r="D74" s="246"/>
      <c r="E74" s="43"/>
      <c r="F74" s="246"/>
      <c r="G74" s="246"/>
      <c r="H74" s="43"/>
      <c r="I74" s="43"/>
      <c r="J74" s="246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80"/>
      <c r="BC74" s="280"/>
      <c r="BD74" s="280"/>
      <c r="BE74" s="280"/>
      <c r="BF74" s="280"/>
      <c r="BG74" s="280"/>
      <c r="BH74" s="280"/>
      <c r="BI74" s="280"/>
      <c r="BJ74" s="280"/>
      <c r="BK74" s="280"/>
      <c r="BL74" s="280"/>
      <c r="BM74" s="280"/>
      <c r="BN74" s="280"/>
      <c r="BO74" s="280"/>
      <c r="BP74" s="280"/>
    </row>
    <row r="75" spans="1:68" s="223" customFormat="1" ht="14.25" customHeight="1" x14ac:dyDescent="0.3">
      <c r="A75" s="43"/>
      <c r="B75" s="43"/>
      <c r="C75" s="43"/>
      <c r="D75" s="246"/>
      <c r="E75" s="43"/>
      <c r="F75" s="246"/>
      <c r="G75" s="246"/>
      <c r="H75" s="43"/>
      <c r="I75" s="43"/>
      <c r="J75" s="246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80"/>
      <c r="BC75" s="280"/>
      <c r="BD75" s="280"/>
      <c r="BE75" s="280"/>
      <c r="BF75" s="280"/>
      <c r="BG75" s="280"/>
      <c r="BH75" s="280"/>
      <c r="BI75" s="280"/>
      <c r="BJ75" s="280"/>
      <c r="BK75" s="280"/>
      <c r="BL75" s="280"/>
      <c r="BM75" s="280"/>
      <c r="BN75" s="280"/>
      <c r="BO75" s="280"/>
      <c r="BP75" s="280"/>
    </row>
    <row r="76" spans="1:68" s="223" customFormat="1" ht="14.25" customHeight="1" x14ac:dyDescent="0.3">
      <c r="A76" s="43"/>
      <c r="B76" s="43"/>
      <c r="C76" s="43"/>
      <c r="D76" s="246"/>
      <c r="E76" s="43"/>
      <c r="F76" s="246"/>
      <c r="G76" s="246"/>
      <c r="H76" s="43"/>
      <c r="I76" s="43"/>
      <c r="J76" s="246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80"/>
      <c r="BC76" s="280"/>
      <c r="BD76" s="280"/>
      <c r="BE76" s="280"/>
      <c r="BF76" s="280"/>
      <c r="BG76" s="280"/>
      <c r="BH76" s="280"/>
      <c r="BI76" s="280"/>
      <c r="BJ76" s="280"/>
      <c r="BK76" s="280"/>
      <c r="BL76" s="280"/>
      <c r="BM76" s="280"/>
      <c r="BN76" s="280"/>
      <c r="BO76" s="280"/>
      <c r="BP76" s="280"/>
    </row>
    <row r="77" spans="1:68" s="223" customFormat="1" ht="14.25" customHeight="1" x14ac:dyDescent="0.3">
      <c r="A77" s="43"/>
      <c r="B77" s="43"/>
      <c r="C77" s="43"/>
      <c r="D77" s="246"/>
      <c r="E77" s="43"/>
      <c r="F77" s="246"/>
      <c r="G77" s="246"/>
      <c r="H77" s="43"/>
      <c r="I77" s="43"/>
      <c r="J77" s="246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80"/>
      <c r="BC77" s="280"/>
      <c r="BD77" s="280"/>
      <c r="BE77" s="280"/>
      <c r="BF77" s="280"/>
      <c r="BG77" s="280"/>
      <c r="BH77" s="280"/>
      <c r="BI77" s="280"/>
      <c r="BJ77" s="280"/>
      <c r="BK77" s="280"/>
      <c r="BL77" s="280"/>
      <c r="BM77" s="280"/>
      <c r="BN77" s="280"/>
      <c r="BO77" s="280"/>
      <c r="BP77" s="280"/>
    </row>
    <row r="78" spans="1:68" s="223" customFormat="1" ht="14.25" customHeight="1" x14ac:dyDescent="0.3">
      <c r="A78" s="43"/>
      <c r="B78" s="43"/>
      <c r="C78" s="43"/>
      <c r="D78" s="246"/>
      <c r="E78" s="43"/>
      <c r="F78" s="246"/>
      <c r="G78" s="246"/>
      <c r="H78" s="43"/>
      <c r="I78" s="43"/>
      <c r="J78" s="246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80"/>
      <c r="BC78" s="280"/>
      <c r="BD78" s="280"/>
      <c r="BE78" s="280"/>
      <c r="BF78" s="280"/>
      <c r="BG78" s="280"/>
      <c r="BH78" s="280"/>
      <c r="BI78" s="280"/>
      <c r="BJ78" s="280"/>
      <c r="BK78" s="280"/>
      <c r="BL78" s="280"/>
      <c r="BM78" s="280"/>
      <c r="BN78" s="280"/>
      <c r="BO78" s="280"/>
      <c r="BP78" s="280"/>
    </row>
    <row r="79" spans="1:68" s="223" customFormat="1" ht="14.25" customHeight="1" x14ac:dyDescent="0.3">
      <c r="A79" s="43"/>
      <c r="B79" s="43"/>
      <c r="C79" s="43"/>
      <c r="D79" s="246"/>
      <c r="E79" s="43"/>
      <c r="F79" s="246"/>
      <c r="G79" s="246"/>
      <c r="H79" s="43"/>
      <c r="I79" s="43"/>
      <c r="J79" s="246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80"/>
      <c r="BC79" s="280"/>
      <c r="BD79" s="280"/>
      <c r="BE79" s="280"/>
      <c r="BF79" s="280"/>
      <c r="BG79" s="280"/>
      <c r="BH79" s="280"/>
      <c r="BI79" s="280"/>
      <c r="BJ79" s="280"/>
      <c r="BK79" s="280"/>
      <c r="BL79" s="280"/>
      <c r="BM79" s="280"/>
      <c r="BN79" s="280"/>
      <c r="BO79" s="280"/>
      <c r="BP79" s="280"/>
    </row>
    <row r="80" spans="1:68" s="223" customFormat="1" ht="14.25" customHeight="1" x14ac:dyDescent="0.3">
      <c r="A80" s="43"/>
      <c r="B80" s="43"/>
      <c r="C80" s="43"/>
      <c r="D80" s="246"/>
      <c r="E80" s="43"/>
      <c r="F80" s="246"/>
      <c r="G80" s="246"/>
      <c r="H80" s="43"/>
      <c r="I80" s="43"/>
      <c r="J80" s="246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80"/>
      <c r="BC80" s="280"/>
      <c r="BD80" s="280"/>
      <c r="BE80" s="280"/>
      <c r="BF80" s="280"/>
      <c r="BG80" s="280"/>
      <c r="BH80" s="280"/>
      <c r="BI80" s="280"/>
      <c r="BJ80" s="280"/>
      <c r="BK80" s="280"/>
      <c r="BL80" s="280"/>
      <c r="BM80" s="280"/>
      <c r="BN80" s="280"/>
      <c r="BO80" s="280"/>
      <c r="BP80" s="280"/>
    </row>
    <row r="81" spans="1:68" s="223" customFormat="1" ht="14.25" customHeight="1" x14ac:dyDescent="0.3">
      <c r="A81" s="43"/>
      <c r="B81" s="43"/>
      <c r="C81" s="43"/>
      <c r="D81" s="246"/>
      <c r="E81" s="43"/>
      <c r="F81" s="246"/>
      <c r="G81" s="246"/>
      <c r="H81" s="43"/>
      <c r="I81" s="43"/>
      <c r="J81" s="246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80"/>
      <c r="BC81" s="280"/>
      <c r="BD81" s="280"/>
      <c r="BE81" s="280"/>
      <c r="BF81" s="280"/>
      <c r="BG81" s="280"/>
      <c r="BH81" s="280"/>
      <c r="BI81" s="280"/>
      <c r="BJ81" s="280"/>
      <c r="BK81" s="280"/>
      <c r="BL81" s="280"/>
      <c r="BM81" s="280"/>
      <c r="BN81" s="280"/>
      <c r="BO81" s="280"/>
      <c r="BP81" s="280"/>
    </row>
    <row r="82" spans="1:68" s="223" customFormat="1" ht="14.25" customHeight="1" x14ac:dyDescent="0.3">
      <c r="A82" s="43"/>
      <c r="B82" s="43"/>
      <c r="C82" s="43"/>
      <c r="D82" s="246"/>
      <c r="E82" s="43"/>
      <c r="F82" s="246"/>
      <c r="G82" s="246"/>
      <c r="H82" s="43"/>
      <c r="I82" s="43"/>
      <c r="J82" s="246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80"/>
      <c r="BC82" s="280"/>
      <c r="BD82" s="280"/>
      <c r="BE82" s="280"/>
      <c r="BF82" s="280"/>
      <c r="BG82" s="280"/>
      <c r="BH82" s="280"/>
      <c r="BI82" s="280"/>
      <c r="BJ82" s="280"/>
      <c r="BK82" s="280"/>
      <c r="BL82" s="280"/>
      <c r="BM82" s="280"/>
      <c r="BN82" s="280"/>
      <c r="BO82" s="280"/>
      <c r="BP82" s="280"/>
    </row>
    <row r="83" spans="1:68" s="223" customFormat="1" ht="14.25" customHeight="1" x14ac:dyDescent="0.3">
      <c r="A83" s="43"/>
      <c r="B83" s="43"/>
      <c r="C83" s="43"/>
      <c r="D83" s="246"/>
      <c r="E83" s="43"/>
      <c r="F83" s="246"/>
      <c r="G83" s="246"/>
      <c r="H83" s="43"/>
      <c r="I83" s="43"/>
      <c r="J83" s="246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80"/>
      <c r="BC83" s="280"/>
      <c r="BD83" s="280"/>
      <c r="BE83" s="280"/>
      <c r="BF83" s="280"/>
      <c r="BG83" s="280"/>
      <c r="BH83" s="280"/>
      <c r="BI83" s="280"/>
      <c r="BJ83" s="280"/>
      <c r="BK83" s="280"/>
      <c r="BL83" s="280"/>
      <c r="BM83" s="280"/>
      <c r="BN83" s="280"/>
      <c r="BO83" s="280"/>
      <c r="BP83" s="280"/>
    </row>
    <row r="84" spans="1:68" s="223" customFormat="1" ht="14.25" customHeight="1" x14ac:dyDescent="0.3">
      <c r="A84" s="43"/>
      <c r="B84" s="43"/>
      <c r="C84" s="43"/>
      <c r="D84" s="246"/>
      <c r="E84" s="43"/>
      <c r="F84" s="246"/>
      <c r="G84" s="246"/>
      <c r="H84" s="43"/>
      <c r="I84" s="43"/>
      <c r="J84" s="246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80"/>
      <c r="BC84" s="280"/>
      <c r="BD84" s="280"/>
      <c r="BE84" s="280"/>
      <c r="BF84" s="280"/>
      <c r="BG84" s="280"/>
      <c r="BH84" s="280"/>
      <c r="BI84" s="280"/>
      <c r="BJ84" s="280"/>
      <c r="BK84" s="280"/>
      <c r="BL84" s="280"/>
      <c r="BM84" s="280"/>
      <c r="BN84" s="280"/>
      <c r="BO84" s="280"/>
      <c r="BP84" s="280"/>
    </row>
    <row r="85" spans="1:68" s="223" customFormat="1" ht="14.25" customHeight="1" x14ac:dyDescent="0.3">
      <c r="A85" s="43"/>
      <c r="B85" s="43"/>
      <c r="C85" s="43"/>
      <c r="D85" s="246"/>
      <c r="E85" s="43"/>
      <c r="F85" s="246"/>
      <c r="G85" s="246"/>
      <c r="H85" s="43"/>
      <c r="I85" s="43"/>
      <c r="J85" s="246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80"/>
      <c r="BC85" s="280"/>
      <c r="BD85" s="280"/>
      <c r="BE85" s="280"/>
      <c r="BF85" s="280"/>
      <c r="BG85" s="280"/>
      <c r="BH85" s="280"/>
      <c r="BI85" s="280"/>
      <c r="BJ85" s="280"/>
      <c r="BK85" s="280"/>
      <c r="BL85" s="280"/>
      <c r="BM85" s="280"/>
      <c r="BN85" s="280"/>
      <c r="BO85" s="280"/>
      <c r="BP85" s="280"/>
    </row>
    <row r="86" spans="1:68" s="223" customFormat="1" ht="14.25" customHeight="1" x14ac:dyDescent="0.3">
      <c r="A86" s="43"/>
      <c r="B86" s="43"/>
      <c r="C86" s="43"/>
      <c r="D86" s="246"/>
      <c r="E86" s="43"/>
      <c r="F86" s="246"/>
      <c r="G86" s="246"/>
      <c r="H86" s="43"/>
      <c r="I86" s="43"/>
      <c r="J86" s="246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80"/>
      <c r="BC86" s="280"/>
      <c r="BD86" s="280"/>
      <c r="BE86" s="280"/>
      <c r="BF86" s="280"/>
      <c r="BG86" s="280"/>
      <c r="BH86" s="280"/>
      <c r="BI86" s="280"/>
      <c r="BJ86" s="280"/>
      <c r="BK86" s="280"/>
      <c r="BL86" s="280"/>
      <c r="BM86" s="280"/>
      <c r="BN86" s="280"/>
      <c r="BO86" s="280"/>
      <c r="BP86" s="280"/>
    </row>
    <row r="87" spans="1:68" s="223" customFormat="1" ht="14.25" customHeight="1" x14ac:dyDescent="0.3">
      <c r="A87" s="43"/>
      <c r="B87" s="43"/>
      <c r="C87" s="43"/>
      <c r="D87" s="246"/>
      <c r="E87" s="43"/>
      <c r="F87" s="246"/>
      <c r="G87" s="246"/>
      <c r="H87" s="43"/>
      <c r="I87" s="43"/>
      <c r="J87" s="246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80"/>
      <c r="BC87" s="280"/>
      <c r="BD87" s="280"/>
      <c r="BE87" s="280"/>
      <c r="BF87" s="280"/>
      <c r="BG87" s="280"/>
      <c r="BH87" s="280"/>
      <c r="BI87" s="280"/>
      <c r="BJ87" s="280"/>
      <c r="BK87" s="280"/>
      <c r="BL87" s="280"/>
      <c r="BM87" s="280"/>
      <c r="BN87" s="280"/>
      <c r="BO87" s="280"/>
      <c r="BP87" s="280"/>
    </row>
    <row r="88" spans="1:68" s="223" customFormat="1" ht="14.25" customHeight="1" x14ac:dyDescent="0.3">
      <c r="A88" s="43"/>
      <c r="B88" s="43"/>
      <c r="C88" s="43"/>
      <c r="D88" s="246"/>
      <c r="E88" s="43"/>
      <c r="F88" s="246"/>
      <c r="G88" s="246"/>
      <c r="H88" s="43"/>
      <c r="I88" s="43"/>
      <c r="J88" s="246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80"/>
      <c r="BC88" s="280"/>
      <c r="BD88" s="280"/>
      <c r="BE88" s="280"/>
      <c r="BF88" s="280"/>
      <c r="BG88" s="280"/>
      <c r="BH88" s="280"/>
      <c r="BI88" s="280"/>
      <c r="BJ88" s="280"/>
      <c r="BK88" s="280"/>
      <c r="BL88" s="280"/>
      <c r="BM88" s="280"/>
      <c r="BN88" s="280"/>
      <c r="BO88" s="280"/>
      <c r="BP88" s="280"/>
    </row>
    <row r="89" spans="1:68" s="223" customFormat="1" ht="14.25" customHeight="1" x14ac:dyDescent="0.3">
      <c r="A89" s="43"/>
      <c r="B89" s="43"/>
      <c r="C89" s="43"/>
      <c r="D89" s="246"/>
      <c r="E89" s="43"/>
      <c r="F89" s="246"/>
      <c r="G89" s="246"/>
      <c r="H89" s="43"/>
      <c r="I89" s="43"/>
      <c r="J89" s="246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80"/>
      <c r="BC89" s="280"/>
      <c r="BD89" s="280"/>
      <c r="BE89" s="280"/>
      <c r="BF89" s="280"/>
      <c r="BG89" s="280"/>
      <c r="BH89" s="280"/>
      <c r="BI89" s="280"/>
      <c r="BJ89" s="280"/>
      <c r="BK89" s="280"/>
      <c r="BL89" s="280"/>
      <c r="BM89" s="280"/>
      <c r="BN89" s="280"/>
      <c r="BO89" s="280"/>
      <c r="BP89" s="280"/>
    </row>
    <row r="90" spans="1:68" s="223" customFormat="1" ht="14.25" customHeight="1" x14ac:dyDescent="0.3">
      <c r="A90" s="43"/>
      <c r="B90" s="43"/>
      <c r="C90" s="43"/>
      <c r="D90" s="246"/>
      <c r="E90" s="43"/>
      <c r="F90" s="246"/>
      <c r="G90" s="246"/>
      <c r="H90" s="43"/>
      <c r="I90" s="43"/>
      <c r="J90" s="246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80"/>
      <c r="BC90" s="280"/>
      <c r="BD90" s="280"/>
      <c r="BE90" s="280"/>
      <c r="BF90" s="280"/>
      <c r="BG90" s="280"/>
      <c r="BH90" s="280"/>
      <c r="BI90" s="280"/>
      <c r="BJ90" s="280"/>
      <c r="BK90" s="280"/>
      <c r="BL90" s="280"/>
      <c r="BM90" s="280"/>
      <c r="BN90" s="280"/>
      <c r="BO90" s="280"/>
      <c r="BP90" s="280"/>
    </row>
    <row r="91" spans="1:68" s="223" customFormat="1" ht="14.25" customHeight="1" x14ac:dyDescent="0.3">
      <c r="A91" s="43"/>
      <c r="B91" s="43"/>
      <c r="C91" s="43"/>
      <c r="D91" s="246"/>
      <c r="E91" s="43"/>
      <c r="F91" s="246"/>
      <c r="G91" s="246"/>
      <c r="H91" s="43"/>
      <c r="I91" s="43"/>
      <c r="J91" s="246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80"/>
      <c r="BC91" s="280"/>
      <c r="BD91" s="280"/>
      <c r="BE91" s="280"/>
      <c r="BF91" s="280"/>
      <c r="BG91" s="280"/>
      <c r="BH91" s="280"/>
      <c r="BI91" s="280"/>
      <c r="BJ91" s="280"/>
      <c r="BK91" s="280"/>
      <c r="BL91" s="280"/>
      <c r="BM91" s="280"/>
      <c r="BN91" s="280"/>
      <c r="BO91" s="280"/>
      <c r="BP91" s="280"/>
    </row>
    <row r="92" spans="1:68" s="223" customFormat="1" ht="14.25" customHeight="1" x14ac:dyDescent="0.3">
      <c r="A92" s="43"/>
      <c r="B92" s="43"/>
      <c r="C92" s="43"/>
      <c r="D92" s="246"/>
      <c r="E92" s="43"/>
      <c r="F92" s="246"/>
      <c r="G92" s="246"/>
      <c r="H92" s="43"/>
      <c r="I92" s="43"/>
      <c r="J92" s="246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80"/>
      <c r="BC92" s="280"/>
      <c r="BD92" s="280"/>
      <c r="BE92" s="280"/>
      <c r="BF92" s="280"/>
      <c r="BG92" s="280"/>
      <c r="BH92" s="280"/>
      <c r="BI92" s="280"/>
      <c r="BJ92" s="280"/>
      <c r="BK92" s="280"/>
      <c r="BL92" s="280"/>
      <c r="BM92" s="280"/>
      <c r="BN92" s="280"/>
      <c r="BO92" s="280"/>
      <c r="BP92" s="280"/>
    </row>
    <row r="93" spans="1:68" s="223" customFormat="1" ht="14.25" customHeight="1" x14ac:dyDescent="0.3">
      <c r="A93" s="43"/>
      <c r="B93" s="43"/>
      <c r="C93" s="43"/>
      <c r="D93" s="246"/>
      <c r="E93" s="43"/>
      <c r="F93" s="246"/>
      <c r="G93" s="246"/>
      <c r="H93" s="43"/>
      <c r="I93" s="43"/>
      <c r="J93" s="246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80"/>
      <c r="BC93" s="280"/>
      <c r="BD93" s="280"/>
      <c r="BE93" s="280"/>
      <c r="BF93" s="280"/>
      <c r="BG93" s="280"/>
      <c r="BH93" s="280"/>
      <c r="BI93" s="280"/>
      <c r="BJ93" s="280"/>
      <c r="BK93" s="280"/>
      <c r="BL93" s="280"/>
      <c r="BM93" s="280"/>
      <c r="BN93" s="280"/>
      <c r="BO93" s="280"/>
      <c r="BP93" s="280"/>
    </row>
    <row r="94" spans="1:68" s="223" customFormat="1" ht="14.25" customHeight="1" x14ac:dyDescent="0.3">
      <c r="A94" s="43"/>
      <c r="B94" s="43"/>
      <c r="C94" s="43"/>
      <c r="D94" s="246"/>
      <c r="E94" s="43"/>
      <c r="F94" s="246"/>
      <c r="G94" s="246"/>
      <c r="H94" s="43"/>
      <c r="I94" s="43"/>
      <c r="J94" s="246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80"/>
      <c r="BC94" s="280"/>
      <c r="BD94" s="280"/>
      <c r="BE94" s="280"/>
      <c r="BF94" s="280"/>
      <c r="BG94" s="280"/>
      <c r="BH94" s="280"/>
      <c r="BI94" s="280"/>
      <c r="BJ94" s="280"/>
      <c r="BK94" s="280"/>
      <c r="BL94" s="280"/>
      <c r="BM94" s="280"/>
      <c r="BN94" s="280"/>
      <c r="BO94" s="280"/>
      <c r="BP94" s="280"/>
    </row>
    <row r="95" spans="1:68" s="223" customFormat="1" ht="14.25" customHeight="1" x14ac:dyDescent="0.3">
      <c r="A95" s="43"/>
      <c r="B95" s="43"/>
      <c r="C95" s="43"/>
      <c r="D95" s="246"/>
      <c r="E95" s="43"/>
      <c r="F95" s="246"/>
      <c r="G95" s="246"/>
      <c r="H95" s="43"/>
      <c r="I95" s="43"/>
      <c r="J95" s="246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80"/>
      <c r="BC95" s="280"/>
      <c r="BD95" s="280"/>
      <c r="BE95" s="280"/>
      <c r="BF95" s="280"/>
      <c r="BG95" s="280"/>
      <c r="BH95" s="280"/>
      <c r="BI95" s="280"/>
      <c r="BJ95" s="280"/>
      <c r="BK95" s="280"/>
      <c r="BL95" s="280"/>
      <c r="BM95" s="280"/>
      <c r="BN95" s="280"/>
      <c r="BO95" s="280"/>
      <c r="BP95" s="280"/>
    </row>
    <row r="96" spans="1:68" s="223" customFormat="1" ht="14.25" customHeight="1" x14ac:dyDescent="0.3">
      <c r="A96" s="43"/>
      <c r="B96" s="43"/>
      <c r="C96" s="43"/>
      <c r="D96" s="246"/>
      <c r="E96" s="43"/>
      <c r="F96" s="246"/>
      <c r="G96" s="246"/>
      <c r="H96" s="43"/>
      <c r="I96" s="43"/>
      <c r="J96" s="246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80"/>
      <c r="BC96" s="280"/>
      <c r="BD96" s="280"/>
      <c r="BE96" s="280"/>
      <c r="BF96" s="280"/>
      <c r="BG96" s="280"/>
      <c r="BH96" s="280"/>
      <c r="BI96" s="280"/>
      <c r="BJ96" s="280"/>
      <c r="BK96" s="280"/>
      <c r="BL96" s="280"/>
      <c r="BM96" s="280"/>
      <c r="BN96" s="280"/>
      <c r="BO96" s="280"/>
      <c r="BP96" s="280"/>
    </row>
    <row r="97" spans="1:68" s="223" customFormat="1" ht="14.25" customHeight="1" x14ac:dyDescent="0.3">
      <c r="A97" s="43"/>
      <c r="B97" s="43"/>
      <c r="C97" s="43"/>
      <c r="D97" s="246"/>
      <c r="E97" s="43"/>
      <c r="F97" s="246"/>
      <c r="G97" s="246"/>
      <c r="H97" s="43"/>
      <c r="I97" s="43"/>
      <c r="J97" s="246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80"/>
      <c r="BC97" s="280"/>
      <c r="BD97" s="280"/>
      <c r="BE97" s="280"/>
      <c r="BF97" s="280"/>
      <c r="BG97" s="280"/>
      <c r="BH97" s="280"/>
      <c r="BI97" s="280"/>
      <c r="BJ97" s="280"/>
      <c r="BK97" s="280"/>
      <c r="BL97" s="280"/>
      <c r="BM97" s="280"/>
      <c r="BN97" s="280"/>
      <c r="BO97" s="280"/>
      <c r="BP97" s="280"/>
    </row>
    <row r="98" spans="1:68" s="223" customFormat="1" ht="14.25" customHeight="1" x14ac:dyDescent="0.3">
      <c r="A98" s="43"/>
      <c r="B98" s="43"/>
      <c r="C98" s="43"/>
      <c r="D98" s="246"/>
      <c r="E98" s="43"/>
      <c r="F98" s="246"/>
      <c r="G98" s="246"/>
      <c r="H98" s="43"/>
      <c r="I98" s="43"/>
      <c r="J98" s="246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80"/>
      <c r="BC98" s="280"/>
      <c r="BD98" s="280"/>
      <c r="BE98" s="280"/>
      <c r="BF98" s="280"/>
      <c r="BG98" s="280"/>
      <c r="BH98" s="280"/>
      <c r="BI98" s="280"/>
      <c r="BJ98" s="280"/>
      <c r="BK98" s="280"/>
      <c r="BL98" s="280"/>
      <c r="BM98" s="280"/>
      <c r="BN98" s="280"/>
      <c r="BO98" s="280"/>
      <c r="BP98" s="280"/>
    </row>
    <row r="99" spans="1:68" s="223" customFormat="1" ht="14.25" customHeight="1" x14ac:dyDescent="0.3">
      <c r="A99" s="43"/>
      <c r="B99" s="43"/>
      <c r="C99" s="43"/>
      <c r="D99" s="246"/>
      <c r="E99" s="43"/>
      <c r="F99" s="246"/>
      <c r="G99" s="246"/>
      <c r="H99" s="43"/>
      <c r="I99" s="43"/>
      <c r="J99" s="246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80"/>
      <c r="BC99" s="280"/>
      <c r="BD99" s="280"/>
      <c r="BE99" s="280"/>
      <c r="BF99" s="280"/>
      <c r="BG99" s="280"/>
      <c r="BH99" s="280"/>
      <c r="BI99" s="280"/>
      <c r="BJ99" s="280"/>
      <c r="BK99" s="280"/>
      <c r="BL99" s="280"/>
      <c r="BM99" s="280"/>
      <c r="BN99" s="280"/>
      <c r="BO99" s="280"/>
      <c r="BP99" s="280"/>
    </row>
    <row r="100" spans="1:68" s="223" customFormat="1" ht="14.25" customHeight="1" x14ac:dyDescent="0.3">
      <c r="A100" s="43"/>
      <c r="B100" s="43"/>
      <c r="C100" s="43"/>
      <c r="D100" s="246"/>
      <c r="E100" s="43"/>
      <c r="F100" s="246"/>
      <c r="G100" s="246"/>
      <c r="H100" s="43"/>
      <c r="I100" s="43"/>
      <c r="J100" s="246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80"/>
      <c r="BC100" s="280"/>
      <c r="BD100" s="280"/>
      <c r="BE100" s="280"/>
      <c r="BF100" s="280"/>
      <c r="BG100" s="280"/>
      <c r="BH100" s="280"/>
      <c r="BI100" s="280"/>
      <c r="BJ100" s="280"/>
      <c r="BK100" s="280"/>
      <c r="BL100" s="280"/>
      <c r="BM100" s="280"/>
      <c r="BN100" s="280"/>
      <c r="BO100" s="280"/>
      <c r="BP100" s="280"/>
    </row>
    <row r="101" spans="1:68" s="223" customFormat="1" ht="14.25" customHeight="1" x14ac:dyDescent="0.3">
      <c r="A101" s="43"/>
      <c r="B101" s="43"/>
      <c r="C101" s="43"/>
      <c r="D101" s="246"/>
      <c r="E101" s="43"/>
      <c r="F101" s="246"/>
      <c r="G101" s="246"/>
      <c r="H101" s="43"/>
      <c r="I101" s="43"/>
      <c r="J101" s="246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80"/>
      <c r="BC101" s="280"/>
      <c r="BD101" s="280"/>
      <c r="BE101" s="280"/>
      <c r="BF101" s="280"/>
      <c r="BG101" s="280"/>
      <c r="BH101" s="280"/>
      <c r="BI101" s="280"/>
      <c r="BJ101" s="280"/>
      <c r="BK101" s="280"/>
      <c r="BL101" s="280"/>
      <c r="BM101" s="280"/>
      <c r="BN101" s="280"/>
      <c r="BO101" s="280"/>
      <c r="BP101" s="280"/>
    </row>
    <row r="102" spans="1:68" s="223" customFormat="1" ht="14.25" customHeight="1" x14ac:dyDescent="0.3">
      <c r="A102" s="43"/>
      <c r="B102" s="43"/>
      <c r="C102" s="43"/>
      <c r="D102" s="246"/>
      <c r="E102" s="43"/>
      <c r="F102" s="246"/>
      <c r="G102" s="246"/>
      <c r="H102" s="43"/>
      <c r="I102" s="43"/>
      <c r="J102" s="246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80"/>
      <c r="BC102" s="280"/>
      <c r="BD102" s="280"/>
      <c r="BE102" s="280"/>
      <c r="BF102" s="280"/>
      <c r="BG102" s="280"/>
      <c r="BH102" s="280"/>
      <c r="BI102" s="280"/>
      <c r="BJ102" s="280"/>
      <c r="BK102" s="280"/>
      <c r="BL102" s="280"/>
      <c r="BM102" s="280"/>
      <c r="BN102" s="280"/>
      <c r="BO102" s="280"/>
      <c r="BP102" s="280"/>
    </row>
    <row r="103" spans="1:68" s="223" customFormat="1" ht="14.25" customHeight="1" x14ac:dyDescent="0.3">
      <c r="A103" s="43"/>
      <c r="B103" s="43"/>
      <c r="C103" s="43"/>
      <c r="D103" s="246"/>
      <c r="E103" s="43"/>
      <c r="F103" s="246"/>
      <c r="G103" s="246"/>
      <c r="H103" s="43"/>
      <c r="I103" s="43"/>
      <c r="J103" s="246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80"/>
      <c r="BC103" s="280"/>
      <c r="BD103" s="280"/>
      <c r="BE103" s="280"/>
      <c r="BF103" s="280"/>
      <c r="BG103" s="280"/>
      <c r="BH103" s="280"/>
      <c r="BI103" s="280"/>
      <c r="BJ103" s="280"/>
      <c r="BK103" s="280"/>
      <c r="BL103" s="280"/>
      <c r="BM103" s="280"/>
      <c r="BN103" s="280"/>
      <c r="BO103" s="280"/>
      <c r="BP103" s="280"/>
    </row>
    <row r="104" spans="1:68" s="223" customFormat="1" ht="14.25" customHeight="1" x14ac:dyDescent="0.3">
      <c r="A104" s="43"/>
      <c r="B104" s="43"/>
      <c r="C104" s="43"/>
      <c r="D104" s="246"/>
      <c r="E104" s="43"/>
      <c r="F104" s="246"/>
      <c r="G104" s="246"/>
      <c r="H104" s="43"/>
      <c r="I104" s="43"/>
      <c r="J104" s="246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80"/>
      <c r="BC104" s="280"/>
      <c r="BD104" s="280"/>
      <c r="BE104" s="280"/>
      <c r="BF104" s="280"/>
      <c r="BG104" s="280"/>
      <c r="BH104" s="280"/>
      <c r="BI104" s="280"/>
      <c r="BJ104" s="280"/>
      <c r="BK104" s="280"/>
      <c r="BL104" s="280"/>
      <c r="BM104" s="280"/>
      <c r="BN104" s="280"/>
      <c r="BO104" s="280"/>
      <c r="BP104" s="280"/>
    </row>
    <row r="105" spans="1:68" s="223" customFormat="1" ht="14.25" customHeight="1" x14ac:dyDescent="0.3">
      <c r="A105" s="43"/>
      <c r="B105" s="43"/>
      <c r="C105" s="43"/>
      <c r="D105" s="246"/>
      <c r="E105" s="43"/>
      <c r="F105" s="246"/>
      <c r="G105" s="246"/>
      <c r="H105" s="43"/>
      <c r="I105" s="43"/>
      <c r="J105" s="246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80"/>
      <c r="BC105" s="280"/>
      <c r="BD105" s="280"/>
      <c r="BE105" s="280"/>
      <c r="BF105" s="280"/>
      <c r="BG105" s="280"/>
      <c r="BH105" s="280"/>
      <c r="BI105" s="280"/>
      <c r="BJ105" s="280"/>
      <c r="BK105" s="280"/>
      <c r="BL105" s="280"/>
      <c r="BM105" s="280"/>
      <c r="BN105" s="280"/>
      <c r="BO105" s="280"/>
      <c r="BP105" s="280"/>
    </row>
    <row r="106" spans="1:68" s="223" customFormat="1" ht="14.25" customHeight="1" x14ac:dyDescent="0.3">
      <c r="A106" s="43"/>
      <c r="B106" s="43"/>
      <c r="C106" s="43"/>
      <c r="D106" s="246"/>
      <c r="E106" s="43"/>
      <c r="F106" s="246"/>
      <c r="G106" s="246"/>
      <c r="H106" s="43"/>
      <c r="I106" s="43"/>
      <c r="J106" s="246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80"/>
      <c r="BC106" s="280"/>
      <c r="BD106" s="280"/>
      <c r="BE106" s="280"/>
      <c r="BF106" s="280"/>
      <c r="BG106" s="280"/>
      <c r="BH106" s="280"/>
      <c r="BI106" s="280"/>
      <c r="BJ106" s="280"/>
      <c r="BK106" s="280"/>
      <c r="BL106" s="280"/>
      <c r="BM106" s="280"/>
      <c r="BN106" s="280"/>
      <c r="BO106" s="280"/>
      <c r="BP106" s="280"/>
    </row>
    <row r="107" spans="1:68" s="223" customFormat="1" ht="14.25" customHeight="1" x14ac:dyDescent="0.3">
      <c r="A107" s="43"/>
      <c r="B107" s="43"/>
      <c r="C107" s="43"/>
      <c r="D107" s="246"/>
      <c r="E107" s="43"/>
      <c r="F107" s="246"/>
      <c r="G107" s="246"/>
      <c r="H107" s="43"/>
      <c r="I107" s="43"/>
      <c r="J107" s="246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80"/>
      <c r="BC107" s="280"/>
      <c r="BD107" s="280"/>
      <c r="BE107" s="280"/>
      <c r="BF107" s="280"/>
      <c r="BG107" s="280"/>
      <c r="BH107" s="280"/>
      <c r="BI107" s="280"/>
      <c r="BJ107" s="280"/>
      <c r="BK107" s="280"/>
      <c r="BL107" s="280"/>
      <c r="BM107" s="280"/>
      <c r="BN107" s="280"/>
      <c r="BO107" s="280"/>
      <c r="BP107" s="280"/>
    </row>
    <row r="108" spans="1:68" s="223" customFormat="1" ht="14.25" customHeight="1" x14ac:dyDescent="0.3">
      <c r="A108" s="43"/>
      <c r="B108" s="43"/>
      <c r="C108" s="43"/>
      <c r="D108" s="246"/>
      <c r="E108" s="43"/>
      <c r="F108" s="246"/>
      <c r="G108" s="246"/>
      <c r="H108" s="43"/>
      <c r="I108" s="43"/>
      <c r="J108" s="246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80"/>
      <c r="BC108" s="280"/>
      <c r="BD108" s="280"/>
      <c r="BE108" s="280"/>
      <c r="BF108" s="280"/>
      <c r="BG108" s="280"/>
      <c r="BH108" s="280"/>
      <c r="BI108" s="280"/>
      <c r="BJ108" s="280"/>
      <c r="BK108" s="280"/>
      <c r="BL108" s="280"/>
      <c r="BM108" s="280"/>
      <c r="BN108" s="280"/>
      <c r="BO108" s="280"/>
      <c r="BP108" s="280"/>
    </row>
    <row r="109" spans="1:68" s="223" customFormat="1" ht="14.25" customHeight="1" x14ac:dyDescent="0.3">
      <c r="A109" s="43"/>
      <c r="B109" s="43"/>
      <c r="C109" s="43"/>
      <c r="D109" s="246"/>
      <c r="E109" s="43"/>
      <c r="F109" s="246"/>
      <c r="G109" s="246"/>
      <c r="H109" s="43"/>
      <c r="I109" s="43"/>
      <c r="J109" s="246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80"/>
      <c r="BC109" s="280"/>
      <c r="BD109" s="280"/>
      <c r="BE109" s="280"/>
      <c r="BF109" s="280"/>
      <c r="BG109" s="280"/>
      <c r="BH109" s="280"/>
      <c r="BI109" s="280"/>
      <c r="BJ109" s="280"/>
      <c r="BK109" s="280"/>
      <c r="BL109" s="280"/>
      <c r="BM109" s="280"/>
      <c r="BN109" s="280"/>
      <c r="BO109" s="280"/>
      <c r="BP109" s="280"/>
    </row>
    <row r="110" spans="1:68" s="223" customFormat="1" ht="14.25" customHeight="1" x14ac:dyDescent="0.3">
      <c r="A110" s="43"/>
      <c r="B110" s="43"/>
      <c r="C110" s="43"/>
      <c r="D110" s="246"/>
      <c r="E110" s="43"/>
      <c r="F110" s="246"/>
      <c r="G110" s="246"/>
      <c r="H110" s="43"/>
      <c r="I110" s="43"/>
      <c r="J110" s="246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80"/>
      <c r="BC110" s="280"/>
      <c r="BD110" s="280"/>
      <c r="BE110" s="280"/>
      <c r="BF110" s="280"/>
      <c r="BG110" s="280"/>
      <c r="BH110" s="280"/>
      <c r="BI110" s="280"/>
      <c r="BJ110" s="280"/>
      <c r="BK110" s="280"/>
      <c r="BL110" s="280"/>
      <c r="BM110" s="280"/>
      <c r="BN110" s="280"/>
      <c r="BO110" s="280"/>
      <c r="BP110" s="280"/>
    </row>
    <row r="111" spans="1:68" s="223" customFormat="1" ht="14.25" customHeight="1" x14ac:dyDescent="0.3">
      <c r="A111" s="43"/>
      <c r="B111" s="43"/>
      <c r="C111" s="43"/>
      <c r="D111" s="246"/>
      <c r="E111" s="43"/>
      <c r="F111" s="246"/>
      <c r="G111" s="246"/>
      <c r="H111" s="43"/>
      <c r="I111" s="43"/>
      <c r="J111" s="246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80"/>
      <c r="BC111" s="280"/>
      <c r="BD111" s="280"/>
      <c r="BE111" s="280"/>
      <c r="BF111" s="280"/>
      <c r="BG111" s="280"/>
      <c r="BH111" s="280"/>
      <c r="BI111" s="280"/>
      <c r="BJ111" s="280"/>
      <c r="BK111" s="280"/>
      <c r="BL111" s="280"/>
      <c r="BM111" s="280"/>
      <c r="BN111" s="280"/>
      <c r="BO111" s="280"/>
      <c r="BP111" s="280"/>
    </row>
    <row r="112" spans="1:68" s="223" customFormat="1" ht="14.25" customHeight="1" x14ac:dyDescent="0.3">
      <c r="A112" s="43"/>
      <c r="B112" s="43"/>
      <c r="C112" s="43"/>
      <c r="D112" s="246"/>
      <c r="E112" s="43"/>
      <c r="F112" s="246"/>
      <c r="G112" s="246"/>
      <c r="H112" s="43"/>
      <c r="I112" s="43"/>
      <c r="J112" s="246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80"/>
      <c r="BC112" s="280"/>
      <c r="BD112" s="280"/>
      <c r="BE112" s="280"/>
      <c r="BF112" s="280"/>
      <c r="BG112" s="280"/>
      <c r="BH112" s="280"/>
      <c r="BI112" s="280"/>
      <c r="BJ112" s="280"/>
      <c r="BK112" s="280"/>
      <c r="BL112" s="280"/>
      <c r="BM112" s="280"/>
      <c r="BN112" s="280"/>
      <c r="BO112" s="280"/>
      <c r="BP112" s="280"/>
    </row>
    <row r="113" spans="1:68" s="223" customFormat="1" ht="14.25" customHeight="1" x14ac:dyDescent="0.3">
      <c r="A113" s="43"/>
      <c r="B113" s="43"/>
      <c r="C113" s="43"/>
      <c r="D113" s="246"/>
      <c r="E113" s="43"/>
      <c r="F113" s="246"/>
      <c r="G113" s="246"/>
      <c r="H113" s="43"/>
      <c r="I113" s="43"/>
      <c r="J113" s="246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80"/>
      <c r="BC113" s="280"/>
      <c r="BD113" s="280"/>
      <c r="BE113" s="280"/>
      <c r="BF113" s="280"/>
      <c r="BG113" s="280"/>
      <c r="BH113" s="280"/>
      <c r="BI113" s="280"/>
      <c r="BJ113" s="280"/>
      <c r="BK113" s="280"/>
      <c r="BL113" s="280"/>
      <c r="BM113" s="280"/>
      <c r="BN113" s="280"/>
      <c r="BO113" s="280"/>
      <c r="BP113" s="280"/>
    </row>
    <row r="114" spans="1:68" s="223" customFormat="1" ht="14.25" customHeight="1" x14ac:dyDescent="0.3">
      <c r="A114" s="43"/>
      <c r="B114" s="43"/>
      <c r="C114" s="43"/>
      <c r="D114" s="246"/>
      <c r="E114" s="43"/>
      <c r="F114" s="246"/>
      <c r="G114" s="246"/>
      <c r="H114" s="43"/>
      <c r="I114" s="43"/>
      <c r="J114" s="246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80"/>
      <c r="BC114" s="280"/>
      <c r="BD114" s="280"/>
      <c r="BE114" s="280"/>
      <c r="BF114" s="280"/>
      <c r="BG114" s="280"/>
      <c r="BH114" s="280"/>
      <c r="BI114" s="280"/>
      <c r="BJ114" s="280"/>
      <c r="BK114" s="280"/>
      <c r="BL114" s="280"/>
      <c r="BM114" s="280"/>
      <c r="BN114" s="280"/>
      <c r="BO114" s="280"/>
      <c r="BP114" s="280"/>
    </row>
    <row r="115" spans="1:68" s="223" customFormat="1" ht="14.25" customHeight="1" x14ac:dyDescent="0.3">
      <c r="A115" s="43"/>
      <c r="B115" s="43"/>
      <c r="C115" s="43"/>
      <c r="D115" s="246"/>
      <c r="E115" s="43"/>
      <c r="F115" s="246"/>
      <c r="G115" s="246"/>
      <c r="H115" s="43"/>
      <c r="I115" s="43"/>
      <c r="J115" s="246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80"/>
      <c r="BC115" s="280"/>
      <c r="BD115" s="280"/>
      <c r="BE115" s="280"/>
      <c r="BF115" s="280"/>
      <c r="BG115" s="280"/>
      <c r="BH115" s="280"/>
      <c r="BI115" s="280"/>
      <c r="BJ115" s="280"/>
      <c r="BK115" s="280"/>
      <c r="BL115" s="280"/>
      <c r="BM115" s="280"/>
      <c r="BN115" s="280"/>
      <c r="BO115" s="280"/>
      <c r="BP115" s="280"/>
    </row>
    <row r="116" spans="1:68" s="223" customFormat="1" ht="14.25" customHeight="1" x14ac:dyDescent="0.3">
      <c r="A116" s="43"/>
      <c r="B116" s="43"/>
      <c r="C116" s="43"/>
      <c r="D116" s="246"/>
      <c r="E116" s="43"/>
      <c r="F116" s="246"/>
      <c r="G116" s="246"/>
      <c r="H116" s="43"/>
      <c r="I116" s="43"/>
      <c r="J116" s="246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80"/>
      <c r="BC116" s="280"/>
      <c r="BD116" s="280"/>
      <c r="BE116" s="280"/>
      <c r="BF116" s="280"/>
      <c r="BG116" s="280"/>
      <c r="BH116" s="280"/>
      <c r="BI116" s="280"/>
      <c r="BJ116" s="280"/>
      <c r="BK116" s="280"/>
      <c r="BL116" s="280"/>
      <c r="BM116" s="280"/>
      <c r="BN116" s="280"/>
      <c r="BO116" s="280"/>
      <c r="BP116" s="280"/>
    </row>
    <row r="117" spans="1:68" s="223" customFormat="1" ht="14.25" customHeight="1" x14ac:dyDescent="0.3">
      <c r="A117" s="43"/>
      <c r="B117" s="43"/>
      <c r="C117" s="43"/>
      <c r="D117" s="246"/>
      <c r="E117" s="43"/>
      <c r="F117" s="246"/>
      <c r="G117" s="246"/>
      <c r="H117" s="43"/>
      <c r="I117" s="43"/>
      <c r="J117" s="246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80"/>
      <c r="BC117" s="280"/>
      <c r="BD117" s="280"/>
      <c r="BE117" s="280"/>
      <c r="BF117" s="280"/>
      <c r="BG117" s="280"/>
      <c r="BH117" s="280"/>
      <c r="BI117" s="280"/>
      <c r="BJ117" s="280"/>
      <c r="BK117" s="280"/>
      <c r="BL117" s="280"/>
      <c r="BM117" s="280"/>
      <c r="BN117" s="280"/>
      <c r="BO117" s="280"/>
      <c r="BP117" s="280"/>
    </row>
    <row r="118" spans="1:68" s="223" customFormat="1" ht="14.25" customHeight="1" x14ac:dyDescent="0.3">
      <c r="A118" s="43"/>
      <c r="B118" s="43"/>
      <c r="C118" s="43"/>
      <c r="D118" s="246"/>
      <c r="E118" s="43"/>
      <c r="F118" s="246"/>
      <c r="G118" s="246"/>
      <c r="H118" s="43"/>
      <c r="I118" s="43"/>
      <c r="J118" s="246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80"/>
      <c r="BC118" s="280"/>
      <c r="BD118" s="280"/>
      <c r="BE118" s="280"/>
      <c r="BF118" s="280"/>
      <c r="BG118" s="280"/>
      <c r="BH118" s="280"/>
      <c r="BI118" s="280"/>
      <c r="BJ118" s="280"/>
      <c r="BK118" s="280"/>
      <c r="BL118" s="280"/>
      <c r="BM118" s="280"/>
      <c r="BN118" s="280"/>
      <c r="BO118" s="280"/>
      <c r="BP118" s="280"/>
    </row>
    <row r="119" spans="1:68" s="223" customFormat="1" ht="14.25" customHeight="1" x14ac:dyDescent="0.3">
      <c r="A119" s="43"/>
      <c r="B119" s="43"/>
      <c r="C119" s="43"/>
      <c r="D119" s="246"/>
      <c r="E119" s="43"/>
      <c r="F119" s="246"/>
      <c r="G119" s="246"/>
      <c r="H119" s="43"/>
      <c r="I119" s="43"/>
      <c r="J119" s="246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80"/>
      <c r="BC119" s="280"/>
      <c r="BD119" s="280"/>
      <c r="BE119" s="280"/>
      <c r="BF119" s="280"/>
      <c r="BG119" s="280"/>
      <c r="BH119" s="280"/>
      <c r="BI119" s="280"/>
      <c r="BJ119" s="280"/>
      <c r="BK119" s="280"/>
      <c r="BL119" s="280"/>
      <c r="BM119" s="280"/>
      <c r="BN119" s="280"/>
      <c r="BO119" s="280"/>
      <c r="BP119" s="280"/>
    </row>
    <row r="120" spans="1:68" s="223" customFormat="1" ht="14.25" customHeight="1" x14ac:dyDescent="0.3">
      <c r="A120" s="43"/>
      <c r="B120" s="43"/>
      <c r="C120" s="43"/>
      <c r="D120" s="246"/>
      <c r="E120" s="43"/>
      <c r="F120" s="246"/>
      <c r="G120" s="246"/>
      <c r="H120" s="43"/>
      <c r="I120" s="43"/>
      <c r="J120" s="246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80"/>
      <c r="BC120" s="280"/>
      <c r="BD120" s="280"/>
      <c r="BE120" s="280"/>
      <c r="BF120" s="280"/>
      <c r="BG120" s="280"/>
      <c r="BH120" s="280"/>
      <c r="BI120" s="280"/>
      <c r="BJ120" s="280"/>
      <c r="BK120" s="280"/>
      <c r="BL120" s="280"/>
      <c r="BM120" s="280"/>
      <c r="BN120" s="280"/>
      <c r="BO120" s="280"/>
      <c r="BP120" s="280"/>
    </row>
    <row r="121" spans="1:68" s="223" customFormat="1" ht="14.25" customHeight="1" x14ac:dyDescent="0.3">
      <c r="A121" s="43"/>
      <c r="B121" s="43"/>
      <c r="C121" s="43"/>
      <c r="D121" s="246"/>
      <c r="E121" s="43"/>
      <c r="F121" s="246"/>
      <c r="G121" s="246"/>
      <c r="H121" s="43"/>
      <c r="I121" s="43"/>
      <c r="J121" s="246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80"/>
      <c r="BC121" s="280"/>
      <c r="BD121" s="280"/>
      <c r="BE121" s="280"/>
      <c r="BF121" s="280"/>
      <c r="BG121" s="280"/>
      <c r="BH121" s="280"/>
      <c r="BI121" s="280"/>
      <c r="BJ121" s="280"/>
      <c r="BK121" s="280"/>
      <c r="BL121" s="280"/>
      <c r="BM121" s="280"/>
      <c r="BN121" s="280"/>
      <c r="BO121" s="280"/>
      <c r="BP121" s="280"/>
    </row>
    <row r="122" spans="1:68" s="223" customFormat="1" ht="14.25" customHeight="1" x14ac:dyDescent="0.3">
      <c r="A122" s="43"/>
      <c r="B122" s="43"/>
      <c r="C122" s="43"/>
      <c r="D122" s="246"/>
      <c r="E122" s="43"/>
      <c r="F122" s="246"/>
      <c r="G122" s="246"/>
      <c r="H122" s="43"/>
      <c r="I122" s="43"/>
      <c r="J122" s="246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80"/>
      <c r="BC122" s="280"/>
      <c r="BD122" s="280"/>
      <c r="BE122" s="280"/>
      <c r="BF122" s="280"/>
      <c r="BG122" s="280"/>
      <c r="BH122" s="280"/>
      <c r="BI122" s="280"/>
      <c r="BJ122" s="280"/>
      <c r="BK122" s="280"/>
      <c r="BL122" s="280"/>
      <c r="BM122" s="280"/>
      <c r="BN122" s="280"/>
      <c r="BO122" s="280"/>
      <c r="BP122" s="280"/>
    </row>
    <row r="123" spans="1:68" s="223" customFormat="1" ht="14.25" customHeight="1" x14ac:dyDescent="0.3">
      <c r="A123" s="43"/>
      <c r="B123" s="43"/>
      <c r="C123" s="43"/>
      <c r="D123" s="246"/>
      <c r="E123" s="43"/>
      <c r="F123" s="246"/>
      <c r="G123" s="246"/>
      <c r="H123" s="43"/>
      <c r="I123" s="43"/>
      <c r="J123" s="246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80"/>
      <c r="BC123" s="280"/>
      <c r="BD123" s="280"/>
      <c r="BE123" s="280"/>
      <c r="BF123" s="280"/>
      <c r="BG123" s="280"/>
      <c r="BH123" s="280"/>
      <c r="BI123" s="280"/>
      <c r="BJ123" s="280"/>
      <c r="BK123" s="280"/>
      <c r="BL123" s="280"/>
      <c r="BM123" s="280"/>
      <c r="BN123" s="280"/>
      <c r="BO123" s="280"/>
      <c r="BP123" s="280"/>
    </row>
    <row r="124" spans="1:68" s="223" customFormat="1" ht="14.25" customHeight="1" x14ac:dyDescent="0.3">
      <c r="A124" s="43"/>
      <c r="B124" s="43"/>
      <c r="C124" s="43"/>
      <c r="D124" s="246"/>
      <c r="E124" s="43"/>
      <c r="F124" s="246"/>
      <c r="G124" s="246"/>
      <c r="H124" s="43"/>
      <c r="I124" s="43"/>
      <c r="J124" s="246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80"/>
      <c r="BC124" s="280"/>
      <c r="BD124" s="280"/>
      <c r="BE124" s="280"/>
      <c r="BF124" s="280"/>
      <c r="BG124" s="280"/>
      <c r="BH124" s="280"/>
      <c r="BI124" s="280"/>
      <c r="BJ124" s="280"/>
      <c r="BK124" s="280"/>
      <c r="BL124" s="280"/>
      <c r="BM124" s="280"/>
      <c r="BN124" s="280"/>
      <c r="BO124" s="280"/>
      <c r="BP124" s="280"/>
    </row>
    <row r="125" spans="1:68" s="223" customFormat="1" ht="14.25" customHeight="1" x14ac:dyDescent="0.3">
      <c r="A125" s="43"/>
      <c r="B125" s="43"/>
      <c r="C125" s="43"/>
      <c r="D125" s="246"/>
      <c r="E125" s="43"/>
      <c r="F125" s="246"/>
      <c r="G125" s="246"/>
      <c r="H125" s="43"/>
      <c r="I125" s="43"/>
      <c r="J125" s="246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80"/>
      <c r="BC125" s="280"/>
      <c r="BD125" s="280"/>
      <c r="BE125" s="280"/>
      <c r="BF125" s="280"/>
      <c r="BG125" s="280"/>
      <c r="BH125" s="280"/>
      <c r="BI125" s="280"/>
      <c r="BJ125" s="280"/>
      <c r="BK125" s="280"/>
      <c r="BL125" s="280"/>
      <c r="BM125" s="280"/>
      <c r="BN125" s="280"/>
      <c r="BO125" s="280"/>
      <c r="BP125" s="280"/>
    </row>
    <row r="126" spans="1:68" s="223" customFormat="1" ht="14.25" customHeight="1" x14ac:dyDescent="0.3">
      <c r="A126" s="43"/>
      <c r="B126" s="43"/>
      <c r="C126" s="43"/>
      <c r="D126" s="246"/>
      <c r="E126" s="43"/>
      <c r="F126" s="246"/>
      <c r="G126" s="246"/>
      <c r="H126" s="43"/>
      <c r="I126" s="43"/>
      <c r="J126" s="246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80"/>
      <c r="BC126" s="280"/>
      <c r="BD126" s="280"/>
      <c r="BE126" s="280"/>
      <c r="BF126" s="280"/>
      <c r="BG126" s="280"/>
      <c r="BH126" s="280"/>
      <c r="BI126" s="280"/>
      <c r="BJ126" s="280"/>
      <c r="BK126" s="280"/>
      <c r="BL126" s="280"/>
      <c r="BM126" s="280"/>
      <c r="BN126" s="280"/>
      <c r="BO126" s="280"/>
      <c r="BP126" s="280"/>
    </row>
    <row r="127" spans="1:68" s="223" customFormat="1" ht="14.25" customHeight="1" x14ac:dyDescent="0.3">
      <c r="A127" s="43"/>
      <c r="B127" s="43"/>
      <c r="C127" s="43"/>
      <c r="D127" s="246"/>
      <c r="E127" s="43"/>
      <c r="F127" s="246"/>
      <c r="G127" s="246"/>
      <c r="H127" s="43"/>
      <c r="I127" s="43"/>
      <c r="J127" s="246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80"/>
      <c r="BC127" s="280"/>
      <c r="BD127" s="280"/>
      <c r="BE127" s="280"/>
      <c r="BF127" s="280"/>
      <c r="BG127" s="280"/>
      <c r="BH127" s="280"/>
      <c r="BI127" s="280"/>
      <c r="BJ127" s="280"/>
      <c r="BK127" s="280"/>
      <c r="BL127" s="280"/>
      <c r="BM127" s="280"/>
      <c r="BN127" s="280"/>
      <c r="BO127" s="280"/>
      <c r="BP127" s="280"/>
    </row>
    <row r="128" spans="1:68" s="223" customFormat="1" ht="14.25" customHeight="1" x14ac:dyDescent="0.3">
      <c r="A128" s="43"/>
      <c r="B128" s="43"/>
      <c r="C128" s="43"/>
      <c r="D128" s="246"/>
      <c r="E128" s="43"/>
      <c r="F128" s="246"/>
      <c r="G128" s="246"/>
      <c r="H128" s="43"/>
      <c r="I128" s="43"/>
      <c r="J128" s="246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80"/>
      <c r="BC128" s="280"/>
      <c r="BD128" s="280"/>
      <c r="BE128" s="280"/>
      <c r="BF128" s="280"/>
      <c r="BG128" s="280"/>
      <c r="BH128" s="280"/>
      <c r="BI128" s="280"/>
      <c r="BJ128" s="280"/>
      <c r="BK128" s="280"/>
      <c r="BL128" s="280"/>
      <c r="BM128" s="280"/>
      <c r="BN128" s="280"/>
      <c r="BO128" s="280"/>
      <c r="BP128" s="280"/>
    </row>
    <row r="129" spans="1:68" s="223" customFormat="1" ht="14.25" customHeight="1" x14ac:dyDescent="0.3">
      <c r="A129" s="43"/>
      <c r="B129" s="43"/>
      <c r="C129" s="43"/>
      <c r="D129" s="246"/>
      <c r="E129" s="43"/>
      <c r="F129" s="246"/>
      <c r="G129" s="246"/>
      <c r="H129" s="43"/>
      <c r="I129" s="43"/>
      <c r="J129" s="246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80"/>
      <c r="BC129" s="280"/>
      <c r="BD129" s="280"/>
      <c r="BE129" s="280"/>
      <c r="BF129" s="280"/>
      <c r="BG129" s="280"/>
      <c r="BH129" s="280"/>
      <c r="BI129" s="280"/>
      <c r="BJ129" s="280"/>
      <c r="BK129" s="280"/>
      <c r="BL129" s="280"/>
      <c r="BM129" s="280"/>
      <c r="BN129" s="280"/>
      <c r="BO129" s="280"/>
      <c r="BP129" s="280"/>
    </row>
    <row r="130" spans="1:68" s="223" customFormat="1" ht="14.25" customHeight="1" x14ac:dyDescent="0.3">
      <c r="A130" s="43"/>
      <c r="B130" s="43"/>
      <c r="C130" s="43"/>
      <c r="D130" s="246"/>
      <c r="E130" s="43"/>
      <c r="F130" s="246"/>
      <c r="G130" s="246"/>
      <c r="H130" s="43"/>
      <c r="I130" s="43"/>
      <c r="J130" s="246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80"/>
      <c r="BC130" s="280"/>
      <c r="BD130" s="280"/>
      <c r="BE130" s="280"/>
      <c r="BF130" s="280"/>
      <c r="BG130" s="280"/>
      <c r="BH130" s="280"/>
      <c r="BI130" s="280"/>
      <c r="BJ130" s="280"/>
      <c r="BK130" s="280"/>
      <c r="BL130" s="280"/>
      <c r="BM130" s="280"/>
      <c r="BN130" s="280"/>
      <c r="BO130" s="280"/>
      <c r="BP130" s="280"/>
    </row>
    <row r="131" spans="1:68" s="223" customFormat="1" ht="14.25" customHeight="1" x14ac:dyDescent="0.3">
      <c r="A131" s="43"/>
      <c r="B131" s="43"/>
      <c r="C131" s="43"/>
      <c r="D131" s="246"/>
      <c r="E131" s="43"/>
      <c r="F131" s="246"/>
      <c r="G131" s="246"/>
      <c r="H131" s="43"/>
      <c r="I131" s="43"/>
      <c r="J131" s="246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80"/>
      <c r="BC131" s="280"/>
      <c r="BD131" s="280"/>
      <c r="BE131" s="280"/>
      <c r="BF131" s="280"/>
      <c r="BG131" s="280"/>
      <c r="BH131" s="280"/>
      <c r="BI131" s="280"/>
      <c r="BJ131" s="280"/>
      <c r="BK131" s="280"/>
      <c r="BL131" s="280"/>
      <c r="BM131" s="280"/>
      <c r="BN131" s="280"/>
      <c r="BO131" s="280"/>
      <c r="BP131" s="280"/>
    </row>
    <row r="132" spans="1:68" s="223" customFormat="1" ht="14.25" customHeight="1" x14ac:dyDescent="0.3">
      <c r="A132" s="43"/>
      <c r="B132" s="43"/>
      <c r="C132" s="43"/>
      <c r="D132" s="246"/>
      <c r="E132" s="43"/>
      <c r="F132" s="246"/>
      <c r="G132" s="246"/>
      <c r="H132" s="43"/>
      <c r="I132" s="43"/>
      <c r="J132" s="246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80"/>
      <c r="BC132" s="280"/>
      <c r="BD132" s="280"/>
      <c r="BE132" s="280"/>
      <c r="BF132" s="280"/>
      <c r="BG132" s="280"/>
      <c r="BH132" s="280"/>
      <c r="BI132" s="280"/>
      <c r="BJ132" s="280"/>
      <c r="BK132" s="280"/>
      <c r="BL132" s="280"/>
      <c r="BM132" s="280"/>
      <c r="BN132" s="280"/>
      <c r="BO132" s="280"/>
      <c r="BP132" s="280"/>
    </row>
    <row r="133" spans="1:68" s="223" customFormat="1" ht="14.25" customHeight="1" x14ac:dyDescent="0.3">
      <c r="A133" s="43"/>
      <c r="B133" s="43"/>
      <c r="C133" s="43"/>
      <c r="D133" s="246"/>
      <c r="E133" s="43"/>
      <c r="F133" s="246"/>
      <c r="G133" s="246"/>
      <c r="H133" s="43"/>
      <c r="I133" s="43"/>
      <c r="J133" s="246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80"/>
      <c r="BC133" s="280"/>
      <c r="BD133" s="280"/>
      <c r="BE133" s="280"/>
      <c r="BF133" s="280"/>
      <c r="BG133" s="280"/>
      <c r="BH133" s="280"/>
      <c r="BI133" s="280"/>
      <c r="BJ133" s="280"/>
      <c r="BK133" s="280"/>
      <c r="BL133" s="280"/>
      <c r="BM133" s="280"/>
      <c r="BN133" s="280"/>
      <c r="BO133" s="280"/>
      <c r="BP133" s="280"/>
    </row>
    <row r="134" spans="1:68" s="223" customFormat="1" ht="14.25" customHeight="1" x14ac:dyDescent="0.3">
      <c r="A134" s="43"/>
      <c r="B134" s="43"/>
      <c r="C134" s="43"/>
      <c r="D134" s="246"/>
      <c r="E134" s="43"/>
      <c r="F134" s="246"/>
      <c r="G134" s="246"/>
      <c r="H134" s="43"/>
      <c r="I134" s="43"/>
      <c r="J134" s="246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80"/>
      <c r="BC134" s="280"/>
      <c r="BD134" s="280"/>
      <c r="BE134" s="280"/>
      <c r="BF134" s="280"/>
      <c r="BG134" s="280"/>
      <c r="BH134" s="280"/>
      <c r="BI134" s="280"/>
      <c r="BJ134" s="280"/>
      <c r="BK134" s="280"/>
      <c r="BL134" s="280"/>
      <c r="BM134" s="280"/>
      <c r="BN134" s="280"/>
      <c r="BO134" s="280"/>
      <c r="BP134" s="280"/>
    </row>
    <row r="135" spans="1:68" s="223" customFormat="1" ht="14.25" customHeight="1" x14ac:dyDescent="0.3">
      <c r="A135" s="43"/>
      <c r="B135" s="43"/>
      <c r="C135" s="43"/>
      <c r="D135" s="246"/>
      <c r="E135" s="43"/>
      <c r="F135" s="246"/>
      <c r="G135" s="246"/>
      <c r="H135" s="43"/>
      <c r="I135" s="43"/>
      <c r="J135" s="246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80"/>
      <c r="BC135" s="280"/>
      <c r="BD135" s="280"/>
      <c r="BE135" s="280"/>
      <c r="BF135" s="280"/>
      <c r="BG135" s="280"/>
      <c r="BH135" s="280"/>
      <c r="BI135" s="280"/>
      <c r="BJ135" s="280"/>
      <c r="BK135" s="280"/>
      <c r="BL135" s="280"/>
      <c r="BM135" s="280"/>
      <c r="BN135" s="280"/>
      <c r="BO135" s="280"/>
      <c r="BP135" s="280"/>
    </row>
    <row r="136" spans="1:68" s="223" customFormat="1" ht="14.25" customHeight="1" x14ac:dyDescent="0.3">
      <c r="A136" s="43"/>
      <c r="B136" s="43"/>
      <c r="C136" s="43"/>
      <c r="D136" s="246"/>
      <c r="E136" s="43"/>
      <c r="F136" s="246"/>
      <c r="G136" s="246"/>
      <c r="H136" s="43"/>
      <c r="I136" s="43"/>
      <c r="J136" s="246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80"/>
      <c r="BC136" s="280"/>
      <c r="BD136" s="280"/>
      <c r="BE136" s="280"/>
      <c r="BF136" s="280"/>
      <c r="BG136" s="280"/>
      <c r="BH136" s="280"/>
      <c r="BI136" s="280"/>
      <c r="BJ136" s="280"/>
      <c r="BK136" s="280"/>
      <c r="BL136" s="280"/>
      <c r="BM136" s="280"/>
      <c r="BN136" s="280"/>
      <c r="BO136" s="280"/>
      <c r="BP136" s="280"/>
    </row>
    <row r="137" spans="1:68" s="223" customFormat="1" ht="14.25" customHeight="1" x14ac:dyDescent="0.3">
      <c r="A137" s="43"/>
      <c r="B137" s="43"/>
      <c r="C137" s="43"/>
      <c r="D137" s="246"/>
      <c r="E137" s="43"/>
      <c r="F137" s="246"/>
      <c r="G137" s="246"/>
      <c r="H137" s="43"/>
      <c r="I137" s="43"/>
      <c r="J137" s="246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80"/>
      <c r="BC137" s="280"/>
      <c r="BD137" s="280"/>
      <c r="BE137" s="280"/>
      <c r="BF137" s="280"/>
      <c r="BG137" s="280"/>
      <c r="BH137" s="280"/>
      <c r="BI137" s="280"/>
      <c r="BJ137" s="280"/>
      <c r="BK137" s="280"/>
      <c r="BL137" s="280"/>
      <c r="BM137" s="280"/>
      <c r="BN137" s="280"/>
      <c r="BO137" s="280"/>
      <c r="BP137" s="280"/>
    </row>
    <row r="138" spans="1:68" s="223" customFormat="1" ht="14.25" customHeight="1" x14ac:dyDescent="0.3">
      <c r="A138" s="43"/>
      <c r="B138" s="43"/>
      <c r="C138" s="43"/>
      <c r="D138" s="246"/>
      <c r="E138" s="43"/>
      <c r="F138" s="246"/>
      <c r="G138" s="246"/>
      <c r="H138" s="43"/>
      <c r="I138" s="43"/>
      <c r="J138" s="246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80"/>
      <c r="BC138" s="280"/>
      <c r="BD138" s="280"/>
      <c r="BE138" s="280"/>
      <c r="BF138" s="280"/>
      <c r="BG138" s="280"/>
      <c r="BH138" s="280"/>
      <c r="BI138" s="280"/>
      <c r="BJ138" s="280"/>
      <c r="BK138" s="280"/>
      <c r="BL138" s="280"/>
      <c r="BM138" s="280"/>
      <c r="BN138" s="280"/>
      <c r="BO138" s="280"/>
      <c r="BP138" s="280"/>
    </row>
    <row r="139" spans="1:68" s="223" customFormat="1" ht="14.25" customHeight="1" x14ac:dyDescent="0.3">
      <c r="A139" s="43"/>
      <c r="B139" s="43"/>
      <c r="C139" s="43"/>
      <c r="D139" s="246"/>
      <c r="E139" s="43"/>
      <c r="F139" s="246"/>
      <c r="G139" s="246"/>
      <c r="H139" s="43"/>
      <c r="I139" s="43"/>
      <c r="J139" s="246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80"/>
      <c r="BC139" s="280"/>
      <c r="BD139" s="280"/>
      <c r="BE139" s="280"/>
      <c r="BF139" s="280"/>
      <c r="BG139" s="280"/>
      <c r="BH139" s="280"/>
      <c r="BI139" s="280"/>
      <c r="BJ139" s="280"/>
      <c r="BK139" s="280"/>
      <c r="BL139" s="280"/>
      <c r="BM139" s="280"/>
      <c r="BN139" s="280"/>
      <c r="BO139" s="280"/>
      <c r="BP139" s="280"/>
    </row>
    <row r="140" spans="1:68" s="223" customFormat="1" ht="14.25" customHeight="1" x14ac:dyDescent="0.3">
      <c r="A140" s="43"/>
      <c r="B140" s="43"/>
      <c r="C140" s="43"/>
      <c r="D140" s="246"/>
      <c r="E140" s="43"/>
      <c r="F140" s="246"/>
      <c r="G140" s="246"/>
      <c r="H140" s="43"/>
      <c r="I140" s="43"/>
      <c r="J140" s="246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80"/>
      <c r="BC140" s="280"/>
      <c r="BD140" s="280"/>
      <c r="BE140" s="280"/>
      <c r="BF140" s="280"/>
      <c r="BG140" s="280"/>
      <c r="BH140" s="280"/>
      <c r="BI140" s="280"/>
      <c r="BJ140" s="280"/>
      <c r="BK140" s="280"/>
      <c r="BL140" s="280"/>
      <c r="BM140" s="280"/>
      <c r="BN140" s="280"/>
      <c r="BO140" s="280"/>
      <c r="BP140" s="280"/>
    </row>
    <row r="141" spans="1:68" s="223" customFormat="1" ht="14.25" customHeight="1" x14ac:dyDescent="0.3">
      <c r="A141" s="43"/>
      <c r="B141" s="43"/>
      <c r="C141" s="43"/>
      <c r="D141" s="246"/>
      <c r="E141" s="43"/>
      <c r="F141" s="246"/>
      <c r="G141" s="246"/>
      <c r="H141" s="43"/>
      <c r="I141" s="43"/>
      <c r="J141" s="246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80"/>
      <c r="BC141" s="280"/>
      <c r="BD141" s="280"/>
      <c r="BE141" s="280"/>
      <c r="BF141" s="280"/>
      <c r="BG141" s="280"/>
      <c r="BH141" s="280"/>
      <c r="BI141" s="280"/>
      <c r="BJ141" s="280"/>
      <c r="BK141" s="280"/>
      <c r="BL141" s="280"/>
      <c r="BM141" s="280"/>
      <c r="BN141" s="280"/>
      <c r="BO141" s="280"/>
      <c r="BP141" s="280"/>
    </row>
    <row r="142" spans="1:68" s="223" customFormat="1" ht="14.25" customHeight="1" x14ac:dyDescent="0.3">
      <c r="A142" s="43"/>
      <c r="B142" s="43"/>
      <c r="C142" s="43"/>
      <c r="D142" s="246"/>
      <c r="E142" s="43"/>
      <c r="F142" s="246"/>
      <c r="G142" s="246"/>
      <c r="H142" s="43"/>
      <c r="I142" s="43"/>
      <c r="J142" s="246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80"/>
      <c r="BC142" s="280"/>
      <c r="BD142" s="280"/>
      <c r="BE142" s="280"/>
      <c r="BF142" s="280"/>
      <c r="BG142" s="280"/>
      <c r="BH142" s="280"/>
      <c r="BI142" s="280"/>
      <c r="BJ142" s="280"/>
      <c r="BK142" s="280"/>
      <c r="BL142" s="280"/>
      <c r="BM142" s="280"/>
      <c r="BN142" s="280"/>
      <c r="BO142" s="280"/>
      <c r="BP142" s="280"/>
    </row>
    <row r="143" spans="1:68" s="223" customFormat="1" ht="14.25" customHeight="1" x14ac:dyDescent="0.3">
      <c r="A143" s="43"/>
      <c r="B143" s="43"/>
      <c r="C143" s="43"/>
      <c r="D143" s="246"/>
      <c r="E143" s="43"/>
      <c r="F143" s="246"/>
      <c r="G143" s="246"/>
      <c r="H143" s="43"/>
      <c r="I143" s="43"/>
      <c r="J143" s="246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80"/>
      <c r="BC143" s="280"/>
      <c r="BD143" s="280"/>
      <c r="BE143" s="280"/>
      <c r="BF143" s="280"/>
      <c r="BG143" s="280"/>
      <c r="BH143" s="280"/>
      <c r="BI143" s="280"/>
      <c r="BJ143" s="280"/>
      <c r="BK143" s="280"/>
      <c r="BL143" s="280"/>
      <c r="BM143" s="280"/>
      <c r="BN143" s="280"/>
      <c r="BO143" s="280"/>
      <c r="BP143" s="280"/>
    </row>
    <row r="144" spans="1:68" s="223" customFormat="1" ht="14.25" customHeight="1" x14ac:dyDescent="0.3">
      <c r="A144" s="43"/>
      <c r="B144" s="43"/>
      <c r="C144" s="43"/>
      <c r="D144" s="246"/>
      <c r="E144" s="43"/>
      <c r="F144" s="246"/>
      <c r="G144" s="246"/>
      <c r="H144" s="43"/>
      <c r="I144" s="43"/>
      <c r="J144" s="246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80"/>
      <c r="BC144" s="280"/>
      <c r="BD144" s="280"/>
      <c r="BE144" s="280"/>
      <c r="BF144" s="280"/>
      <c r="BG144" s="280"/>
      <c r="BH144" s="280"/>
      <c r="BI144" s="280"/>
      <c r="BJ144" s="280"/>
      <c r="BK144" s="280"/>
      <c r="BL144" s="280"/>
      <c r="BM144" s="280"/>
      <c r="BN144" s="280"/>
      <c r="BO144" s="280"/>
      <c r="BP144" s="280"/>
    </row>
    <row r="145" spans="1:68" s="223" customFormat="1" ht="14.25" customHeight="1" x14ac:dyDescent="0.3">
      <c r="A145" s="43"/>
      <c r="B145" s="43"/>
      <c r="C145" s="43"/>
      <c r="D145" s="246"/>
      <c r="E145" s="43"/>
      <c r="F145" s="246"/>
      <c r="G145" s="246"/>
      <c r="H145" s="43"/>
      <c r="I145" s="43"/>
      <c r="J145" s="246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80"/>
      <c r="BC145" s="280"/>
      <c r="BD145" s="280"/>
      <c r="BE145" s="280"/>
      <c r="BF145" s="280"/>
      <c r="BG145" s="280"/>
      <c r="BH145" s="280"/>
      <c r="BI145" s="280"/>
      <c r="BJ145" s="280"/>
      <c r="BK145" s="280"/>
      <c r="BL145" s="280"/>
      <c r="BM145" s="280"/>
      <c r="BN145" s="280"/>
      <c r="BO145" s="280"/>
      <c r="BP145" s="280"/>
    </row>
    <row r="146" spans="1:68" s="223" customFormat="1" ht="14.25" customHeight="1" x14ac:dyDescent="0.3">
      <c r="A146" s="43"/>
      <c r="B146" s="43"/>
      <c r="C146" s="43"/>
      <c r="D146" s="246"/>
      <c r="E146" s="43"/>
      <c r="F146" s="246"/>
      <c r="G146" s="246"/>
      <c r="H146" s="43"/>
      <c r="I146" s="43"/>
      <c r="J146" s="246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80"/>
      <c r="BC146" s="280"/>
      <c r="BD146" s="280"/>
      <c r="BE146" s="280"/>
      <c r="BF146" s="280"/>
      <c r="BG146" s="280"/>
      <c r="BH146" s="280"/>
      <c r="BI146" s="280"/>
      <c r="BJ146" s="280"/>
      <c r="BK146" s="280"/>
      <c r="BL146" s="280"/>
      <c r="BM146" s="280"/>
      <c r="BN146" s="280"/>
      <c r="BO146" s="280"/>
      <c r="BP146" s="280"/>
    </row>
    <row r="147" spans="1:68" s="223" customFormat="1" ht="14.25" customHeight="1" x14ac:dyDescent="0.3">
      <c r="A147" s="43"/>
      <c r="B147" s="43"/>
      <c r="C147" s="43"/>
      <c r="D147" s="246"/>
      <c r="E147" s="43"/>
      <c r="F147" s="246"/>
      <c r="G147" s="246"/>
      <c r="H147" s="43"/>
      <c r="I147" s="43"/>
      <c r="J147" s="246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80"/>
      <c r="BC147" s="280"/>
      <c r="BD147" s="280"/>
      <c r="BE147" s="280"/>
      <c r="BF147" s="280"/>
      <c r="BG147" s="280"/>
      <c r="BH147" s="280"/>
      <c r="BI147" s="280"/>
      <c r="BJ147" s="280"/>
      <c r="BK147" s="280"/>
      <c r="BL147" s="280"/>
      <c r="BM147" s="280"/>
      <c r="BN147" s="280"/>
      <c r="BO147" s="280"/>
      <c r="BP147" s="280"/>
    </row>
    <row r="148" spans="1:68" s="223" customFormat="1" ht="14.25" customHeight="1" x14ac:dyDescent="0.3">
      <c r="A148" s="43"/>
      <c r="B148" s="43"/>
      <c r="C148" s="43"/>
      <c r="D148" s="246"/>
      <c r="E148" s="43"/>
      <c r="F148" s="246"/>
      <c r="G148" s="246"/>
      <c r="H148" s="43"/>
      <c r="I148" s="43"/>
      <c r="J148" s="246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80"/>
      <c r="BC148" s="280"/>
      <c r="BD148" s="280"/>
      <c r="BE148" s="280"/>
      <c r="BF148" s="280"/>
      <c r="BG148" s="280"/>
      <c r="BH148" s="280"/>
      <c r="BI148" s="280"/>
      <c r="BJ148" s="280"/>
      <c r="BK148" s="280"/>
      <c r="BL148" s="280"/>
      <c r="BM148" s="280"/>
      <c r="BN148" s="280"/>
      <c r="BO148" s="280"/>
      <c r="BP148" s="280"/>
    </row>
    <row r="149" spans="1:68" s="223" customFormat="1" ht="14.25" customHeight="1" x14ac:dyDescent="0.3">
      <c r="A149" s="43"/>
      <c r="B149" s="43"/>
      <c r="C149" s="43"/>
      <c r="D149" s="246"/>
      <c r="E149" s="43"/>
      <c r="F149" s="246"/>
      <c r="G149" s="246"/>
      <c r="H149" s="43"/>
      <c r="I149" s="43"/>
      <c r="J149" s="246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80"/>
      <c r="BC149" s="280"/>
      <c r="BD149" s="280"/>
      <c r="BE149" s="280"/>
      <c r="BF149" s="280"/>
      <c r="BG149" s="280"/>
      <c r="BH149" s="280"/>
      <c r="BI149" s="280"/>
      <c r="BJ149" s="280"/>
      <c r="BK149" s="280"/>
      <c r="BL149" s="280"/>
      <c r="BM149" s="280"/>
      <c r="BN149" s="280"/>
      <c r="BO149" s="280"/>
      <c r="BP149" s="280"/>
    </row>
    <row r="150" spans="1:68" s="223" customFormat="1" ht="14.25" customHeight="1" x14ac:dyDescent="0.3">
      <c r="A150" s="43"/>
      <c r="B150" s="43"/>
      <c r="C150" s="43"/>
      <c r="D150" s="246"/>
      <c r="E150" s="43"/>
      <c r="F150" s="246"/>
      <c r="G150" s="246"/>
      <c r="H150" s="43"/>
      <c r="I150" s="43"/>
      <c r="J150" s="246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80"/>
      <c r="BC150" s="280"/>
      <c r="BD150" s="280"/>
      <c r="BE150" s="280"/>
      <c r="BF150" s="280"/>
      <c r="BG150" s="280"/>
      <c r="BH150" s="280"/>
      <c r="BI150" s="280"/>
      <c r="BJ150" s="280"/>
      <c r="BK150" s="280"/>
      <c r="BL150" s="280"/>
      <c r="BM150" s="280"/>
      <c r="BN150" s="280"/>
      <c r="BO150" s="280"/>
      <c r="BP150" s="280"/>
    </row>
    <row r="151" spans="1:68" s="223" customFormat="1" ht="14.25" customHeight="1" x14ac:dyDescent="0.3">
      <c r="A151" s="43"/>
      <c r="B151" s="43"/>
      <c r="C151" s="43"/>
      <c r="D151" s="246"/>
      <c r="E151" s="43"/>
      <c r="F151" s="246"/>
      <c r="G151" s="246"/>
      <c r="H151" s="43"/>
      <c r="I151" s="43"/>
      <c r="J151" s="246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80"/>
      <c r="BC151" s="280"/>
      <c r="BD151" s="280"/>
      <c r="BE151" s="280"/>
      <c r="BF151" s="280"/>
      <c r="BG151" s="280"/>
      <c r="BH151" s="280"/>
      <c r="BI151" s="280"/>
      <c r="BJ151" s="280"/>
      <c r="BK151" s="280"/>
      <c r="BL151" s="280"/>
      <c r="BM151" s="280"/>
      <c r="BN151" s="280"/>
      <c r="BO151" s="280"/>
      <c r="BP151" s="280"/>
    </row>
    <row r="152" spans="1:68" s="223" customFormat="1" ht="14.25" customHeight="1" x14ac:dyDescent="0.3">
      <c r="A152" s="43"/>
      <c r="B152" s="43"/>
      <c r="C152" s="43"/>
      <c r="D152" s="246"/>
      <c r="E152" s="43"/>
      <c r="F152" s="246"/>
      <c r="G152" s="246"/>
      <c r="H152" s="43"/>
      <c r="I152" s="43"/>
      <c r="J152" s="246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80"/>
      <c r="BC152" s="280"/>
      <c r="BD152" s="280"/>
      <c r="BE152" s="280"/>
      <c r="BF152" s="280"/>
      <c r="BG152" s="280"/>
      <c r="BH152" s="280"/>
      <c r="BI152" s="280"/>
      <c r="BJ152" s="280"/>
      <c r="BK152" s="280"/>
      <c r="BL152" s="280"/>
      <c r="BM152" s="280"/>
      <c r="BN152" s="280"/>
      <c r="BO152" s="280"/>
      <c r="BP152" s="280"/>
    </row>
    <row r="153" spans="1:68" s="223" customFormat="1" ht="14.25" customHeight="1" x14ac:dyDescent="0.3">
      <c r="A153" s="43"/>
      <c r="B153" s="43"/>
      <c r="C153" s="43"/>
      <c r="D153" s="246"/>
      <c r="E153" s="43"/>
      <c r="F153" s="246"/>
      <c r="G153" s="246"/>
      <c r="H153" s="43"/>
      <c r="I153" s="43"/>
      <c r="J153" s="246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80"/>
      <c r="BC153" s="280"/>
      <c r="BD153" s="280"/>
      <c r="BE153" s="280"/>
      <c r="BF153" s="280"/>
      <c r="BG153" s="280"/>
      <c r="BH153" s="280"/>
      <c r="BI153" s="280"/>
      <c r="BJ153" s="280"/>
      <c r="BK153" s="280"/>
      <c r="BL153" s="280"/>
      <c r="BM153" s="280"/>
      <c r="BN153" s="280"/>
      <c r="BO153" s="280"/>
      <c r="BP153" s="280"/>
    </row>
    <row r="154" spans="1:68" s="223" customFormat="1" ht="14.25" customHeight="1" x14ac:dyDescent="0.3">
      <c r="A154" s="43"/>
      <c r="B154" s="43"/>
      <c r="C154" s="43"/>
      <c r="D154" s="246"/>
      <c r="E154" s="43"/>
      <c r="F154" s="246"/>
      <c r="G154" s="246"/>
      <c r="H154" s="43"/>
      <c r="I154" s="43"/>
      <c r="J154" s="246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80"/>
      <c r="BC154" s="280"/>
      <c r="BD154" s="280"/>
      <c r="BE154" s="280"/>
      <c r="BF154" s="280"/>
      <c r="BG154" s="280"/>
      <c r="BH154" s="280"/>
      <c r="BI154" s="280"/>
      <c r="BJ154" s="280"/>
      <c r="BK154" s="280"/>
      <c r="BL154" s="280"/>
      <c r="BM154" s="280"/>
      <c r="BN154" s="280"/>
      <c r="BO154" s="280"/>
      <c r="BP154" s="280"/>
    </row>
    <row r="155" spans="1:68" s="223" customFormat="1" ht="14.25" customHeight="1" x14ac:dyDescent="0.3">
      <c r="A155" s="43"/>
      <c r="B155" s="43"/>
      <c r="C155" s="43"/>
      <c r="D155" s="246"/>
      <c r="E155" s="43"/>
      <c r="F155" s="246"/>
      <c r="G155" s="246"/>
      <c r="H155" s="43"/>
      <c r="I155" s="43"/>
      <c r="J155" s="246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80"/>
      <c r="BC155" s="280"/>
      <c r="BD155" s="280"/>
      <c r="BE155" s="280"/>
      <c r="BF155" s="280"/>
      <c r="BG155" s="280"/>
      <c r="BH155" s="280"/>
      <c r="BI155" s="280"/>
      <c r="BJ155" s="280"/>
      <c r="BK155" s="280"/>
      <c r="BL155" s="280"/>
      <c r="BM155" s="280"/>
      <c r="BN155" s="280"/>
      <c r="BO155" s="280"/>
      <c r="BP155" s="280"/>
    </row>
    <row r="156" spans="1:68" s="223" customFormat="1" ht="14.25" customHeight="1" x14ac:dyDescent="0.3">
      <c r="A156" s="43"/>
      <c r="B156" s="43"/>
      <c r="C156" s="43"/>
      <c r="D156" s="246"/>
      <c r="E156" s="43"/>
      <c r="F156" s="246"/>
      <c r="G156" s="246"/>
      <c r="H156" s="43"/>
      <c r="I156" s="43"/>
      <c r="J156" s="246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80"/>
      <c r="BC156" s="280"/>
      <c r="BD156" s="280"/>
      <c r="BE156" s="280"/>
      <c r="BF156" s="280"/>
      <c r="BG156" s="280"/>
      <c r="BH156" s="280"/>
      <c r="BI156" s="280"/>
      <c r="BJ156" s="280"/>
      <c r="BK156" s="280"/>
      <c r="BL156" s="280"/>
      <c r="BM156" s="280"/>
      <c r="BN156" s="280"/>
      <c r="BO156" s="280"/>
      <c r="BP156" s="280"/>
    </row>
    <row r="157" spans="1:68" s="223" customFormat="1" ht="14.25" customHeight="1" x14ac:dyDescent="0.3">
      <c r="A157" s="43"/>
      <c r="B157" s="43"/>
      <c r="C157" s="43"/>
      <c r="D157" s="246"/>
      <c r="E157" s="43"/>
      <c r="F157" s="246"/>
      <c r="G157" s="246"/>
      <c r="H157" s="43"/>
      <c r="I157" s="43"/>
      <c r="J157" s="246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80"/>
      <c r="BC157" s="280"/>
      <c r="BD157" s="280"/>
      <c r="BE157" s="280"/>
      <c r="BF157" s="280"/>
      <c r="BG157" s="280"/>
      <c r="BH157" s="280"/>
      <c r="BI157" s="280"/>
      <c r="BJ157" s="280"/>
      <c r="BK157" s="280"/>
      <c r="BL157" s="280"/>
      <c r="BM157" s="280"/>
      <c r="BN157" s="280"/>
      <c r="BO157" s="280"/>
      <c r="BP157" s="280"/>
    </row>
    <row r="158" spans="1:68" s="223" customFormat="1" ht="14.25" customHeight="1" x14ac:dyDescent="0.3">
      <c r="A158" s="43"/>
      <c r="B158" s="43"/>
      <c r="C158" s="43"/>
      <c r="D158" s="246"/>
      <c r="E158" s="43"/>
      <c r="F158" s="246"/>
      <c r="G158" s="246"/>
      <c r="H158" s="43"/>
      <c r="I158" s="43"/>
      <c r="J158" s="246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80"/>
      <c r="BC158" s="280"/>
      <c r="BD158" s="280"/>
      <c r="BE158" s="280"/>
      <c r="BF158" s="280"/>
      <c r="BG158" s="280"/>
      <c r="BH158" s="280"/>
      <c r="BI158" s="280"/>
      <c r="BJ158" s="280"/>
      <c r="BK158" s="280"/>
      <c r="BL158" s="280"/>
      <c r="BM158" s="280"/>
      <c r="BN158" s="280"/>
      <c r="BO158" s="280"/>
      <c r="BP158" s="280"/>
    </row>
    <row r="159" spans="1:68" s="223" customFormat="1" ht="14.25" customHeight="1" x14ac:dyDescent="0.3">
      <c r="A159" s="43"/>
      <c r="B159" s="43"/>
      <c r="C159" s="43"/>
      <c r="D159" s="246"/>
      <c r="E159" s="43"/>
      <c r="F159" s="246"/>
      <c r="G159" s="246"/>
      <c r="H159" s="43"/>
      <c r="I159" s="43"/>
      <c r="J159" s="246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80"/>
      <c r="BC159" s="280"/>
      <c r="BD159" s="280"/>
      <c r="BE159" s="280"/>
      <c r="BF159" s="280"/>
      <c r="BG159" s="280"/>
      <c r="BH159" s="280"/>
      <c r="BI159" s="280"/>
      <c r="BJ159" s="280"/>
      <c r="BK159" s="280"/>
      <c r="BL159" s="280"/>
      <c r="BM159" s="280"/>
      <c r="BN159" s="280"/>
      <c r="BO159" s="280"/>
      <c r="BP159" s="280"/>
    </row>
    <row r="160" spans="1:68" s="223" customFormat="1" ht="14.25" customHeight="1" x14ac:dyDescent="0.3">
      <c r="A160" s="43"/>
      <c r="B160" s="43"/>
      <c r="C160" s="43"/>
      <c r="D160" s="246"/>
      <c r="E160" s="43"/>
      <c r="F160" s="246"/>
      <c r="G160" s="246"/>
      <c r="H160" s="43"/>
      <c r="I160" s="43"/>
      <c r="J160" s="246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80"/>
      <c r="BC160" s="280"/>
      <c r="BD160" s="280"/>
      <c r="BE160" s="280"/>
      <c r="BF160" s="280"/>
      <c r="BG160" s="280"/>
      <c r="BH160" s="280"/>
      <c r="BI160" s="280"/>
      <c r="BJ160" s="280"/>
      <c r="BK160" s="280"/>
      <c r="BL160" s="280"/>
      <c r="BM160" s="280"/>
      <c r="BN160" s="280"/>
      <c r="BO160" s="280"/>
      <c r="BP160" s="280"/>
    </row>
    <row r="161" spans="1:68" s="223" customFormat="1" ht="14.25" customHeight="1" x14ac:dyDescent="0.3">
      <c r="A161" s="43"/>
      <c r="B161" s="43"/>
      <c r="C161" s="43"/>
      <c r="D161" s="246"/>
      <c r="E161" s="43"/>
      <c r="F161" s="246"/>
      <c r="G161" s="246"/>
      <c r="H161" s="43"/>
      <c r="I161" s="43"/>
      <c r="J161" s="246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80"/>
      <c r="BC161" s="280"/>
      <c r="BD161" s="280"/>
      <c r="BE161" s="280"/>
      <c r="BF161" s="280"/>
      <c r="BG161" s="280"/>
      <c r="BH161" s="280"/>
      <c r="BI161" s="280"/>
      <c r="BJ161" s="280"/>
      <c r="BK161" s="280"/>
      <c r="BL161" s="280"/>
      <c r="BM161" s="280"/>
      <c r="BN161" s="280"/>
      <c r="BO161" s="280"/>
      <c r="BP161" s="280"/>
    </row>
    <row r="162" spans="1:68" s="223" customFormat="1" ht="14.25" customHeight="1" x14ac:dyDescent="0.3">
      <c r="A162" s="43"/>
      <c r="B162" s="43"/>
      <c r="C162" s="43"/>
      <c r="D162" s="246"/>
      <c r="E162" s="43"/>
      <c r="F162" s="246"/>
      <c r="G162" s="246"/>
      <c r="H162" s="43"/>
      <c r="I162" s="43"/>
      <c r="J162" s="246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80"/>
      <c r="BC162" s="280"/>
      <c r="BD162" s="280"/>
      <c r="BE162" s="280"/>
      <c r="BF162" s="280"/>
      <c r="BG162" s="280"/>
      <c r="BH162" s="280"/>
      <c r="BI162" s="280"/>
      <c r="BJ162" s="280"/>
      <c r="BK162" s="280"/>
      <c r="BL162" s="280"/>
      <c r="BM162" s="280"/>
      <c r="BN162" s="280"/>
      <c r="BO162" s="280"/>
      <c r="BP162" s="280"/>
    </row>
    <row r="163" spans="1:68" s="223" customFormat="1" ht="14.25" customHeight="1" x14ac:dyDescent="0.3">
      <c r="A163" s="43"/>
      <c r="B163" s="43"/>
      <c r="C163" s="43"/>
      <c r="D163" s="246"/>
      <c r="E163" s="43"/>
      <c r="F163" s="246"/>
      <c r="G163" s="246"/>
      <c r="H163" s="43"/>
      <c r="I163" s="43"/>
      <c r="J163" s="246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80"/>
      <c r="BC163" s="280"/>
      <c r="BD163" s="280"/>
      <c r="BE163" s="280"/>
      <c r="BF163" s="280"/>
      <c r="BG163" s="280"/>
      <c r="BH163" s="280"/>
      <c r="BI163" s="280"/>
      <c r="BJ163" s="280"/>
      <c r="BK163" s="280"/>
      <c r="BL163" s="280"/>
      <c r="BM163" s="280"/>
      <c r="BN163" s="280"/>
      <c r="BO163" s="280"/>
      <c r="BP163" s="280"/>
    </row>
    <row r="164" spans="1:68" s="223" customFormat="1" ht="14.25" customHeight="1" x14ac:dyDescent="0.3">
      <c r="A164" s="43"/>
      <c r="B164" s="43"/>
      <c r="C164" s="43"/>
      <c r="D164" s="246"/>
      <c r="E164" s="43"/>
      <c r="F164" s="246"/>
      <c r="G164" s="246"/>
      <c r="H164" s="43"/>
      <c r="I164" s="43"/>
      <c r="J164" s="246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80"/>
      <c r="BC164" s="280"/>
      <c r="BD164" s="280"/>
      <c r="BE164" s="280"/>
      <c r="BF164" s="280"/>
      <c r="BG164" s="280"/>
      <c r="BH164" s="280"/>
      <c r="BI164" s="280"/>
      <c r="BJ164" s="280"/>
      <c r="BK164" s="280"/>
      <c r="BL164" s="280"/>
      <c r="BM164" s="280"/>
      <c r="BN164" s="280"/>
      <c r="BO164" s="280"/>
      <c r="BP164" s="280"/>
    </row>
    <row r="165" spans="1:68" s="223" customFormat="1" ht="14.25" customHeight="1" x14ac:dyDescent="0.3">
      <c r="A165" s="43"/>
      <c r="B165" s="43"/>
      <c r="C165" s="43"/>
      <c r="D165" s="246"/>
      <c r="E165" s="43"/>
      <c r="F165" s="246"/>
      <c r="G165" s="246"/>
      <c r="H165" s="43"/>
      <c r="I165" s="43"/>
      <c r="J165" s="246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80"/>
      <c r="BC165" s="280"/>
      <c r="BD165" s="280"/>
      <c r="BE165" s="280"/>
      <c r="BF165" s="280"/>
      <c r="BG165" s="280"/>
      <c r="BH165" s="280"/>
      <c r="BI165" s="280"/>
      <c r="BJ165" s="280"/>
      <c r="BK165" s="280"/>
      <c r="BL165" s="280"/>
      <c r="BM165" s="280"/>
      <c r="BN165" s="280"/>
      <c r="BO165" s="280"/>
      <c r="BP165" s="280"/>
    </row>
    <row r="166" spans="1:68" s="223" customFormat="1" ht="14.25" customHeight="1" x14ac:dyDescent="0.3">
      <c r="A166" s="43"/>
      <c r="B166" s="43"/>
      <c r="C166" s="43"/>
      <c r="D166" s="246"/>
      <c r="E166" s="43"/>
      <c r="F166" s="246"/>
      <c r="G166" s="246"/>
      <c r="H166" s="43"/>
      <c r="I166" s="43"/>
      <c r="J166" s="246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80"/>
      <c r="BC166" s="280"/>
      <c r="BD166" s="280"/>
      <c r="BE166" s="280"/>
      <c r="BF166" s="280"/>
      <c r="BG166" s="280"/>
      <c r="BH166" s="280"/>
      <c r="BI166" s="280"/>
      <c r="BJ166" s="280"/>
      <c r="BK166" s="280"/>
      <c r="BL166" s="280"/>
      <c r="BM166" s="280"/>
      <c r="BN166" s="280"/>
      <c r="BO166" s="280"/>
      <c r="BP166" s="280"/>
    </row>
    <row r="167" spans="1:68" s="223" customFormat="1" ht="14.25" customHeight="1" x14ac:dyDescent="0.3">
      <c r="A167" s="43"/>
      <c r="B167" s="43"/>
      <c r="C167" s="43"/>
      <c r="D167" s="246"/>
      <c r="E167" s="43"/>
      <c r="F167" s="246"/>
      <c r="G167" s="246"/>
      <c r="H167" s="43"/>
      <c r="I167" s="43"/>
      <c r="J167" s="246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80"/>
      <c r="BC167" s="280"/>
      <c r="BD167" s="280"/>
      <c r="BE167" s="280"/>
      <c r="BF167" s="280"/>
      <c r="BG167" s="280"/>
      <c r="BH167" s="280"/>
      <c r="BI167" s="280"/>
      <c r="BJ167" s="280"/>
      <c r="BK167" s="280"/>
      <c r="BL167" s="280"/>
      <c r="BM167" s="280"/>
      <c r="BN167" s="280"/>
      <c r="BO167" s="280"/>
      <c r="BP167" s="280"/>
    </row>
    <row r="168" spans="1:68" s="223" customFormat="1" ht="14.25" customHeight="1" x14ac:dyDescent="0.3">
      <c r="A168" s="43"/>
      <c r="B168" s="43"/>
      <c r="C168" s="43"/>
      <c r="D168" s="246"/>
      <c r="E168" s="43"/>
      <c r="F168" s="246"/>
      <c r="G168" s="246"/>
      <c r="H168" s="43"/>
      <c r="I168" s="43"/>
      <c r="J168" s="246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80"/>
      <c r="BC168" s="280"/>
      <c r="BD168" s="280"/>
      <c r="BE168" s="280"/>
      <c r="BF168" s="280"/>
      <c r="BG168" s="280"/>
      <c r="BH168" s="280"/>
      <c r="BI168" s="280"/>
      <c r="BJ168" s="280"/>
      <c r="BK168" s="280"/>
      <c r="BL168" s="280"/>
      <c r="BM168" s="280"/>
      <c r="BN168" s="280"/>
      <c r="BO168" s="280"/>
      <c r="BP168" s="280"/>
    </row>
    <row r="169" spans="1:68" s="223" customFormat="1" ht="14.25" customHeight="1" x14ac:dyDescent="0.3">
      <c r="A169" s="43"/>
      <c r="B169" s="43"/>
      <c r="C169" s="43"/>
      <c r="D169" s="246"/>
      <c r="E169" s="43"/>
      <c r="F169" s="246"/>
      <c r="G169" s="246"/>
      <c r="H169" s="43"/>
      <c r="I169" s="43"/>
      <c r="J169" s="246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80"/>
      <c r="BC169" s="280"/>
      <c r="BD169" s="280"/>
      <c r="BE169" s="280"/>
      <c r="BF169" s="280"/>
      <c r="BG169" s="280"/>
      <c r="BH169" s="280"/>
      <c r="BI169" s="280"/>
      <c r="BJ169" s="280"/>
      <c r="BK169" s="280"/>
      <c r="BL169" s="280"/>
      <c r="BM169" s="280"/>
      <c r="BN169" s="280"/>
      <c r="BO169" s="280"/>
      <c r="BP169" s="280"/>
    </row>
    <row r="170" spans="1:68" s="223" customFormat="1" ht="14.25" customHeight="1" x14ac:dyDescent="0.3">
      <c r="A170" s="43"/>
      <c r="B170" s="43"/>
      <c r="C170" s="43"/>
      <c r="D170" s="246"/>
      <c r="E170" s="43"/>
      <c r="F170" s="246"/>
      <c r="G170" s="246"/>
      <c r="H170" s="43"/>
      <c r="I170" s="43"/>
      <c r="J170" s="246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80"/>
      <c r="BC170" s="280"/>
      <c r="BD170" s="280"/>
      <c r="BE170" s="280"/>
      <c r="BF170" s="280"/>
      <c r="BG170" s="280"/>
      <c r="BH170" s="280"/>
      <c r="BI170" s="280"/>
      <c r="BJ170" s="280"/>
      <c r="BK170" s="280"/>
      <c r="BL170" s="280"/>
      <c r="BM170" s="280"/>
      <c r="BN170" s="280"/>
      <c r="BO170" s="280"/>
      <c r="BP170" s="280"/>
    </row>
    <row r="171" spans="1:68" s="223" customFormat="1" ht="14.25" customHeight="1" x14ac:dyDescent="0.3">
      <c r="A171" s="43"/>
      <c r="B171" s="43"/>
      <c r="C171" s="43"/>
      <c r="D171" s="246"/>
      <c r="E171" s="43"/>
      <c r="F171" s="246"/>
      <c r="G171" s="246"/>
      <c r="H171" s="43"/>
      <c r="I171" s="43"/>
      <c r="J171" s="246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80"/>
      <c r="BC171" s="280"/>
      <c r="BD171" s="280"/>
      <c r="BE171" s="280"/>
      <c r="BF171" s="280"/>
      <c r="BG171" s="280"/>
      <c r="BH171" s="280"/>
      <c r="BI171" s="280"/>
      <c r="BJ171" s="280"/>
      <c r="BK171" s="280"/>
      <c r="BL171" s="280"/>
      <c r="BM171" s="280"/>
      <c r="BN171" s="280"/>
      <c r="BO171" s="280"/>
      <c r="BP171" s="280"/>
    </row>
    <row r="172" spans="1:68" s="223" customFormat="1" ht="14.25" customHeight="1" x14ac:dyDescent="0.3">
      <c r="A172" s="43"/>
      <c r="B172" s="43"/>
      <c r="C172" s="43"/>
      <c r="D172" s="246"/>
      <c r="E172" s="43"/>
      <c r="F172" s="246"/>
      <c r="G172" s="246"/>
      <c r="H172" s="43"/>
      <c r="I172" s="43"/>
      <c r="J172" s="246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80"/>
      <c r="BC172" s="280"/>
      <c r="BD172" s="280"/>
      <c r="BE172" s="280"/>
      <c r="BF172" s="280"/>
      <c r="BG172" s="280"/>
      <c r="BH172" s="280"/>
      <c r="BI172" s="280"/>
      <c r="BJ172" s="280"/>
      <c r="BK172" s="280"/>
      <c r="BL172" s="280"/>
      <c r="BM172" s="280"/>
      <c r="BN172" s="280"/>
      <c r="BO172" s="280"/>
      <c r="BP172" s="280"/>
    </row>
    <row r="173" spans="1:68" s="223" customFormat="1" ht="14.25" customHeight="1" x14ac:dyDescent="0.3">
      <c r="A173" s="43"/>
      <c r="B173" s="43"/>
      <c r="C173" s="43"/>
      <c r="D173" s="246"/>
      <c r="E173" s="43"/>
      <c r="F173" s="246"/>
      <c r="G173" s="246"/>
      <c r="H173" s="43"/>
      <c r="I173" s="43"/>
      <c r="J173" s="246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80"/>
      <c r="BC173" s="280"/>
      <c r="BD173" s="280"/>
      <c r="BE173" s="280"/>
      <c r="BF173" s="280"/>
      <c r="BG173" s="280"/>
      <c r="BH173" s="280"/>
      <c r="BI173" s="280"/>
      <c r="BJ173" s="280"/>
      <c r="BK173" s="280"/>
      <c r="BL173" s="280"/>
      <c r="BM173" s="280"/>
      <c r="BN173" s="280"/>
      <c r="BO173" s="280"/>
      <c r="BP173" s="280"/>
    </row>
    <row r="174" spans="1:68" s="223" customFormat="1" ht="14.25" customHeight="1" x14ac:dyDescent="0.3">
      <c r="A174" s="43"/>
      <c r="B174" s="43"/>
      <c r="C174" s="43"/>
      <c r="D174" s="246"/>
      <c r="E174" s="43"/>
      <c r="F174" s="246"/>
      <c r="G174" s="246"/>
      <c r="H174" s="43"/>
      <c r="I174" s="43"/>
      <c r="J174" s="246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80"/>
      <c r="BC174" s="280"/>
      <c r="BD174" s="280"/>
      <c r="BE174" s="280"/>
      <c r="BF174" s="280"/>
      <c r="BG174" s="280"/>
      <c r="BH174" s="280"/>
      <c r="BI174" s="280"/>
      <c r="BJ174" s="280"/>
      <c r="BK174" s="280"/>
      <c r="BL174" s="280"/>
      <c r="BM174" s="280"/>
      <c r="BN174" s="280"/>
      <c r="BO174" s="280"/>
      <c r="BP174" s="280"/>
    </row>
    <row r="175" spans="1:68" s="223" customFormat="1" ht="14.25" customHeight="1" x14ac:dyDescent="0.3">
      <c r="A175" s="43"/>
      <c r="B175" s="43"/>
      <c r="C175" s="43"/>
      <c r="D175" s="246"/>
      <c r="E175" s="43"/>
      <c r="F175" s="246"/>
      <c r="G175" s="246"/>
      <c r="H175" s="43"/>
      <c r="I175" s="43"/>
      <c r="J175" s="246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80"/>
      <c r="BC175" s="280"/>
      <c r="BD175" s="280"/>
      <c r="BE175" s="280"/>
      <c r="BF175" s="280"/>
      <c r="BG175" s="280"/>
      <c r="BH175" s="280"/>
      <c r="BI175" s="280"/>
      <c r="BJ175" s="280"/>
      <c r="BK175" s="280"/>
      <c r="BL175" s="280"/>
      <c r="BM175" s="280"/>
      <c r="BN175" s="280"/>
      <c r="BO175" s="280"/>
      <c r="BP175" s="280"/>
    </row>
    <row r="176" spans="1:68" s="223" customFormat="1" ht="14.25" customHeight="1" x14ac:dyDescent="0.3">
      <c r="A176" s="43"/>
      <c r="B176" s="43"/>
      <c r="C176" s="43"/>
      <c r="D176" s="246"/>
      <c r="E176" s="43"/>
      <c r="F176" s="246"/>
      <c r="G176" s="246"/>
      <c r="H176" s="43"/>
      <c r="I176" s="43"/>
      <c r="J176" s="246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80"/>
      <c r="BC176" s="280"/>
      <c r="BD176" s="280"/>
      <c r="BE176" s="280"/>
      <c r="BF176" s="280"/>
      <c r="BG176" s="280"/>
      <c r="BH176" s="280"/>
      <c r="BI176" s="280"/>
      <c r="BJ176" s="280"/>
      <c r="BK176" s="280"/>
      <c r="BL176" s="280"/>
      <c r="BM176" s="280"/>
      <c r="BN176" s="280"/>
      <c r="BO176" s="280"/>
      <c r="BP176" s="280"/>
    </row>
    <row r="177" spans="1:68" s="223" customFormat="1" ht="14.25" customHeight="1" x14ac:dyDescent="0.3">
      <c r="A177" s="43"/>
      <c r="B177" s="43"/>
      <c r="C177" s="43"/>
      <c r="D177" s="246"/>
      <c r="E177" s="43"/>
      <c r="F177" s="246"/>
      <c r="G177" s="246"/>
      <c r="H177" s="43"/>
      <c r="I177" s="43"/>
      <c r="J177" s="246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80"/>
      <c r="BC177" s="280"/>
      <c r="BD177" s="280"/>
      <c r="BE177" s="280"/>
      <c r="BF177" s="280"/>
      <c r="BG177" s="280"/>
      <c r="BH177" s="280"/>
      <c r="BI177" s="280"/>
      <c r="BJ177" s="280"/>
      <c r="BK177" s="280"/>
      <c r="BL177" s="280"/>
      <c r="BM177" s="280"/>
      <c r="BN177" s="280"/>
      <c r="BO177" s="280"/>
      <c r="BP177" s="280"/>
    </row>
    <row r="178" spans="1:68" s="223" customFormat="1" ht="14.25" customHeight="1" x14ac:dyDescent="0.3">
      <c r="A178" s="43"/>
      <c r="B178" s="43"/>
      <c r="C178" s="43"/>
      <c r="D178" s="246"/>
      <c r="E178" s="43"/>
      <c r="F178" s="246"/>
      <c r="G178" s="246"/>
      <c r="H178" s="43"/>
      <c r="I178" s="43"/>
      <c r="J178" s="246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80"/>
      <c r="BC178" s="280"/>
      <c r="BD178" s="280"/>
      <c r="BE178" s="280"/>
      <c r="BF178" s="280"/>
      <c r="BG178" s="280"/>
      <c r="BH178" s="280"/>
      <c r="BI178" s="280"/>
      <c r="BJ178" s="280"/>
      <c r="BK178" s="280"/>
      <c r="BL178" s="280"/>
      <c r="BM178" s="280"/>
      <c r="BN178" s="280"/>
      <c r="BO178" s="280"/>
      <c r="BP178" s="280"/>
    </row>
    <row r="179" spans="1:68" s="223" customFormat="1" ht="14.25" customHeight="1" x14ac:dyDescent="0.3">
      <c r="A179" s="43"/>
      <c r="B179" s="43"/>
      <c r="C179" s="43"/>
      <c r="D179" s="246"/>
      <c r="E179" s="43"/>
      <c r="F179" s="246"/>
      <c r="G179" s="246"/>
      <c r="H179" s="43"/>
      <c r="I179" s="43"/>
      <c r="J179" s="246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80"/>
      <c r="BC179" s="280"/>
      <c r="BD179" s="280"/>
      <c r="BE179" s="280"/>
      <c r="BF179" s="280"/>
      <c r="BG179" s="280"/>
      <c r="BH179" s="280"/>
      <c r="BI179" s="280"/>
      <c r="BJ179" s="280"/>
      <c r="BK179" s="280"/>
      <c r="BL179" s="280"/>
      <c r="BM179" s="280"/>
      <c r="BN179" s="280"/>
      <c r="BO179" s="280"/>
      <c r="BP179" s="280"/>
    </row>
    <row r="180" spans="1:68" s="223" customFormat="1" ht="14.25" customHeight="1" x14ac:dyDescent="0.3">
      <c r="A180" s="43"/>
      <c r="B180" s="43"/>
      <c r="C180" s="43"/>
      <c r="D180" s="246"/>
      <c r="E180" s="43"/>
      <c r="F180" s="246"/>
      <c r="G180" s="246"/>
      <c r="H180" s="43"/>
      <c r="I180" s="43"/>
      <c r="J180" s="246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80"/>
      <c r="BC180" s="280"/>
      <c r="BD180" s="280"/>
      <c r="BE180" s="280"/>
      <c r="BF180" s="280"/>
      <c r="BG180" s="280"/>
      <c r="BH180" s="280"/>
      <c r="BI180" s="280"/>
      <c r="BJ180" s="280"/>
      <c r="BK180" s="280"/>
      <c r="BL180" s="280"/>
      <c r="BM180" s="280"/>
      <c r="BN180" s="280"/>
      <c r="BO180" s="280"/>
      <c r="BP180" s="280"/>
    </row>
    <row r="181" spans="1:68" s="223" customFormat="1" ht="14.25" customHeight="1" x14ac:dyDescent="0.3">
      <c r="A181" s="43"/>
      <c r="B181" s="43"/>
      <c r="C181" s="43"/>
      <c r="D181" s="246"/>
      <c r="E181" s="43"/>
      <c r="F181" s="246"/>
      <c r="G181" s="246"/>
      <c r="H181" s="43"/>
      <c r="I181" s="43"/>
      <c r="J181" s="246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80"/>
      <c r="BC181" s="280"/>
      <c r="BD181" s="280"/>
      <c r="BE181" s="280"/>
      <c r="BF181" s="280"/>
      <c r="BG181" s="280"/>
      <c r="BH181" s="280"/>
      <c r="BI181" s="280"/>
      <c r="BJ181" s="280"/>
      <c r="BK181" s="280"/>
      <c r="BL181" s="280"/>
      <c r="BM181" s="280"/>
      <c r="BN181" s="280"/>
      <c r="BO181" s="280"/>
      <c r="BP181" s="280"/>
    </row>
    <row r="182" spans="1:68" s="223" customFormat="1" ht="14.25" customHeight="1" x14ac:dyDescent="0.3">
      <c r="A182" s="43"/>
      <c r="B182" s="43"/>
      <c r="C182" s="43"/>
      <c r="D182" s="246"/>
      <c r="E182" s="43"/>
      <c r="F182" s="246"/>
      <c r="G182" s="246"/>
      <c r="H182" s="43"/>
      <c r="I182" s="43"/>
      <c r="J182" s="246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80"/>
      <c r="BC182" s="280"/>
      <c r="BD182" s="280"/>
      <c r="BE182" s="280"/>
      <c r="BF182" s="280"/>
      <c r="BG182" s="280"/>
      <c r="BH182" s="280"/>
      <c r="BI182" s="280"/>
      <c r="BJ182" s="280"/>
      <c r="BK182" s="280"/>
      <c r="BL182" s="280"/>
      <c r="BM182" s="280"/>
      <c r="BN182" s="280"/>
      <c r="BO182" s="280"/>
      <c r="BP182" s="280"/>
    </row>
    <row r="183" spans="1:68" s="223" customFormat="1" ht="14.25" customHeight="1" x14ac:dyDescent="0.3">
      <c r="A183" s="43"/>
      <c r="B183" s="43"/>
      <c r="C183" s="43"/>
      <c r="D183" s="246"/>
      <c r="E183" s="43"/>
      <c r="F183" s="246"/>
      <c r="G183" s="246"/>
      <c r="H183" s="43"/>
      <c r="I183" s="43"/>
      <c r="J183" s="246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80"/>
      <c r="BC183" s="280"/>
      <c r="BD183" s="280"/>
      <c r="BE183" s="280"/>
      <c r="BF183" s="280"/>
      <c r="BG183" s="280"/>
      <c r="BH183" s="280"/>
      <c r="BI183" s="280"/>
      <c r="BJ183" s="280"/>
      <c r="BK183" s="280"/>
      <c r="BL183" s="280"/>
      <c r="BM183" s="280"/>
      <c r="BN183" s="280"/>
      <c r="BO183" s="280"/>
      <c r="BP183" s="280"/>
    </row>
    <row r="184" spans="1:68" s="223" customFormat="1" ht="14.25" customHeight="1" x14ac:dyDescent="0.3">
      <c r="A184" s="43"/>
      <c r="B184" s="43"/>
      <c r="C184" s="43"/>
      <c r="D184" s="246"/>
      <c r="E184" s="43"/>
      <c r="F184" s="246"/>
      <c r="G184" s="246"/>
      <c r="H184" s="43"/>
      <c r="I184" s="43"/>
      <c r="J184" s="246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80"/>
      <c r="BC184" s="280"/>
      <c r="BD184" s="280"/>
      <c r="BE184" s="280"/>
      <c r="BF184" s="280"/>
      <c r="BG184" s="280"/>
      <c r="BH184" s="280"/>
      <c r="BI184" s="280"/>
      <c r="BJ184" s="280"/>
      <c r="BK184" s="280"/>
      <c r="BL184" s="280"/>
      <c r="BM184" s="280"/>
      <c r="BN184" s="280"/>
      <c r="BO184" s="280"/>
      <c r="BP184" s="280"/>
    </row>
    <row r="185" spans="1:68" s="223" customFormat="1" ht="14.25" customHeight="1" x14ac:dyDescent="0.3">
      <c r="A185" s="43"/>
      <c r="B185" s="43"/>
      <c r="C185" s="43"/>
      <c r="D185" s="246"/>
      <c r="E185" s="43"/>
      <c r="F185" s="246"/>
      <c r="G185" s="246"/>
      <c r="H185" s="43"/>
      <c r="I185" s="43"/>
      <c r="J185" s="246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80"/>
      <c r="BC185" s="280"/>
      <c r="BD185" s="280"/>
      <c r="BE185" s="280"/>
      <c r="BF185" s="280"/>
      <c r="BG185" s="280"/>
      <c r="BH185" s="280"/>
      <c r="BI185" s="280"/>
      <c r="BJ185" s="280"/>
      <c r="BK185" s="280"/>
      <c r="BL185" s="280"/>
      <c r="BM185" s="280"/>
      <c r="BN185" s="280"/>
      <c r="BO185" s="280"/>
      <c r="BP185" s="280"/>
    </row>
    <row r="186" spans="1:68" s="223" customFormat="1" ht="14.25" customHeight="1" x14ac:dyDescent="0.3">
      <c r="A186" s="43"/>
      <c r="B186" s="43"/>
      <c r="C186" s="43"/>
      <c r="D186" s="246"/>
      <c r="E186" s="43"/>
      <c r="F186" s="246"/>
      <c r="G186" s="246"/>
      <c r="H186" s="43"/>
      <c r="I186" s="43"/>
      <c r="J186" s="246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80"/>
      <c r="BC186" s="280"/>
      <c r="BD186" s="280"/>
      <c r="BE186" s="280"/>
      <c r="BF186" s="280"/>
      <c r="BG186" s="280"/>
      <c r="BH186" s="280"/>
      <c r="BI186" s="280"/>
      <c r="BJ186" s="280"/>
      <c r="BK186" s="280"/>
      <c r="BL186" s="280"/>
      <c r="BM186" s="280"/>
      <c r="BN186" s="280"/>
      <c r="BO186" s="280"/>
      <c r="BP186" s="280"/>
    </row>
    <row r="187" spans="1:68" s="223" customFormat="1" ht="14.25" customHeight="1" x14ac:dyDescent="0.3">
      <c r="A187" s="43"/>
      <c r="B187" s="43"/>
      <c r="C187" s="43"/>
      <c r="D187" s="246"/>
      <c r="E187" s="43"/>
      <c r="F187" s="246"/>
      <c r="G187" s="246"/>
      <c r="H187" s="43"/>
      <c r="I187" s="43"/>
      <c r="J187" s="246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80"/>
      <c r="BC187" s="280"/>
      <c r="BD187" s="280"/>
      <c r="BE187" s="280"/>
      <c r="BF187" s="280"/>
      <c r="BG187" s="280"/>
      <c r="BH187" s="280"/>
      <c r="BI187" s="280"/>
      <c r="BJ187" s="280"/>
      <c r="BK187" s="280"/>
      <c r="BL187" s="280"/>
      <c r="BM187" s="280"/>
      <c r="BN187" s="280"/>
      <c r="BO187" s="280"/>
      <c r="BP187" s="280"/>
    </row>
    <row r="188" spans="1:68" s="223" customFormat="1" ht="14.25" customHeight="1" x14ac:dyDescent="0.3">
      <c r="A188" s="43"/>
      <c r="B188" s="43"/>
      <c r="C188" s="43"/>
      <c r="D188" s="246"/>
      <c r="E188" s="43"/>
      <c r="F188" s="246"/>
      <c r="G188" s="246"/>
      <c r="H188" s="43"/>
      <c r="I188" s="43"/>
      <c r="J188" s="246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80"/>
      <c r="BC188" s="280"/>
      <c r="BD188" s="280"/>
      <c r="BE188" s="280"/>
      <c r="BF188" s="280"/>
      <c r="BG188" s="280"/>
      <c r="BH188" s="280"/>
      <c r="BI188" s="280"/>
      <c r="BJ188" s="280"/>
      <c r="BK188" s="280"/>
      <c r="BL188" s="280"/>
      <c r="BM188" s="280"/>
      <c r="BN188" s="280"/>
      <c r="BO188" s="280"/>
      <c r="BP188" s="280"/>
    </row>
    <row r="189" spans="1:68" s="223" customFormat="1" ht="14.25" customHeight="1" x14ac:dyDescent="0.3">
      <c r="A189" s="43"/>
      <c r="B189" s="43"/>
      <c r="C189" s="43"/>
      <c r="D189" s="246"/>
      <c r="E189" s="43"/>
      <c r="F189" s="246"/>
      <c r="G189" s="246"/>
      <c r="H189" s="43"/>
      <c r="I189" s="43"/>
      <c r="J189" s="246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80"/>
      <c r="BC189" s="280"/>
      <c r="BD189" s="280"/>
      <c r="BE189" s="280"/>
      <c r="BF189" s="280"/>
      <c r="BG189" s="280"/>
      <c r="BH189" s="280"/>
      <c r="BI189" s="280"/>
      <c r="BJ189" s="280"/>
      <c r="BK189" s="280"/>
      <c r="BL189" s="280"/>
      <c r="BM189" s="280"/>
      <c r="BN189" s="280"/>
      <c r="BO189" s="280"/>
      <c r="BP189" s="280"/>
    </row>
    <row r="190" spans="1:68" s="223" customFormat="1" ht="14.25" customHeight="1" x14ac:dyDescent="0.3">
      <c r="A190" s="43"/>
      <c r="B190" s="43"/>
      <c r="C190" s="43"/>
      <c r="D190" s="246"/>
      <c r="E190" s="43"/>
      <c r="F190" s="246"/>
      <c r="G190" s="246"/>
      <c r="H190" s="43"/>
      <c r="I190" s="43"/>
      <c r="J190" s="246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80"/>
      <c r="BC190" s="280"/>
      <c r="BD190" s="280"/>
      <c r="BE190" s="280"/>
      <c r="BF190" s="280"/>
      <c r="BG190" s="280"/>
      <c r="BH190" s="280"/>
      <c r="BI190" s="280"/>
      <c r="BJ190" s="280"/>
      <c r="BK190" s="280"/>
      <c r="BL190" s="280"/>
      <c r="BM190" s="280"/>
      <c r="BN190" s="280"/>
      <c r="BO190" s="280"/>
      <c r="BP190" s="280"/>
    </row>
    <row r="191" spans="1:68" s="223" customFormat="1" ht="14.25" customHeight="1" x14ac:dyDescent="0.3">
      <c r="A191" s="43"/>
      <c r="B191" s="43"/>
      <c r="C191" s="43"/>
      <c r="D191" s="246"/>
      <c r="E191" s="43"/>
      <c r="F191" s="246"/>
      <c r="G191" s="246"/>
      <c r="H191" s="43"/>
      <c r="I191" s="43"/>
      <c r="J191" s="246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80"/>
      <c r="BC191" s="280"/>
      <c r="BD191" s="280"/>
      <c r="BE191" s="280"/>
      <c r="BF191" s="280"/>
      <c r="BG191" s="280"/>
      <c r="BH191" s="280"/>
      <c r="BI191" s="280"/>
      <c r="BJ191" s="280"/>
      <c r="BK191" s="280"/>
      <c r="BL191" s="280"/>
      <c r="BM191" s="280"/>
      <c r="BN191" s="280"/>
      <c r="BO191" s="280"/>
      <c r="BP191" s="280"/>
    </row>
    <row r="192" spans="1:68" s="223" customFormat="1" ht="14.25" customHeight="1" x14ac:dyDescent="0.3">
      <c r="A192" s="43"/>
      <c r="B192" s="43"/>
      <c r="C192" s="43"/>
      <c r="D192" s="246"/>
      <c r="E192" s="43"/>
      <c r="F192" s="246"/>
      <c r="G192" s="246"/>
      <c r="H192" s="43"/>
      <c r="I192" s="43"/>
      <c r="J192" s="246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80"/>
      <c r="BC192" s="280"/>
      <c r="BD192" s="280"/>
      <c r="BE192" s="280"/>
      <c r="BF192" s="280"/>
      <c r="BG192" s="280"/>
      <c r="BH192" s="280"/>
      <c r="BI192" s="280"/>
      <c r="BJ192" s="280"/>
      <c r="BK192" s="280"/>
      <c r="BL192" s="280"/>
      <c r="BM192" s="280"/>
      <c r="BN192" s="280"/>
      <c r="BO192" s="280"/>
      <c r="BP192" s="280"/>
    </row>
    <row r="193" spans="1:68" s="223" customFormat="1" ht="14.25" customHeight="1" x14ac:dyDescent="0.3">
      <c r="A193" s="43"/>
      <c r="B193" s="43"/>
      <c r="C193" s="43"/>
      <c r="D193" s="246"/>
      <c r="E193" s="43"/>
      <c r="F193" s="246"/>
      <c r="G193" s="246"/>
      <c r="H193" s="43"/>
      <c r="I193" s="43"/>
      <c r="J193" s="246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80"/>
      <c r="BC193" s="280"/>
      <c r="BD193" s="280"/>
      <c r="BE193" s="280"/>
      <c r="BF193" s="280"/>
      <c r="BG193" s="280"/>
      <c r="BH193" s="280"/>
      <c r="BI193" s="280"/>
      <c r="BJ193" s="280"/>
      <c r="BK193" s="280"/>
      <c r="BL193" s="280"/>
      <c r="BM193" s="280"/>
      <c r="BN193" s="280"/>
      <c r="BO193" s="280"/>
      <c r="BP193" s="280"/>
    </row>
    <row r="194" spans="1:68" s="223" customFormat="1" ht="14.25" customHeight="1" x14ac:dyDescent="0.3">
      <c r="A194" s="43"/>
      <c r="B194" s="43"/>
      <c r="C194" s="43"/>
      <c r="D194" s="246"/>
      <c r="E194" s="43"/>
      <c r="F194" s="246"/>
      <c r="G194" s="246"/>
      <c r="H194" s="43"/>
      <c r="I194" s="43"/>
      <c r="J194" s="246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80"/>
      <c r="BC194" s="280"/>
      <c r="BD194" s="280"/>
      <c r="BE194" s="280"/>
      <c r="BF194" s="280"/>
      <c r="BG194" s="280"/>
      <c r="BH194" s="280"/>
      <c r="BI194" s="280"/>
      <c r="BJ194" s="280"/>
      <c r="BK194" s="280"/>
      <c r="BL194" s="280"/>
      <c r="BM194" s="280"/>
      <c r="BN194" s="280"/>
      <c r="BO194" s="280"/>
      <c r="BP194" s="280"/>
    </row>
    <row r="195" spans="1:68" s="223" customFormat="1" ht="14.25" customHeight="1" x14ac:dyDescent="0.3">
      <c r="A195" s="43"/>
      <c r="B195" s="43"/>
      <c r="C195" s="43"/>
      <c r="D195" s="246"/>
      <c r="E195" s="43"/>
      <c r="F195" s="246"/>
      <c r="G195" s="246"/>
      <c r="H195" s="43"/>
      <c r="I195" s="43"/>
      <c r="J195" s="246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80"/>
      <c r="BC195" s="280"/>
      <c r="BD195" s="280"/>
      <c r="BE195" s="280"/>
      <c r="BF195" s="280"/>
      <c r="BG195" s="280"/>
      <c r="BH195" s="280"/>
      <c r="BI195" s="280"/>
      <c r="BJ195" s="280"/>
      <c r="BK195" s="280"/>
      <c r="BL195" s="280"/>
      <c r="BM195" s="280"/>
      <c r="BN195" s="280"/>
      <c r="BO195" s="280"/>
      <c r="BP195" s="280"/>
    </row>
    <row r="196" spans="1:68" s="223" customFormat="1" ht="14.25" customHeight="1" x14ac:dyDescent="0.3">
      <c r="A196" s="43"/>
      <c r="B196" s="43"/>
      <c r="C196" s="43"/>
      <c r="D196" s="246"/>
      <c r="E196" s="43"/>
      <c r="F196" s="246"/>
      <c r="G196" s="246"/>
      <c r="H196" s="43"/>
      <c r="I196" s="43"/>
      <c r="J196" s="246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80"/>
      <c r="BC196" s="280"/>
      <c r="BD196" s="280"/>
      <c r="BE196" s="280"/>
      <c r="BF196" s="280"/>
      <c r="BG196" s="280"/>
      <c r="BH196" s="280"/>
      <c r="BI196" s="280"/>
      <c r="BJ196" s="280"/>
      <c r="BK196" s="280"/>
      <c r="BL196" s="280"/>
      <c r="BM196" s="280"/>
      <c r="BN196" s="280"/>
      <c r="BO196" s="280"/>
      <c r="BP196" s="280"/>
    </row>
    <row r="197" spans="1:68" s="223" customFormat="1" ht="14.25" customHeight="1" x14ac:dyDescent="0.3">
      <c r="A197" s="43"/>
      <c r="B197" s="43"/>
      <c r="C197" s="43"/>
      <c r="D197" s="246"/>
      <c r="E197" s="43"/>
      <c r="F197" s="246"/>
      <c r="G197" s="246"/>
      <c r="H197" s="43"/>
      <c r="I197" s="43"/>
      <c r="J197" s="246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80"/>
      <c r="BC197" s="280"/>
      <c r="BD197" s="280"/>
      <c r="BE197" s="280"/>
      <c r="BF197" s="280"/>
      <c r="BG197" s="280"/>
      <c r="BH197" s="280"/>
      <c r="BI197" s="280"/>
      <c r="BJ197" s="280"/>
      <c r="BK197" s="280"/>
      <c r="BL197" s="280"/>
      <c r="BM197" s="280"/>
      <c r="BN197" s="280"/>
      <c r="BO197" s="280"/>
      <c r="BP197" s="280"/>
    </row>
    <row r="198" spans="1:68" s="223" customFormat="1" ht="14.25" customHeight="1" x14ac:dyDescent="0.3">
      <c r="A198" s="43"/>
      <c r="B198" s="43"/>
      <c r="C198" s="43"/>
      <c r="D198" s="246"/>
      <c r="E198" s="43"/>
      <c r="F198" s="246"/>
      <c r="G198" s="246"/>
      <c r="H198" s="43"/>
      <c r="I198" s="43"/>
      <c r="J198" s="246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80"/>
      <c r="BC198" s="280"/>
      <c r="BD198" s="280"/>
      <c r="BE198" s="280"/>
      <c r="BF198" s="280"/>
      <c r="BG198" s="280"/>
      <c r="BH198" s="280"/>
      <c r="BI198" s="280"/>
      <c r="BJ198" s="280"/>
      <c r="BK198" s="280"/>
      <c r="BL198" s="280"/>
      <c r="BM198" s="280"/>
      <c r="BN198" s="280"/>
      <c r="BO198" s="280"/>
      <c r="BP198" s="280"/>
    </row>
    <row r="199" spans="1:68" s="223" customFormat="1" ht="14.25" customHeight="1" x14ac:dyDescent="0.3">
      <c r="A199" s="43"/>
      <c r="B199" s="43"/>
      <c r="C199" s="43"/>
      <c r="D199" s="246"/>
      <c r="E199" s="43"/>
      <c r="F199" s="246"/>
      <c r="G199" s="246"/>
      <c r="H199" s="43"/>
      <c r="I199" s="43"/>
      <c r="J199" s="246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80"/>
      <c r="BC199" s="280"/>
      <c r="BD199" s="280"/>
      <c r="BE199" s="280"/>
      <c r="BF199" s="280"/>
      <c r="BG199" s="280"/>
      <c r="BH199" s="280"/>
      <c r="BI199" s="280"/>
      <c r="BJ199" s="280"/>
      <c r="BK199" s="280"/>
      <c r="BL199" s="280"/>
      <c r="BM199" s="280"/>
      <c r="BN199" s="280"/>
      <c r="BO199" s="280"/>
      <c r="BP199" s="280"/>
    </row>
    <row r="200" spans="1:68" s="223" customFormat="1" ht="14.25" customHeight="1" x14ac:dyDescent="0.3">
      <c r="A200" s="43"/>
      <c r="B200" s="43"/>
      <c r="C200" s="43"/>
      <c r="D200" s="246"/>
      <c r="E200" s="43"/>
      <c r="F200" s="246"/>
      <c r="G200" s="246"/>
      <c r="H200" s="43"/>
      <c r="I200" s="43"/>
      <c r="J200" s="246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80"/>
      <c r="BC200" s="280"/>
      <c r="BD200" s="280"/>
      <c r="BE200" s="280"/>
      <c r="BF200" s="280"/>
      <c r="BG200" s="280"/>
      <c r="BH200" s="280"/>
      <c r="BI200" s="280"/>
      <c r="BJ200" s="280"/>
      <c r="BK200" s="280"/>
      <c r="BL200" s="280"/>
      <c r="BM200" s="280"/>
      <c r="BN200" s="280"/>
      <c r="BO200" s="280"/>
      <c r="BP200" s="280"/>
    </row>
    <row r="201" spans="1:68" s="223" customFormat="1" ht="14.25" customHeight="1" x14ac:dyDescent="0.3">
      <c r="A201" s="43"/>
      <c r="B201" s="43"/>
      <c r="C201" s="43"/>
      <c r="D201" s="246"/>
      <c r="E201" s="43"/>
      <c r="F201" s="246"/>
      <c r="G201" s="246"/>
      <c r="H201" s="43"/>
      <c r="I201" s="43"/>
      <c r="J201" s="246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80"/>
      <c r="BC201" s="280"/>
      <c r="BD201" s="280"/>
      <c r="BE201" s="280"/>
      <c r="BF201" s="280"/>
      <c r="BG201" s="280"/>
      <c r="BH201" s="280"/>
      <c r="BI201" s="280"/>
      <c r="BJ201" s="280"/>
      <c r="BK201" s="280"/>
      <c r="BL201" s="280"/>
      <c r="BM201" s="280"/>
      <c r="BN201" s="280"/>
      <c r="BO201" s="280"/>
      <c r="BP201" s="280"/>
    </row>
    <row r="202" spans="1:68" s="223" customFormat="1" ht="14.25" customHeight="1" x14ac:dyDescent="0.3">
      <c r="A202" s="43"/>
      <c r="B202" s="43"/>
      <c r="C202" s="43"/>
      <c r="D202" s="246"/>
      <c r="E202" s="43"/>
      <c r="F202" s="246"/>
      <c r="G202" s="246"/>
      <c r="H202" s="43"/>
      <c r="I202" s="43"/>
      <c r="J202" s="246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80"/>
      <c r="BC202" s="280"/>
      <c r="BD202" s="280"/>
      <c r="BE202" s="280"/>
      <c r="BF202" s="280"/>
      <c r="BG202" s="280"/>
      <c r="BH202" s="280"/>
      <c r="BI202" s="280"/>
      <c r="BJ202" s="280"/>
      <c r="BK202" s="280"/>
      <c r="BL202" s="280"/>
      <c r="BM202" s="280"/>
      <c r="BN202" s="280"/>
      <c r="BO202" s="280"/>
      <c r="BP202" s="280"/>
    </row>
  </sheetData>
  <autoFilter ref="A6:BN13" xr:uid="{00000000-0009-0000-0000-000013000000}"/>
  <mergeCells count="24">
    <mergeCell ref="A2:AA2"/>
    <mergeCell ref="AY2:BC2"/>
    <mergeCell ref="A3:G3"/>
    <mergeCell ref="H3:M3"/>
    <mergeCell ref="N3:S3"/>
    <mergeCell ref="T3:U3"/>
    <mergeCell ref="V3:W3"/>
    <mergeCell ref="X3:AA3"/>
    <mergeCell ref="D4:E4"/>
    <mergeCell ref="F4:G4"/>
    <mergeCell ref="H4:J5"/>
    <mergeCell ref="K4:M5"/>
    <mergeCell ref="D5:E5"/>
    <mergeCell ref="F5:G5"/>
    <mergeCell ref="N4:P5"/>
    <mergeCell ref="Q4:S5"/>
    <mergeCell ref="T4:T5"/>
    <mergeCell ref="U4:U5"/>
    <mergeCell ref="V4:V5"/>
    <mergeCell ref="W4:W5"/>
    <mergeCell ref="X4:Y5"/>
    <mergeCell ref="Z4:AA5"/>
    <mergeCell ref="AD4:AE5"/>
    <mergeCell ref="AG4:AQ5"/>
  </mergeCells>
  <hyperlinks>
    <hyperlink ref="A5" location="PAINEL!A1" tooltip="Voltar ao Painel de Navegação" display="⬅ PAINEL" xr:uid="{3D9C4A52-DA92-46C4-AEED-CC06A6D0D068}"/>
    <hyperlink ref="C2" location="PAINEL!A1" tooltip="Voltar ao Painel de Navegação" display="⬅ PAINEL" xr:uid="{32FF9D5D-C943-4D57-9BCA-8C48F72E1E83}"/>
    <hyperlink ref="A1" location="PAINEL!A1" tooltip="Voltar ao Painel de Navegação" display="⬅ PAINEL" xr:uid="{699DA3BD-1812-4103-9003-A2F251E77FAF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pageSetUpPr fitToPage="1"/>
  </sheetPr>
  <dimension ref="A1:CD58"/>
  <sheetViews>
    <sheetView zoomScale="85" zoomScaleNormal="85" workbookViewId="0">
      <pane ySplit="5" topLeftCell="A6" activePane="bottomLeft" state="frozen"/>
      <selection pane="bottomLeft"/>
    </sheetView>
  </sheetViews>
  <sheetFormatPr defaultColWidth="8.5546875" defaultRowHeight="23.4" x14ac:dyDescent="0.3"/>
  <cols>
    <col min="1" max="1" width="38.21875" style="184" bestFit="1" customWidth="1"/>
    <col min="2" max="2" width="31.33203125" style="185" customWidth="1"/>
    <col min="3" max="3" width="15.6640625" style="185" customWidth="1"/>
    <col min="4" max="4" width="16.109375" style="186" customWidth="1"/>
    <col min="5" max="5" width="14.6640625" style="185" customWidth="1"/>
    <col min="6" max="6" width="19.109375" style="186" customWidth="1"/>
    <col min="7" max="7" width="20.33203125" style="186" customWidth="1"/>
    <col min="8" max="8" width="14.33203125" style="185" customWidth="1"/>
    <col min="9" max="9" width="23.6640625" style="185" customWidth="1"/>
    <col min="10" max="10" width="20" style="186" customWidth="1"/>
    <col min="11" max="11" width="24" style="185" customWidth="1"/>
    <col min="12" max="12" width="20.33203125" style="187" customWidth="1"/>
    <col min="13" max="13" width="19.109375" style="188" customWidth="1"/>
    <col min="14" max="14" width="21.88671875" style="188" customWidth="1"/>
    <col min="15" max="15" width="20" style="43" customWidth="1"/>
    <col min="16" max="16" width="21.109375" style="43" customWidth="1"/>
    <col min="17" max="17" width="24.88671875" style="43" customWidth="1"/>
    <col min="18" max="18" width="17.5546875" style="43" customWidth="1"/>
    <col min="19" max="19" width="17" style="43" customWidth="1"/>
    <col min="20" max="20" width="50.109375" style="43" customWidth="1"/>
    <col min="21" max="23" width="19.5546875" style="43" customWidth="1"/>
    <col min="24" max="24" width="34.109375" style="43" customWidth="1"/>
    <col min="25" max="26" width="19.5546875" style="43" customWidth="1"/>
    <col min="27" max="27" width="20.6640625" style="43" customWidth="1"/>
    <col min="28" max="28" width="13.44140625" style="43" customWidth="1"/>
    <col min="29" max="29" width="25.33203125" style="43" customWidth="1"/>
    <col min="30" max="30" width="21.33203125" style="43" customWidth="1"/>
    <col min="31" max="31" width="19.88671875" style="43" customWidth="1"/>
    <col min="32" max="32" width="19" style="43" customWidth="1"/>
    <col min="33" max="33" width="17.109375" style="43" customWidth="1"/>
    <col min="34" max="34" width="18.44140625" style="43" customWidth="1"/>
    <col min="35" max="37" width="13.44140625" style="43" customWidth="1"/>
    <col min="38" max="38" width="24.88671875" style="43" customWidth="1"/>
    <col min="39" max="39" width="20.5546875" style="43" customWidth="1"/>
    <col min="40" max="50" width="8.88671875" style="43" customWidth="1"/>
    <col min="51" max="51" width="15.6640625" style="43" customWidth="1"/>
    <col min="52" max="52" width="20.109375" style="43" customWidth="1"/>
    <col min="53" max="53" width="8.88671875" style="43" customWidth="1"/>
    <col min="54" max="55" width="8.88671875" style="23" customWidth="1"/>
    <col min="56" max="56" width="16.5546875" style="23" customWidth="1"/>
    <col min="57" max="57" width="16.33203125" style="23" customWidth="1"/>
    <col min="58" max="58" width="8" style="23" customWidth="1"/>
    <col min="59" max="59" width="14" style="142" customWidth="1"/>
    <col min="60" max="77" width="15" style="23" customWidth="1"/>
  </cols>
  <sheetData>
    <row r="1" spans="1:82" ht="19.95" customHeight="1" x14ac:dyDescent="0.3">
      <c r="A1" s="357" t="s">
        <v>1757</v>
      </c>
    </row>
    <row r="2" spans="1:82" ht="75" customHeight="1" x14ac:dyDescent="0.3">
      <c r="A2" s="485" t="s">
        <v>1487</v>
      </c>
      <c r="B2" s="485"/>
      <c r="C2" s="496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  <c r="AA2" s="485"/>
      <c r="AB2" s="485"/>
      <c r="AC2" s="485"/>
      <c r="AD2" s="485"/>
      <c r="AE2" s="485"/>
      <c r="AF2" s="485"/>
      <c r="AG2" s="485"/>
      <c r="AH2" s="485"/>
      <c r="BI2" s="497"/>
      <c r="BJ2" s="497"/>
      <c r="BK2" s="497"/>
      <c r="BL2" s="497"/>
      <c r="BM2" s="497"/>
    </row>
    <row r="3" spans="1:82" ht="70.5" customHeight="1" x14ac:dyDescent="0.3">
      <c r="A3" s="498" t="s">
        <v>1359</v>
      </c>
      <c r="B3" s="498"/>
      <c r="C3" s="498"/>
      <c r="D3" s="498"/>
      <c r="E3" s="498"/>
      <c r="F3" s="498"/>
      <c r="G3" s="498"/>
      <c r="H3" s="485" t="s">
        <v>1435</v>
      </c>
      <c r="I3" s="485"/>
      <c r="J3" s="485"/>
      <c r="K3" s="485"/>
      <c r="L3" s="485"/>
      <c r="M3" s="485"/>
      <c r="N3" s="485" t="s">
        <v>1361</v>
      </c>
      <c r="O3" s="485"/>
      <c r="P3" s="485"/>
      <c r="Q3" s="485"/>
      <c r="R3" s="485"/>
      <c r="S3" s="485"/>
      <c r="T3" s="485" t="s">
        <v>1488</v>
      </c>
      <c r="U3" s="485"/>
      <c r="V3" s="485" t="s">
        <v>1489</v>
      </c>
      <c r="W3" s="485"/>
      <c r="X3" s="190" t="s">
        <v>1490</v>
      </c>
      <c r="Y3" s="485" t="s">
        <v>1491</v>
      </c>
      <c r="Z3" s="485"/>
      <c r="AA3" s="485" t="s">
        <v>1479</v>
      </c>
      <c r="AB3" s="485"/>
      <c r="AC3" s="485" t="s">
        <v>1480</v>
      </c>
      <c r="AD3" s="485"/>
      <c r="AE3" s="485" t="s">
        <v>1436</v>
      </c>
      <c r="AF3" s="485"/>
      <c r="AG3" s="485"/>
      <c r="AH3" s="485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</row>
    <row r="4" spans="1:82" ht="39.75" customHeight="1" x14ac:dyDescent="0.3">
      <c r="A4" s="319" t="s">
        <v>1758</v>
      </c>
      <c r="B4" s="200"/>
      <c r="C4" s="250" t="s">
        <v>1363</v>
      </c>
      <c r="D4" s="493" t="s">
        <v>1364</v>
      </c>
      <c r="E4" s="493"/>
      <c r="F4" s="494" t="s">
        <v>1365</v>
      </c>
      <c r="G4" s="494"/>
      <c r="H4" s="501" t="s">
        <v>1843</v>
      </c>
      <c r="I4" s="501"/>
      <c r="J4" s="501"/>
      <c r="K4" s="478">
        <f>PARÂMETROS!$E$22</f>
        <v>42.37</v>
      </c>
      <c r="L4" s="478"/>
      <c r="M4" s="478"/>
      <c r="N4" s="477" t="s">
        <v>1837</v>
      </c>
      <c r="O4" s="477"/>
      <c r="P4" s="477"/>
      <c r="Q4" s="492">
        <f>PARÂMETROS!$E$8</f>
        <v>30.89</v>
      </c>
      <c r="R4" s="492"/>
      <c r="S4" s="492"/>
      <c r="T4" s="479" t="s">
        <v>1492</v>
      </c>
      <c r="U4" s="510">
        <v>35.15</v>
      </c>
      <c r="V4" s="479" t="s">
        <v>1855</v>
      </c>
      <c r="W4" s="510">
        <v>57</v>
      </c>
      <c r="X4" s="479" t="s">
        <v>1856</v>
      </c>
      <c r="Y4" s="479" t="s">
        <v>1493</v>
      </c>
      <c r="Z4" s="510">
        <v>55</v>
      </c>
      <c r="AA4" s="479" t="s">
        <v>1854</v>
      </c>
      <c r="AB4" s="510">
        <v>9.6999999999999993</v>
      </c>
      <c r="AC4" s="479" t="s">
        <v>898</v>
      </c>
      <c r="AD4" s="510">
        <v>0.95</v>
      </c>
      <c r="AE4" s="500" t="s">
        <v>1847</v>
      </c>
      <c r="AF4" s="500"/>
      <c r="AG4" s="502">
        <f>PARÂMETROS!$E$26</f>
        <v>89.3</v>
      </c>
      <c r="AH4" s="502"/>
      <c r="AI4" s="23"/>
      <c r="AJ4" s="23"/>
      <c r="AK4" s="23"/>
      <c r="AL4" s="472" t="s">
        <v>1494</v>
      </c>
      <c r="AM4" s="472"/>
      <c r="AN4" s="23"/>
      <c r="AO4" s="509" t="s">
        <v>839</v>
      </c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23"/>
      <c r="BD4" s="513" t="s">
        <v>1817</v>
      </c>
      <c r="BE4" s="513"/>
      <c r="BF4" s="513"/>
    </row>
    <row r="5" spans="1:82" ht="31.5" customHeight="1" x14ac:dyDescent="0.3">
      <c r="A5" s="359"/>
      <c r="B5" s="361"/>
      <c r="C5" s="252">
        <f>PARÂMETROS!$E$23</f>
        <v>19.59</v>
      </c>
      <c r="D5" s="490">
        <f>PARÂMETROS!$E$24</f>
        <v>19.59</v>
      </c>
      <c r="E5" s="490"/>
      <c r="F5" s="491">
        <f>PARÂMETROS!$E$25</f>
        <v>19.59</v>
      </c>
      <c r="G5" s="491"/>
      <c r="H5" s="501"/>
      <c r="I5" s="501"/>
      <c r="J5" s="501"/>
      <c r="K5" s="478"/>
      <c r="L5" s="478"/>
      <c r="M5" s="478"/>
      <c r="N5" s="477"/>
      <c r="O5" s="477"/>
      <c r="P5" s="477"/>
      <c r="Q5" s="492"/>
      <c r="R5" s="492"/>
      <c r="S5" s="492"/>
      <c r="T5" s="479"/>
      <c r="U5" s="480"/>
      <c r="V5" s="479"/>
      <c r="W5" s="480"/>
      <c r="X5" s="479"/>
      <c r="Y5" s="479"/>
      <c r="Z5" s="480"/>
      <c r="AA5" s="479"/>
      <c r="AB5" s="480"/>
      <c r="AC5" s="479"/>
      <c r="AD5" s="480"/>
      <c r="AE5" s="500"/>
      <c r="AF5" s="500"/>
      <c r="AG5" s="502"/>
      <c r="AH5" s="502"/>
      <c r="AI5" s="23"/>
      <c r="AJ5" s="23"/>
      <c r="AK5" s="23"/>
      <c r="AL5" s="472"/>
      <c r="AM5" s="472"/>
      <c r="AN5" s="23"/>
      <c r="AO5" s="509"/>
      <c r="AP5" s="509"/>
      <c r="AQ5" s="509"/>
      <c r="AR5" s="509"/>
      <c r="AS5" s="509"/>
      <c r="AT5" s="509"/>
      <c r="AU5" s="509"/>
      <c r="AV5" s="509"/>
      <c r="AW5" s="509"/>
      <c r="AX5" s="509"/>
      <c r="AY5" s="509"/>
      <c r="AZ5" s="509"/>
      <c r="BA5" s="23"/>
      <c r="BD5" s="513"/>
      <c r="BE5" s="513"/>
      <c r="BF5" s="513"/>
      <c r="BH5" s="312"/>
    </row>
    <row r="6" spans="1:82" ht="34.5" customHeight="1" x14ac:dyDescent="0.3">
      <c r="A6" s="204" t="s">
        <v>10</v>
      </c>
      <c r="B6" s="205" t="s">
        <v>1235</v>
      </c>
      <c r="C6" s="206" t="s">
        <v>1369</v>
      </c>
      <c r="D6" s="253" t="s">
        <v>1370</v>
      </c>
      <c r="E6" s="206" t="s">
        <v>1371</v>
      </c>
      <c r="F6" s="253" t="s">
        <v>1372</v>
      </c>
      <c r="G6" s="254" t="s">
        <v>1373</v>
      </c>
      <c r="H6" s="206" t="s">
        <v>1440</v>
      </c>
      <c r="I6" s="253" t="s">
        <v>1441</v>
      </c>
      <c r="J6" s="206" t="s">
        <v>1442</v>
      </c>
      <c r="K6" s="207" t="s">
        <v>1443</v>
      </c>
      <c r="L6" s="206" t="s">
        <v>1240</v>
      </c>
      <c r="M6" s="207" t="s">
        <v>1443</v>
      </c>
      <c r="N6" s="208" t="s">
        <v>1444</v>
      </c>
      <c r="O6" s="209" t="s">
        <v>1445</v>
      </c>
      <c r="P6" s="208" t="s">
        <v>1374</v>
      </c>
      <c r="Q6" s="209" t="s">
        <v>1446</v>
      </c>
      <c r="R6" s="208" t="s">
        <v>1447</v>
      </c>
      <c r="S6" s="209" t="s">
        <v>1448</v>
      </c>
      <c r="T6" s="512" t="s">
        <v>1495</v>
      </c>
      <c r="U6" s="512"/>
      <c r="V6" s="208" t="s">
        <v>1496</v>
      </c>
      <c r="W6" s="209" t="s">
        <v>1497</v>
      </c>
      <c r="X6" s="209" t="s">
        <v>1498</v>
      </c>
      <c r="Y6" s="208" t="s">
        <v>1499</v>
      </c>
      <c r="Z6" s="209" t="s">
        <v>1498</v>
      </c>
      <c r="AA6" s="208" t="s">
        <v>1482</v>
      </c>
      <c r="AB6" s="209" t="s">
        <v>1483</v>
      </c>
      <c r="AC6" s="208" t="s">
        <v>1484</v>
      </c>
      <c r="AD6" s="209" t="s">
        <v>1485</v>
      </c>
      <c r="AE6" s="208" t="s">
        <v>1449</v>
      </c>
      <c r="AF6" s="209" t="s">
        <v>1450</v>
      </c>
      <c r="AG6" s="208" t="s">
        <v>1451</v>
      </c>
      <c r="AH6" s="209" t="s">
        <v>1452</v>
      </c>
      <c r="AI6" s="23"/>
      <c r="AJ6" s="23"/>
      <c r="AK6" s="23"/>
      <c r="AL6" s="210" t="s">
        <v>10</v>
      </c>
      <c r="AM6" s="211" t="s">
        <v>1120</v>
      </c>
      <c r="AN6" s="23"/>
      <c r="AO6" s="285"/>
      <c r="AP6" s="291" t="s">
        <v>880</v>
      </c>
      <c r="AQ6" s="309" t="s">
        <v>1376</v>
      </c>
      <c r="AR6" s="309" t="s">
        <v>1453</v>
      </c>
      <c r="AS6" s="309" t="s">
        <v>1454</v>
      </c>
      <c r="AT6" s="313" t="s">
        <v>1500</v>
      </c>
      <c r="AU6" s="309" t="s">
        <v>1377</v>
      </c>
      <c r="AV6" s="309" t="s">
        <v>1248</v>
      </c>
      <c r="AW6" s="309" t="s">
        <v>1378</v>
      </c>
      <c r="AX6" s="309" t="s">
        <v>1251</v>
      </c>
      <c r="AY6" s="310" t="s">
        <v>1252</v>
      </c>
      <c r="AZ6" s="291" t="s">
        <v>1253</v>
      </c>
      <c r="BA6" s="23"/>
      <c r="BD6" s="217" t="s">
        <v>1093</v>
      </c>
      <c r="BE6" s="218" t="s">
        <v>882</v>
      </c>
      <c r="BF6" s="36" t="s">
        <v>954</v>
      </c>
      <c r="BG6" s="220" t="s">
        <v>955</v>
      </c>
      <c r="BH6" s="48" t="s">
        <v>883</v>
      </c>
      <c r="CC6" s="48" t="s">
        <v>957</v>
      </c>
      <c r="CD6" s="48" t="s">
        <v>1383</v>
      </c>
    </row>
    <row r="7" spans="1:82" ht="27" customHeight="1" x14ac:dyDescent="0.3">
      <c r="A7" s="224" t="s">
        <v>196</v>
      </c>
      <c r="B7" s="225" t="s">
        <v>1384</v>
      </c>
      <c r="C7" s="225">
        <v>5.2999999999999999E-2</v>
      </c>
      <c r="D7" s="263">
        <f>C7*D5</f>
        <v>1.03827</v>
      </c>
      <c r="E7" s="225">
        <v>2.4E-2</v>
      </c>
      <c r="F7" s="263">
        <f>E7*F5</f>
        <v>0.47016000000000002</v>
      </c>
      <c r="G7" s="227">
        <f t="shared" ref="G7:G13" si="0">D7+F7</f>
        <v>1.5084300000000002</v>
      </c>
      <c r="H7" s="228">
        <v>0.1</v>
      </c>
      <c r="I7" s="227">
        <f>H7*PARÂMETROS!$E$22</f>
        <v>4.2370000000000001</v>
      </c>
      <c r="J7" s="228">
        <v>3.0000000000000001E-3</v>
      </c>
      <c r="K7" s="227">
        <f>J7*PARÂMETROS!$E$22</f>
        <v>0.12711</v>
      </c>
      <c r="L7" s="228">
        <v>2E-3</v>
      </c>
      <c r="M7" s="230">
        <f>L7*PARÂMETROS!$E$8</f>
        <v>6.1780000000000002E-2</v>
      </c>
      <c r="N7" s="228">
        <f t="shared" ref="N7:N13" si="1">H7*0.01</f>
        <v>1E-3</v>
      </c>
      <c r="O7" s="230">
        <f>N7*PARÂMETROS!$E$8</f>
        <v>3.0890000000000001E-2</v>
      </c>
      <c r="P7" s="228">
        <f t="shared" ref="P7:P13" si="2">0.1 * J7</f>
        <v>3.0000000000000003E-4</v>
      </c>
      <c r="Q7" s="230">
        <f>P7*PARÂMETROS!$E$8</f>
        <v>9.2670000000000009E-3</v>
      </c>
      <c r="R7" s="228">
        <f t="shared" ref="R7:R13" si="3">0.1 * N7</f>
        <v>1E-4</v>
      </c>
      <c r="S7" s="230">
        <f>R7*PARÂMETROS!$E$8</f>
        <v>3.0890000000000002E-3</v>
      </c>
      <c r="T7" s="511">
        <v>35.15</v>
      </c>
      <c r="U7" s="511"/>
      <c r="V7" s="299">
        <v>8.5000000000000006E-2</v>
      </c>
      <c r="W7" s="345">
        <v>4.8449999999999998</v>
      </c>
      <c r="X7" s="230">
        <v>104.5</v>
      </c>
      <c r="Y7" s="299">
        <v>0.04</v>
      </c>
      <c r="Z7" s="345">
        <v>2.2000000000000002</v>
      </c>
      <c r="AA7" s="231">
        <v>0.2</v>
      </c>
      <c r="AB7" s="345">
        <v>0.6</v>
      </c>
      <c r="AC7" s="311">
        <v>2</v>
      </c>
      <c r="AD7" s="345">
        <v>1.9</v>
      </c>
      <c r="AE7" s="228">
        <f>D7*0.01</f>
        <v>1.03827E-2</v>
      </c>
      <c r="AF7" s="230">
        <f>AE7*PARÂMETROS!$E$8</f>
        <v>0.32072160300000002</v>
      </c>
      <c r="AG7" s="229">
        <f>F7*0.01</f>
        <v>4.7016000000000002E-3</v>
      </c>
      <c r="AH7" s="230">
        <f>AG7*PARÂMETROS!$E$8</f>
        <v>0.145232424</v>
      </c>
      <c r="AI7" s="23"/>
      <c r="AJ7" s="23"/>
      <c r="AK7" s="23"/>
      <c r="AL7" s="232" t="s">
        <v>1385</v>
      </c>
      <c r="AM7" s="264">
        <f t="shared" ref="AM7:AM13" si="4">SUM(AH7+AF7+AD7+AB7+Z7+X7+W7+T7+S7+Q7+O7+M7+K7+I7+G7)</f>
        <v>155.63852002699997</v>
      </c>
      <c r="AN7" s="23"/>
      <c r="AO7" s="224" t="s">
        <v>196</v>
      </c>
      <c r="AP7" s="291">
        <f>PARÂMETROS!$H$3</f>
        <v>40</v>
      </c>
      <c r="AQ7" s="267">
        <v>6.9444444444444397E-3</v>
      </c>
      <c r="AR7" s="267">
        <v>6.9444444444444397E-3</v>
      </c>
      <c r="AS7" s="267">
        <v>1.38888888888889E-2</v>
      </c>
      <c r="AT7" s="267">
        <v>2.0833333333333301E-2</v>
      </c>
      <c r="AU7" s="267"/>
      <c r="AV7" s="267">
        <v>2.0833333333333301E-2</v>
      </c>
      <c r="AW7" s="267">
        <v>6.9444444444444397E-3</v>
      </c>
      <c r="AX7" s="267">
        <v>3.125E-2</v>
      </c>
      <c r="AY7" s="292">
        <f t="shared" ref="AY7:AY13" si="5">AW7+AX7+AV7+AU7+AS7+AR7+AQ7+AT7</f>
        <v>0.10763888888888881</v>
      </c>
      <c r="AZ7" s="291">
        <f t="shared" ref="AZ7:AZ13" si="6">AP7*AY7*24</f>
        <v>103.33333333333326</v>
      </c>
      <c r="BA7" s="23"/>
      <c r="BD7" s="314">
        <f t="shared" ref="BD7:BD13" si="7">AM7</f>
        <v>155.63852002699997</v>
      </c>
      <c r="BE7" s="314">
        <f t="shared" ref="BE7:BE13" si="8">AZ7</f>
        <v>103.33333333333326</v>
      </c>
      <c r="BF7" s="275">
        <v>1</v>
      </c>
      <c r="BG7" s="315">
        <f t="shared" ref="BG7:BG13" si="9">IFERROR(BE7/BF7,0)</f>
        <v>103.33333333333326</v>
      </c>
      <c r="BH7" s="293">
        <f t="shared" ref="BH7:BH13" si="10">BG7+BD7</f>
        <v>258.97185336033323</v>
      </c>
      <c r="CC7" s="293">
        <v>80</v>
      </c>
      <c r="CD7" s="293">
        <f t="shared" ref="CD7:CD13" si="11">BH7+CC7</f>
        <v>338.97185336033323</v>
      </c>
    </row>
    <row r="8" spans="1:82" ht="27" customHeight="1" x14ac:dyDescent="0.3">
      <c r="A8" s="224" t="s">
        <v>200</v>
      </c>
      <c r="B8" s="225" t="s">
        <v>1384</v>
      </c>
      <c r="C8" s="228">
        <v>0.1</v>
      </c>
      <c r="D8" s="263">
        <f>C8*D5</f>
        <v>1.9590000000000001</v>
      </c>
      <c r="E8" s="228">
        <v>4.4999999999999998E-2</v>
      </c>
      <c r="F8" s="263">
        <f>E8*F5</f>
        <v>0.88154999999999994</v>
      </c>
      <c r="G8" s="227">
        <f t="shared" si="0"/>
        <v>2.8405499999999999</v>
      </c>
      <c r="H8" s="228">
        <v>0.14000000000000001</v>
      </c>
      <c r="I8" s="227">
        <f>H8*PARÂMETROS!$E$22</f>
        <v>5.9318</v>
      </c>
      <c r="J8" s="228">
        <v>6.0000000000000001E-3</v>
      </c>
      <c r="K8" s="227">
        <f>J8*PARÂMETROS!$E$22</f>
        <v>0.25422</v>
      </c>
      <c r="L8" s="228">
        <v>2E-3</v>
      </c>
      <c r="M8" s="230">
        <f>L8*PARÂMETROS!$E$8</f>
        <v>6.1780000000000002E-2</v>
      </c>
      <c r="N8" s="228">
        <f t="shared" si="1"/>
        <v>1.4000000000000002E-3</v>
      </c>
      <c r="O8" s="230">
        <f>N8*PARÂMETROS!$E$8</f>
        <v>4.3246000000000007E-2</v>
      </c>
      <c r="P8" s="228">
        <f t="shared" si="2"/>
        <v>6.0000000000000006E-4</v>
      </c>
      <c r="Q8" s="230">
        <f>P8*PARÂMETROS!$E$8</f>
        <v>1.8534000000000002E-2</v>
      </c>
      <c r="R8" s="228">
        <f t="shared" si="3"/>
        <v>1.4000000000000001E-4</v>
      </c>
      <c r="S8" s="230">
        <f>R8*PARÂMETROS!$E$8</f>
        <v>4.3246000000000005E-3</v>
      </c>
      <c r="T8" s="511">
        <v>35.15</v>
      </c>
      <c r="U8" s="511"/>
      <c r="V8" s="299">
        <v>0.13</v>
      </c>
      <c r="W8" s="345">
        <v>7.41</v>
      </c>
      <c r="X8" s="230">
        <v>116.78</v>
      </c>
      <c r="Y8" s="299">
        <v>0.08</v>
      </c>
      <c r="Z8" s="345">
        <v>4.4000000000000004</v>
      </c>
      <c r="AA8" s="231">
        <v>0.2</v>
      </c>
      <c r="AB8" s="345">
        <v>0.6</v>
      </c>
      <c r="AC8" s="311">
        <v>2</v>
      </c>
      <c r="AD8" s="345">
        <v>1.9</v>
      </c>
      <c r="AE8" s="228">
        <f>D8*0.01</f>
        <v>1.959E-2</v>
      </c>
      <c r="AF8" s="230">
        <f>AE8*PARÂMETROS!$E$8</f>
        <v>0.60513510000000004</v>
      </c>
      <c r="AG8" s="229">
        <f>F8*0.01</f>
        <v>8.8155000000000004E-3</v>
      </c>
      <c r="AH8" s="230">
        <f>AG8*PARÂMETROS!$E$8</f>
        <v>0.27231079499999999</v>
      </c>
      <c r="AI8" s="23"/>
      <c r="AJ8" s="23"/>
      <c r="AK8" s="23"/>
      <c r="AL8" s="232" t="s">
        <v>1386</v>
      </c>
      <c r="AM8" s="264">
        <f t="shared" si="4"/>
        <v>176.27190049500001</v>
      </c>
      <c r="AN8" s="23"/>
      <c r="AO8" s="224" t="s">
        <v>200</v>
      </c>
      <c r="AP8" s="291">
        <f>PARÂMETROS!$H$3</f>
        <v>40</v>
      </c>
      <c r="AQ8" s="267">
        <v>6.9444444444444397E-3</v>
      </c>
      <c r="AR8" s="267">
        <v>6.9444444444444397E-3</v>
      </c>
      <c r="AS8" s="267">
        <v>1.38888888888889E-2</v>
      </c>
      <c r="AT8" s="267">
        <v>2.0833333333333301E-2</v>
      </c>
      <c r="AU8" s="267"/>
      <c r="AV8" s="267">
        <v>2.0833333333333301E-2</v>
      </c>
      <c r="AW8" s="267">
        <v>6.9444444444444397E-3</v>
      </c>
      <c r="AX8" s="267">
        <v>3.125E-2</v>
      </c>
      <c r="AY8" s="292">
        <f t="shared" si="5"/>
        <v>0.10763888888888881</v>
      </c>
      <c r="AZ8" s="291">
        <f t="shared" si="6"/>
        <v>103.33333333333326</v>
      </c>
      <c r="BA8" s="23"/>
      <c r="BD8" s="314">
        <f t="shared" si="7"/>
        <v>176.27190049500001</v>
      </c>
      <c r="BE8" s="314">
        <f t="shared" si="8"/>
        <v>103.33333333333326</v>
      </c>
      <c r="BF8" s="275">
        <v>1</v>
      </c>
      <c r="BG8" s="315">
        <f t="shared" si="9"/>
        <v>103.33333333333326</v>
      </c>
      <c r="BH8" s="293">
        <f t="shared" si="10"/>
        <v>279.60523382833327</v>
      </c>
      <c r="CC8" s="293">
        <v>80</v>
      </c>
      <c r="CD8" s="293">
        <f t="shared" si="11"/>
        <v>359.60523382833327</v>
      </c>
    </row>
    <row r="9" spans="1:82" ht="27" customHeight="1" x14ac:dyDescent="0.3">
      <c r="A9" s="224" t="s">
        <v>185</v>
      </c>
      <c r="B9" s="225" t="s">
        <v>1384</v>
      </c>
      <c r="C9" s="228">
        <v>0.16800000000000001</v>
      </c>
      <c r="D9" s="263">
        <f>C9*D5</f>
        <v>3.2911200000000003</v>
      </c>
      <c r="E9" s="228">
        <v>7.5999999999999998E-2</v>
      </c>
      <c r="F9" s="263">
        <f>E9*F5</f>
        <v>1.4888399999999999</v>
      </c>
      <c r="G9" s="227">
        <f t="shared" si="0"/>
        <v>4.77996</v>
      </c>
      <c r="H9" s="228">
        <v>0.26</v>
      </c>
      <c r="I9" s="227">
        <f>H9*PARÂMETROS!$E$22</f>
        <v>11.0162</v>
      </c>
      <c r="J9" s="228">
        <v>1.0999999999999999E-2</v>
      </c>
      <c r="K9" s="227">
        <f>J9*PARÂMETROS!$E$22</f>
        <v>0.46606999999999993</v>
      </c>
      <c r="L9" s="228">
        <v>2E-3</v>
      </c>
      <c r="M9" s="230">
        <f>L9*PARÂMETROS!$E$8</f>
        <v>6.1780000000000002E-2</v>
      </c>
      <c r="N9" s="228">
        <f t="shared" si="1"/>
        <v>2.6000000000000003E-3</v>
      </c>
      <c r="O9" s="230">
        <f>N9*PARÂMETROS!$E$8</f>
        <v>8.031400000000001E-2</v>
      </c>
      <c r="P9" s="228">
        <f t="shared" si="2"/>
        <v>1.1000000000000001E-3</v>
      </c>
      <c r="Q9" s="230">
        <f>P9*PARÂMETROS!$E$8</f>
        <v>3.3979000000000002E-2</v>
      </c>
      <c r="R9" s="228">
        <f t="shared" si="3"/>
        <v>2.6000000000000003E-4</v>
      </c>
      <c r="S9" s="230">
        <f>R9*PARÂMETROS!$E$8</f>
        <v>8.031400000000001E-3</v>
      </c>
      <c r="T9" s="511">
        <v>35.15</v>
      </c>
      <c r="U9" s="511"/>
      <c r="V9" s="299">
        <v>0.17499999999999999</v>
      </c>
      <c r="W9" s="345">
        <v>9.9749999999999996</v>
      </c>
      <c r="X9" s="230">
        <v>145</v>
      </c>
      <c r="Y9" s="299">
        <v>0.08</v>
      </c>
      <c r="Z9" s="345">
        <v>4.4000000000000004</v>
      </c>
      <c r="AA9" s="231">
        <v>0.2</v>
      </c>
      <c r="AB9" s="345">
        <v>0.6</v>
      </c>
      <c r="AC9" s="311">
        <v>2</v>
      </c>
      <c r="AD9" s="345">
        <v>1.9</v>
      </c>
      <c r="AE9" s="228">
        <f>D9*0.01</f>
        <v>3.2911200000000002E-2</v>
      </c>
      <c r="AF9" s="230">
        <f>AE9*PARÂMETROS!$E$8</f>
        <v>1.016626968</v>
      </c>
      <c r="AG9" s="229">
        <f>F9*0.01</f>
        <v>1.48884E-2</v>
      </c>
      <c r="AH9" s="230">
        <f>AG9*PARÂMETROS!$E$8</f>
        <v>0.45990267600000001</v>
      </c>
      <c r="AI9" s="23"/>
      <c r="AJ9" s="23"/>
      <c r="AK9" s="23"/>
      <c r="AL9" s="232" t="s">
        <v>1387</v>
      </c>
      <c r="AM9" s="264">
        <f t="shared" si="4"/>
        <v>214.94786404399994</v>
      </c>
      <c r="AN9" s="23"/>
      <c r="AO9" s="224" t="s">
        <v>185</v>
      </c>
      <c r="AP9" s="291">
        <f>PARÂMETROS!$H$3</f>
        <v>40</v>
      </c>
      <c r="AQ9" s="267">
        <v>6.9444444444444397E-3</v>
      </c>
      <c r="AR9" s="267">
        <v>6.9444444444444397E-3</v>
      </c>
      <c r="AS9" s="267">
        <v>1.38888888888889E-2</v>
      </c>
      <c r="AT9" s="267">
        <v>2.0833333333333301E-2</v>
      </c>
      <c r="AU9" s="267"/>
      <c r="AV9" s="267">
        <v>2.0833333333333301E-2</v>
      </c>
      <c r="AW9" s="267">
        <v>6.9444444444444397E-3</v>
      </c>
      <c r="AX9" s="267">
        <v>3.125E-2</v>
      </c>
      <c r="AY9" s="292">
        <f t="shared" si="5"/>
        <v>0.10763888888888881</v>
      </c>
      <c r="AZ9" s="291">
        <f t="shared" si="6"/>
        <v>103.33333333333326</v>
      </c>
      <c r="BA9" s="23"/>
      <c r="BC9" s="193"/>
      <c r="BD9" s="314">
        <f t="shared" si="7"/>
        <v>214.94786404399994</v>
      </c>
      <c r="BE9" s="314">
        <f t="shared" si="8"/>
        <v>103.33333333333326</v>
      </c>
      <c r="BF9" s="275">
        <v>1</v>
      </c>
      <c r="BG9" s="315">
        <f t="shared" si="9"/>
        <v>103.33333333333326</v>
      </c>
      <c r="BH9" s="293">
        <f t="shared" si="10"/>
        <v>318.28119737733323</v>
      </c>
      <c r="BI9" s="142"/>
      <c r="CC9" s="293">
        <v>80</v>
      </c>
      <c r="CD9" s="293">
        <f t="shared" si="11"/>
        <v>398.28119737733323</v>
      </c>
    </row>
    <row r="10" spans="1:82" ht="25.5" customHeight="1" x14ac:dyDescent="0.3">
      <c r="A10" s="224" t="s">
        <v>39</v>
      </c>
      <c r="B10" s="225" t="s">
        <v>1384</v>
      </c>
      <c r="C10" s="228">
        <v>0.624</v>
      </c>
      <c r="D10" s="263">
        <f>C10*D5</f>
        <v>12.224159999999999</v>
      </c>
      <c r="E10" s="228">
        <v>0.28100000000000003</v>
      </c>
      <c r="F10" s="263">
        <f>E10*F5</f>
        <v>5.5047900000000007</v>
      </c>
      <c r="G10" s="227">
        <f t="shared" si="0"/>
        <v>17.728950000000001</v>
      </c>
      <c r="H10" s="228">
        <v>0.5</v>
      </c>
      <c r="I10" s="227">
        <f>H10*PARÂMETROS!$E$22</f>
        <v>21.184999999999999</v>
      </c>
      <c r="J10" s="228">
        <v>2.5000000000000001E-2</v>
      </c>
      <c r="K10" s="227">
        <f>J10*PARÂMETROS!$E$22</f>
        <v>1.05925</v>
      </c>
      <c r="L10" s="228">
        <v>2E-3</v>
      </c>
      <c r="M10" s="230">
        <f>L10*PARÂMETROS!$E$8</f>
        <v>6.1780000000000002E-2</v>
      </c>
      <c r="N10" s="228">
        <f t="shared" si="1"/>
        <v>5.0000000000000001E-3</v>
      </c>
      <c r="O10" s="230">
        <f>N10*PARÂMETROS!$E$8</f>
        <v>0.15445</v>
      </c>
      <c r="P10" s="228">
        <f t="shared" si="2"/>
        <v>2.5000000000000005E-3</v>
      </c>
      <c r="Q10" s="230">
        <f>P10*PARÂMETROS!$E$8</f>
        <v>7.7225000000000016E-2</v>
      </c>
      <c r="R10" s="228">
        <f t="shared" si="3"/>
        <v>5.0000000000000001E-4</v>
      </c>
      <c r="S10" s="230">
        <f>R10*PARÂMETROS!$E$8</f>
        <v>1.5445E-2</v>
      </c>
      <c r="T10" s="511">
        <v>35.15</v>
      </c>
      <c r="U10" s="511"/>
      <c r="V10" s="299">
        <v>0.28999999999999998</v>
      </c>
      <c r="W10" s="345">
        <v>16.53</v>
      </c>
      <c r="X10" s="230">
        <v>191.06</v>
      </c>
      <c r="Y10" s="299">
        <v>0.32</v>
      </c>
      <c r="Z10" s="345">
        <v>17.600000000000001</v>
      </c>
      <c r="AA10" s="231">
        <v>0.2</v>
      </c>
      <c r="AB10" s="345">
        <v>0.6</v>
      </c>
      <c r="AC10" s="311">
        <v>2</v>
      </c>
      <c r="AD10" s="345">
        <v>1.9</v>
      </c>
      <c r="AE10" s="228">
        <v>0.1</v>
      </c>
      <c r="AF10" s="230">
        <f>AE10*PARÂMETROS!$E$8</f>
        <v>3.0890000000000004</v>
      </c>
      <c r="AG10" s="229">
        <v>0.1</v>
      </c>
      <c r="AH10" s="230">
        <f>AG10*PARÂMETROS!$E$8</f>
        <v>3.0890000000000004</v>
      </c>
      <c r="AI10" s="23"/>
      <c r="AJ10" s="23"/>
      <c r="AK10" s="23"/>
      <c r="AL10" s="232" t="s">
        <v>1388</v>
      </c>
      <c r="AM10" s="264">
        <f t="shared" si="4"/>
        <v>309.30009999999999</v>
      </c>
      <c r="AN10" s="23"/>
      <c r="AO10" s="224" t="s">
        <v>39</v>
      </c>
      <c r="AP10" s="291">
        <f>PARÂMETROS!$H$3</f>
        <v>40</v>
      </c>
      <c r="AQ10" s="267">
        <v>6.9444444444444397E-3</v>
      </c>
      <c r="AR10" s="267">
        <v>6.9444444444444397E-3</v>
      </c>
      <c r="AS10" s="267">
        <v>1.38888888888889E-2</v>
      </c>
      <c r="AT10" s="267">
        <v>2.0833333333333301E-2</v>
      </c>
      <c r="AU10" s="267"/>
      <c r="AV10" s="267">
        <v>2.0833333333333301E-2</v>
      </c>
      <c r="AW10" s="267">
        <v>6.9444444444444397E-3</v>
      </c>
      <c r="AX10" s="267">
        <v>3.125E-2</v>
      </c>
      <c r="AY10" s="292">
        <f t="shared" si="5"/>
        <v>0.10763888888888881</v>
      </c>
      <c r="AZ10" s="291">
        <f t="shared" si="6"/>
        <v>103.33333333333326</v>
      </c>
      <c r="BA10" s="23"/>
      <c r="BC10" s="193"/>
      <c r="BD10" s="314">
        <f t="shared" si="7"/>
        <v>309.30009999999999</v>
      </c>
      <c r="BE10" s="314">
        <f t="shared" si="8"/>
        <v>103.33333333333326</v>
      </c>
      <c r="BF10" s="275">
        <v>1</v>
      </c>
      <c r="BG10" s="315">
        <f t="shared" si="9"/>
        <v>103.33333333333326</v>
      </c>
      <c r="BH10" s="293">
        <f t="shared" si="10"/>
        <v>412.63343333333324</v>
      </c>
      <c r="BI10" s="142"/>
      <c r="CC10" s="293">
        <v>80</v>
      </c>
      <c r="CD10" s="293">
        <f t="shared" si="11"/>
        <v>492.63343333333324</v>
      </c>
    </row>
    <row r="11" spans="1:82" ht="27" customHeight="1" x14ac:dyDescent="0.3">
      <c r="A11" s="224" t="s">
        <v>300</v>
      </c>
      <c r="B11" s="225" t="s">
        <v>1384</v>
      </c>
      <c r="C11" s="228">
        <v>0.94799999999999995</v>
      </c>
      <c r="D11" s="263">
        <f>C11*D5</f>
        <v>18.57132</v>
      </c>
      <c r="E11" s="228">
        <v>0.42699999999999999</v>
      </c>
      <c r="F11" s="263">
        <f>E11*F5</f>
        <v>8.3649299999999993</v>
      </c>
      <c r="G11" s="227">
        <f t="shared" si="0"/>
        <v>26.936250000000001</v>
      </c>
      <c r="H11" s="228">
        <v>0.65</v>
      </c>
      <c r="I11" s="227">
        <f>H11*PARÂMETROS!$E$22</f>
        <v>27.540499999999998</v>
      </c>
      <c r="J11" s="228">
        <v>3.2000000000000001E-2</v>
      </c>
      <c r="K11" s="227">
        <f>J11*PARÂMETROS!$E$22</f>
        <v>1.3558399999999999</v>
      </c>
      <c r="L11" s="228">
        <v>2E-3</v>
      </c>
      <c r="M11" s="230">
        <f>L11*PARÂMETROS!$E$8</f>
        <v>6.1780000000000002E-2</v>
      </c>
      <c r="N11" s="228">
        <f t="shared" si="1"/>
        <v>6.5000000000000006E-3</v>
      </c>
      <c r="O11" s="230">
        <f>N11*PARÂMETROS!$E$8</f>
        <v>0.20078500000000002</v>
      </c>
      <c r="P11" s="228">
        <f t="shared" si="2"/>
        <v>3.2000000000000002E-3</v>
      </c>
      <c r="Q11" s="230">
        <f>P11*PARÂMETROS!$E$8</f>
        <v>9.8848000000000005E-2</v>
      </c>
      <c r="R11" s="228">
        <f t="shared" si="3"/>
        <v>6.5000000000000008E-4</v>
      </c>
      <c r="S11" s="230">
        <f>R11*PARÂMETROS!$E$8</f>
        <v>2.0078500000000003E-2</v>
      </c>
      <c r="T11" s="511">
        <v>35.15</v>
      </c>
      <c r="U11" s="511"/>
      <c r="V11" s="299">
        <v>0.33</v>
      </c>
      <c r="W11" s="345">
        <v>18.809999999999999</v>
      </c>
      <c r="X11" s="230">
        <v>215.66</v>
      </c>
      <c r="Y11" s="299">
        <v>0.32</v>
      </c>
      <c r="Z11" s="345">
        <v>17.600000000000001</v>
      </c>
      <c r="AA11" s="231">
        <v>0.2</v>
      </c>
      <c r="AB11" s="345">
        <v>0.6</v>
      </c>
      <c r="AC11" s="311">
        <v>2</v>
      </c>
      <c r="AD11" s="345">
        <v>1.9</v>
      </c>
      <c r="AE11" s="228">
        <v>0.1</v>
      </c>
      <c r="AF11" s="230">
        <f>AE11*PARÂMETROS!$E$8</f>
        <v>3.0890000000000004</v>
      </c>
      <c r="AG11" s="229">
        <v>0.1</v>
      </c>
      <c r="AH11" s="230">
        <f>AG11*PARÂMETROS!$E$8</f>
        <v>3.0890000000000004</v>
      </c>
      <c r="AI11" s="23"/>
      <c r="AJ11" s="23"/>
      <c r="AK11" s="23"/>
      <c r="AL11" s="232" t="s">
        <v>1389</v>
      </c>
      <c r="AM11" s="264">
        <f t="shared" si="4"/>
        <v>352.11208149999993</v>
      </c>
      <c r="AN11" s="23"/>
      <c r="AO11" s="224" t="s">
        <v>300</v>
      </c>
      <c r="AP11" s="291">
        <f>PARÂMETROS!$H$3</f>
        <v>40</v>
      </c>
      <c r="AQ11" s="267">
        <v>6.9444444444444397E-3</v>
      </c>
      <c r="AR11" s="267">
        <v>6.9444444444444397E-3</v>
      </c>
      <c r="AS11" s="267">
        <v>1.38888888888889E-2</v>
      </c>
      <c r="AT11" s="267">
        <v>2.0833333333333301E-2</v>
      </c>
      <c r="AU11" s="267"/>
      <c r="AV11" s="267">
        <v>2.0833333333333301E-2</v>
      </c>
      <c r="AW11" s="267">
        <v>6.9444444444444397E-3</v>
      </c>
      <c r="AX11" s="267">
        <v>3.125E-2</v>
      </c>
      <c r="AY11" s="292">
        <f t="shared" si="5"/>
        <v>0.10763888888888881</v>
      </c>
      <c r="AZ11" s="291">
        <f t="shared" si="6"/>
        <v>103.33333333333326</v>
      </c>
      <c r="BA11" s="23"/>
      <c r="BD11" s="314">
        <f t="shared" si="7"/>
        <v>352.11208149999993</v>
      </c>
      <c r="BE11" s="314">
        <f t="shared" si="8"/>
        <v>103.33333333333326</v>
      </c>
      <c r="BF11" s="275">
        <v>1</v>
      </c>
      <c r="BG11" s="315">
        <f t="shared" si="9"/>
        <v>103.33333333333326</v>
      </c>
      <c r="BH11" s="293">
        <f t="shared" si="10"/>
        <v>455.44541483333319</v>
      </c>
      <c r="CC11" s="293">
        <v>80</v>
      </c>
      <c r="CD11" s="293">
        <f t="shared" si="11"/>
        <v>535.44541483333319</v>
      </c>
    </row>
    <row r="12" spans="1:82" ht="27" customHeight="1" x14ac:dyDescent="0.3">
      <c r="A12" s="224" t="s">
        <v>41</v>
      </c>
      <c r="B12" s="225" t="s">
        <v>1384</v>
      </c>
      <c r="C12" s="228">
        <v>1.3089999999999999</v>
      </c>
      <c r="D12" s="263">
        <f>C12*D5</f>
        <v>25.64331</v>
      </c>
      <c r="E12" s="228">
        <v>0.58899999999999997</v>
      </c>
      <c r="F12" s="263">
        <f>E12*F5</f>
        <v>11.538509999999999</v>
      </c>
      <c r="G12" s="227">
        <f t="shared" si="0"/>
        <v>37.181820000000002</v>
      </c>
      <c r="H12" s="228">
        <v>0.8</v>
      </c>
      <c r="I12" s="227">
        <f>H12*PARÂMETROS!$E$22</f>
        <v>33.896000000000001</v>
      </c>
      <c r="J12" s="228">
        <v>4.2000000000000003E-2</v>
      </c>
      <c r="K12" s="227">
        <f>J12*PARÂMETROS!$E$22</f>
        <v>1.7795399999999999</v>
      </c>
      <c r="L12" s="228">
        <v>2E-3</v>
      </c>
      <c r="M12" s="230">
        <f>L12*PARÂMETROS!$E$8</f>
        <v>6.1780000000000002E-2</v>
      </c>
      <c r="N12" s="228">
        <f t="shared" si="1"/>
        <v>8.0000000000000002E-3</v>
      </c>
      <c r="O12" s="230">
        <f>N12*PARÂMETROS!$E$8</f>
        <v>0.24712000000000001</v>
      </c>
      <c r="P12" s="228">
        <f t="shared" si="2"/>
        <v>4.2000000000000006E-3</v>
      </c>
      <c r="Q12" s="230">
        <f>P12*PARÂMETROS!$E$8</f>
        <v>0.12973800000000002</v>
      </c>
      <c r="R12" s="228">
        <f t="shared" si="3"/>
        <v>8.0000000000000004E-4</v>
      </c>
      <c r="S12" s="230">
        <f>R12*PARÂMETROS!$E$8</f>
        <v>2.4712000000000001E-2</v>
      </c>
      <c r="T12" s="511">
        <v>35.15</v>
      </c>
      <c r="U12" s="511"/>
      <c r="V12" s="299">
        <v>0.34</v>
      </c>
      <c r="W12" s="345">
        <v>19.38</v>
      </c>
      <c r="X12" s="230">
        <v>248.46</v>
      </c>
      <c r="Y12" s="299">
        <v>0.48</v>
      </c>
      <c r="Z12" s="345">
        <v>26.4</v>
      </c>
      <c r="AA12" s="231">
        <v>0.2</v>
      </c>
      <c r="AB12" s="345">
        <v>0.6</v>
      </c>
      <c r="AC12" s="311">
        <v>2</v>
      </c>
      <c r="AD12" s="345">
        <v>1.9</v>
      </c>
      <c r="AE12" s="228">
        <v>0.1</v>
      </c>
      <c r="AF12" s="230">
        <f>AE12*PARÂMETROS!$E$8</f>
        <v>3.0890000000000004</v>
      </c>
      <c r="AG12" s="229">
        <v>0.1</v>
      </c>
      <c r="AH12" s="230">
        <f>AG12*PARÂMETROS!$E$8</f>
        <v>3.0890000000000004</v>
      </c>
      <c r="AI12" s="23"/>
      <c r="AJ12" s="23"/>
      <c r="AK12" s="23"/>
      <c r="AL12" s="232" t="s">
        <v>1390</v>
      </c>
      <c r="AM12" s="264">
        <f t="shared" si="4"/>
        <v>411.38871</v>
      </c>
      <c r="AN12" s="23"/>
      <c r="AO12" s="224" t="s">
        <v>41</v>
      </c>
      <c r="AP12" s="291">
        <f>PARÂMETROS!$H$3</f>
        <v>40</v>
      </c>
      <c r="AQ12" s="267">
        <v>6.9444444444444397E-3</v>
      </c>
      <c r="AR12" s="267">
        <v>6.9444444444444397E-3</v>
      </c>
      <c r="AS12" s="267">
        <v>1.38888888888889E-2</v>
      </c>
      <c r="AT12" s="267">
        <v>2.0833333333333301E-2</v>
      </c>
      <c r="AU12" s="267"/>
      <c r="AV12" s="267">
        <v>2.0833333333333301E-2</v>
      </c>
      <c r="AW12" s="267">
        <v>6.9444444444444397E-3</v>
      </c>
      <c r="AX12" s="267">
        <v>3.125E-2</v>
      </c>
      <c r="AY12" s="292">
        <f t="shared" si="5"/>
        <v>0.10763888888888881</v>
      </c>
      <c r="AZ12" s="291">
        <f t="shared" si="6"/>
        <v>103.33333333333326</v>
      </c>
      <c r="BA12" s="23"/>
      <c r="BC12" s="193"/>
      <c r="BD12" s="314">
        <f t="shared" si="7"/>
        <v>411.38871</v>
      </c>
      <c r="BE12" s="314">
        <f t="shared" si="8"/>
        <v>103.33333333333326</v>
      </c>
      <c r="BF12" s="275">
        <v>1</v>
      </c>
      <c r="BG12" s="315">
        <f t="shared" si="9"/>
        <v>103.33333333333326</v>
      </c>
      <c r="BH12" s="293">
        <f t="shared" si="10"/>
        <v>514.7220433333332</v>
      </c>
      <c r="BI12" s="142"/>
      <c r="CC12" s="293">
        <v>80</v>
      </c>
      <c r="CD12" s="293">
        <f t="shared" si="11"/>
        <v>594.7220433333332</v>
      </c>
    </row>
    <row r="13" spans="1:82" ht="27" customHeight="1" x14ac:dyDescent="0.3">
      <c r="A13" s="224" t="s">
        <v>743</v>
      </c>
      <c r="B13" s="225" t="s">
        <v>1384</v>
      </c>
      <c r="C13" s="228">
        <v>2.774</v>
      </c>
      <c r="D13" s="263">
        <f>C13*D5</f>
        <v>54.342660000000002</v>
      </c>
      <c r="E13" s="228">
        <v>1.248</v>
      </c>
      <c r="F13" s="263">
        <f>E13*F5</f>
        <v>24.448319999999999</v>
      </c>
      <c r="G13" s="227">
        <f t="shared" si="0"/>
        <v>78.790980000000005</v>
      </c>
      <c r="H13" s="228">
        <v>1</v>
      </c>
      <c r="I13" s="227">
        <f>H13*PARÂMETROS!$E$22</f>
        <v>42.37</v>
      </c>
      <c r="J13" s="228">
        <v>6.5000000000000002E-2</v>
      </c>
      <c r="K13" s="227">
        <f>J13*PARÂMETROS!$E$22</f>
        <v>2.7540499999999999</v>
      </c>
      <c r="L13" s="228">
        <v>2E-3</v>
      </c>
      <c r="M13" s="230">
        <f>L13*PARÂMETROS!$E$8</f>
        <v>6.1780000000000002E-2</v>
      </c>
      <c r="N13" s="228">
        <f t="shared" si="1"/>
        <v>0.01</v>
      </c>
      <c r="O13" s="230">
        <f>N13*PARÂMETROS!$E$8</f>
        <v>0.30890000000000001</v>
      </c>
      <c r="P13" s="228">
        <f t="shared" si="2"/>
        <v>6.5000000000000006E-3</v>
      </c>
      <c r="Q13" s="230">
        <f>P13*PARÂMETROS!$E$8</f>
        <v>0.20078500000000002</v>
      </c>
      <c r="R13" s="228">
        <f t="shared" si="3"/>
        <v>1E-3</v>
      </c>
      <c r="S13" s="230">
        <f>R13*PARÂMETROS!$E$8</f>
        <v>3.0890000000000001E-2</v>
      </c>
      <c r="T13" s="511">
        <v>35.15</v>
      </c>
      <c r="U13" s="511"/>
      <c r="V13" s="299">
        <v>0.39</v>
      </c>
      <c r="W13" s="345">
        <v>22.23</v>
      </c>
      <c r="X13" s="230">
        <v>280.93</v>
      </c>
      <c r="Y13" s="299">
        <v>0.48</v>
      </c>
      <c r="Z13" s="345">
        <v>26.4</v>
      </c>
      <c r="AA13" s="231">
        <v>0.2</v>
      </c>
      <c r="AB13" s="345">
        <v>0.6</v>
      </c>
      <c r="AC13" s="311">
        <v>2</v>
      </c>
      <c r="AD13" s="345">
        <v>1.9</v>
      </c>
      <c r="AE13" s="228">
        <v>0.1</v>
      </c>
      <c r="AF13" s="230">
        <f>AE13*PARÂMETROS!$E$8</f>
        <v>3.0890000000000004</v>
      </c>
      <c r="AG13" s="228">
        <v>0.1</v>
      </c>
      <c r="AH13" s="230">
        <f>AG13*PARÂMETROS!$E$8</f>
        <v>3.0890000000000004</v>
      </c>
      <c r="AI13" s="23"/>
      <c r="AJ13" s="23"/>
      <c r="AK13" s="23"/>
      <c r="AL13" s="232" t="s">
        <v>1391</v>
      </c>
      <c r="AM13" s="264">
        <f t="shared" si="4"/>
        <v>497.90538500000002</v>
      </c>
      <c r="AN13" s="23"/>
      <c r="AO13" s="224" t="s">
        <v>43</v>
      </c>
      <c r="AP13" s="291">
        <f>PARÂMETROS!$H$3</f>
        <v>40</v>
      </c>
      <c r="AQ13" s="267">
        <v>1.0416666666666701E-2</v>
      </c>
      <c r="AR13" s="267">
        <v>1.38888888888889E-2</v>
      </c>
      <c r="AS13" s="267">
        <v>2.7777777777777801E-2</v>
      </c>
      <c r="AT13" s="267">
        <v>2.0833333333333301E-2</v>
      </c>
      <c r="AU13" s="267">
        <v>6.9444444444444397E-3</v>
      </c>
      <c r="AV13" s="267">
        <v>2.0833333333333301E-2</v>
      </c>
      <c r="AW13" s="267">
        <v>6.9444444444444397E-3</v>
      </c>
      <c r="AX13" s="267">
        <v>3.125E-2</v>
      </c>
      <c r="AY13" s="292">
        <f t="shared" si="5"/>
        <v>0.1388888888888889</v>
      </c>
      <c r="AZ13" s="291">
        <f t="shared" si="6"/>
        <v>133.33333333333331</v>
      </c>
      <c r="BA13" s="23"/>
      <c r="BD13" s="314">
        <f t="shared" si="7"/>
        <v>497.90538500000002</v>
      </c>
      <c r="BE13" s="314">
        <f t="shared" si="8"/>
        <v>133.33333333333331</v>
      </c>
      <c r="BF13" s="275">
        <v>1</v>
      </c>
      <c r="BG13" s="315">
        <f t="shared" si="9"/>
        <v>133.33333333333331</v>
      </c>
      <c r="BH13" s="293">
        <f t="shared" si="10"/>
        <v>631.23871833333328</v>
      </c>
      <c r="CC13" s="293">
        <v>80</v>
      </c>
      <c r="CD13" s="293">
        <f t="shared" si="11"/>
        <v>711.23871833333328</v>
      </c>
    </row>
    <row r="14" spans="1:82" s="223" customFormat="1" ht="23.25" customHeight="1" x14ac:dyDescent="0.3">
      <c r="A14" s="43"/>
      <c r="B14" s="43"/>
      <c r="C14" s="43"/>
      <c r="D14" s="246"/>
      <c r="E14" s="43"/>
      <c r="F14" s="246"/>
      <c r="G14" s="246"/>
      <c r="H14" s="43"/>
      <c r="I14" s="43"/>
      <c r="J14" s="246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23"/>
      <c r="BC14" s="23"/>
      <c r="BD14" s="23"/>
      <c r="BE14" s="23"/>
      <c r="BF14" s="23"/>
      <c r="BG14" s="23"/>
      <c r="BH14" s="23"/>
      <c r="BI14" s="142"/>
      <c r="BJ14" s="23"/>
      <c r="BK14" s="23"/>
      <c r="BL14" s="23"/>
      <c r="BM14" s="23"/>
      <c r="BN14" s="23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</row>
    <row r="15" spans="1:82" s="223" customFormat="1" ht="23.25" customHeight="1" x14ac:dyDescent="0.3">
      <c r="A15" s="43"/>
      <c r="B15" s="43"/>
      <c r="C15" s="43"/>
      <c r="D15" s="246"/>
      <c r="E15" s="43"/>
      <c r="F15" s="246"/>
      <c r="G15" s="246"/>
      <c r="H15" s="43"/>
      <c r="I15" s="43"/>
      <c r="J15" s="246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23"/>
      <c r="BC15" s="23"/>
      <c r="BD15" s="23"/>
      <c r="BE15" s="23"/>
      <c r="BF15" s="23"/>
      <c r="BG15" s="23"/>
      <c r="BH15" s="23"/>
      <c r="BI15" s="142"/>
      <c r="BJ15" s="23"/>
      <c r="BK15" s="23"/>
      <c r="BL15" s="23"/>
      <c r="BM15" s="23"/>
      <c r="BN15" s="23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</row>
    <row r="16" spans="1:82" ht="23.25" customHeight="1" x14ac:dyDescent="0.3">
      <c r="A16" s="43"/>
      <c r="B16" s="43"/>
      <c r="C16" s="43"/>
      <c r="D16" s="246"/>
      <c r="E16" s="43"/>
      <c r="F16" s="246"/>
      <c r="G16" s="246"/>
      <c r="H16" s="43"/>
      <c r="I16" s="43"/>
      <c r="J16" s="246"/>
      <c r="K16" s="43"/>
      <c r="L16" s="43"/>
      <c r="M16" s="43"/>
      <c r="N16" s="43"/>
    </row>
    <row r="17" spans="1:34" ht="23.25" customHeight="1" x14ac:dyDescent="0.3">
      <c r="A17" s="43"/>
      <c r="B17" s="43"/>
      <c r="C17" s="43"/>
      <c r="D17" s="246"/>
      <c r="E17" s="43"/>
      <c r="F17" s="246"/>
      <c r="G17" s="246"/>
      <c r="H17" s="43"/>
      <c r="I17" s="43"/>
      <c r="J17" s="246"/>
      <c r="K17" s="43"/>
      <c r="L17" s="43"/>
      <c r="M17" s="43"/>
      <c r="N17" s="43"/>
    </row>
    <row r="18" spans="1:34" ht="23.25" customHeight="1" x14ac:dyDescent="0.3">
      <c r="A18" s="43"/>
      <c r="B18" s="43"/>
      <c r="C18" s="43"/>
      <c r="D18" s="246"/>
      <c r="E18" s="43"/>
      <c r="F18" s="246"/>
      <c r="G18" s="246"/>
      <c r="H18" s="43"/>
      <c r="I18" s="43"/>
      <c r="J18" s="246"/>
      <c r="K18" s="43"/>
      <c r="L18" s="43"/>
      <c r="M18" s="43"/>
      <c r="N18" s="43"/>
      <c r="AH18" s="316"/>
    </row>
    <row r="19" spans="1:34" ht="23.25" customHeight="1" x14ac:dyDescent="0.3">
      <c r="A19" s="43"/>
      <c r="B19" s="43"/>
      <c r="C19" s="43"/>
      <c r="D19" s="246"/>
      <c r="E19" s="43"/>
      <c r="F19" s="246"/>
      <c r="G19" s="246"/>
      <c r="H19" s="43"/>
      <c r="I19" s="43"/>
      <c r="J19" s="246"/>
      <c r="K19" s="43"/>
      <c r="L19" s="43"/>
      <c r="M19" s="43"/>
      <c r="N19" s="43"/>
      <c r="AH19" s="316">
        <f>AH13+AF13+AD13+AB13+Z13+W13+T13</f>
        <v>92.457999999999998</v>
      </c>
    </row>
    <row r="20" spans="1:34" ht="23.25" customHeight="1" x14ac:dyDescent="0.3">
      <c r="A20" s="43"/>
      <c r="B20" s="43"/>
      <c r="C20" s="43"/>
      <c r="D20" s="246"/>
      <c r="E20" s="43"/>
      <c r="F20" s="246"/>
      <c r="G20" s="246"/>
      <c r="H20" s="43"/>
      <c r="I20" s="43"/>
      <c r="J20" s="246"/>
      <c r="K20" s="43"/>
      <c r="L20" s="43"/>
      <c r="M20" s="43"/>
      <c r="N20" s="43"/>
      <c r="AH20" s="316"/>
    </row>
    <row r="21" spans="1:34" ht="23.25" customHeight="1" x14ac:dyDescent="0.3">
      <c r="A21" s="43"/>
      <c r="B21" s="43"/>
      <c r="C21" s="43"/>
      <c r="D21" s="246"/>
      <c r="E21" s="43"/>
      <c r="F21" s="246"/>
      <c r="G21" s="246"/>
      <c r="H21" s="43"/>
      <c r="I21" s="43"/>
      <c r="J21" s="246"/>
      <c r="K21" s="43"/>
      <c r="L21" s="43"/>
      <c r="M21" s="43"/>
      <c r="N21" s="43"/>
      <c r="AH21" s="316"/>
    </row>
    <row r="22" spans="1:34" ht="23.25" customHeight="1" x14ac:dyDescent="0.3">
      <c r="A22" s="43"/>
      <c r="B22" s="43"/>
      <c r="C22" s="43"/>
      <c r="D22" s="246"/>
      <c r="E22" s="43"/>
      <c r="F22" s="246"/>
      <c r="G22" s="246"/>
      <c r="H22" s="43"/>
      <c r="I22" s="43"/>
      <c r="J22" s="246"/>
      <c r="K22" s="43"/>
      <c r="L22" s="43"/>
      <c r="M22" s="43"/>
      <c r="N22" s="43"/>
    </row>
    <row r="23" spans="1:34" ht="23.25" customHeight="1" x14ac:dyDescent="0.3">
      <c r="A23" s="43"/>
      <c r="B23" s="43"/>
      <c r="C23" s="43"/>
      <c r="D23" s="246"/>
      <c r="E23" s="43"/>
      <c r="F23" s="246"/>
      <c r="G23" s="246"/>
      <c r="H23" s="43"/>
      <c r="I23" s="43"/>
      <c r="J23" s="246"/>
      <c r="K23" s="43"/>
      <c r="L23" s="43"/>
      <c r="M23" s="43"/>
      <c r="N23" s="43"/>
    </row>
    <row r="24" spans="1:34" ht="23.25" customHeight="1" x14ac:dyDescent="0.3">
      <c r="A24" s="43"/>
      <c r="B24" s="43"/>
      <c r="C24" s="43"/>
      <c r="D24" s="246"/>
      <c r="E24" s="43"/>
      <c r="F24" s="246"/>
      <c r="G24" s="246"/>
      <c r="H24" s="43"/>
      <c r="I24" s="43"/>
      <c r="J24" s="246"/>
      <c r="K24" s="43"/>
      <c r="L24" s="43"/>
      <c r="M24" s="43"/>
      <c r="N24" s="43"/>
    </row>
    <row r="25" spans="1:34" ht="23.25" customHeight="1" x14ac:dyDescent="0.3">
      <c r="A25" s="43"/>
      <c r="B25" s="43"/>
      <c r="C25" s="43"/>
      <c r="D25" s="246"/>
      <c r="E25" s="43"/>
      <c r="F25" s="246"/>
      <c r="G25" s="246"/>
      <c r="H25" s="43"/>
      <c r="I25" s="43"/>
      <c r="J25" s="246"/>
      <c r="K25" s="43"/>
      <c r="L25" s="43"/>
      <c r="M25" s="43"/>
      <c r="N25" s="43"/>
    </row>
    <row r="26" spans="1:34" ht="23.25" customHeight="1" x14ac:dyDescent="0.3">
      <c r="A26" s="43"/>
      <c r="B26" s="43"/>
      <c r="C26" s="43"/>
      <c r="D26" s="246"/>
      <c r="E26" s="43"/>
      <c r="F26" s="246"/>
      <c r="G26" s="246"/>
      <c r="H26" s="43"/>
      <c r="I26" s="43"/>
      <c r="J26" s="246"/>
      <c r="K26" s="43"/>
      <c r="L26" s="43"/>
      <c r="M26" s="43"/>
      <c r="N26" s="43"/>
    </row>
    <row r="27" spans="1:34" ht="23.25" customHeight="1" x14ac:dyDescent="0.3">
      <c r="A27" s="43"/>
      <c r="B27" s="43"/>
      <c r="C27" s="43"/>
      <c r="D27" s="246"/>
      <c r="E27" s="43"/>
      <c r="F27" s="246"/>
      <c r="G27" s="246"/>
      <c r="H27" s="43"/>
      <c r="I27" s="43"/>
      <c r="J27" s="246"/>
      <c r="K27" s="43"/>
      <c r="L27" s="43"/>
      <c r="M27" s="43"/>
      <c r="N27" s="43"/>
    </row>
    <row r="28" spans="1:34" ht="23.25" customHeight="1" x14ac:dyDescent="0.3">
      <c r="A28" s="43"/>
      <c r="B28" s="43"/>
      <c r="C28" s="43"/>
      <c r="D28" s="246"/>
      <c r="E28" s="43"/>
      <c r="F28" s="246"/>
      <c r="G28" s="246"/>
      <c r="H28" s="43"/>
      <c r="I28" s="43"/>
      <c r="J28" s="246"/>
      <c r="K28" s="43"/>
      <c r="L28" s="43"/>
      <c r="M28" s="43"/>
      <c r="N28" s="43"/>
    </row>
    <row r="29" spans="1:34" ht="23.25" customHeight="1" x14ac:dyDescent="0.3">
      <c r="A29" s="43"/>
      <c r="B29" s="43"/>
      <c r="C29" s="43"/>
      <c r="D29" s="246"/>
      <c r="E29" s="43"/>
      <c r="F29" s="246"/>
      <c r="G29" s="246"/>
      <c r="H29" s="43"/>
      <c r="I29" s="43"/>
      <c r="J29" s="246"/>
      <c r="K29" s="43"/>
      <c r="L29" s="43"/>
      <c r="M29" s="43"/>
      <c r="N29" s="43"/>
    </row>
    <row r="30" spans="1:34" ht="23.25" customHeight="1" x14ac:dyDescent="0.3">
      <c r="A30" s="43"/>
      <c r="B30" s="43"/>
      <c r="C30" s="43"/>
      <c r="D30" s="246"/>
      <c r="E30" s="43"/>
      <c r="F30" s="246"/>
      <c r="G30" s="246"/>
      <c r="H30" s="43"/>
      <c r="I30" s="43"/>
      <c r="J30" s="246"/>
      <c r="K30" s="43"/>
      <c r="L30" s="43"/>
      <c r="M30" s="43"/>
      <c r="N30" s="43"/>
    </row>
    <row r="31" spans="1:34" ht="23.25" customHeight="1" x14ac:dyDescent="0.3">
      <c r="A31" s="43"/>
      <c r="B31" s="43"/>
      <c r="C31" s="43"/>
      <c r="D31" s="246"/>
      <c r="E31" s="43"/>
      <c r="F31" s="246"/>
      <c r="G31" s="246"/>
      <c r="H31" s="43"/>
      <c r="I31" s="43"/>
      <c r="J31" s="246"/>
      <c r="K31" s="43"/>
      <c r="L31" s="43"/>
      <c r="M31" s="43"/>
      <c r="N31" s="43"/>
    </row>
    <row r="32" spans="1:34" ht="23.25" customHeight="1" x14ac:dyDescent="0.3">
      <c r="A32" s="43"/>
      <c r="B32" s="43"/>
      <c r="C32" s="43"/>
      <c r="D32" s="246"/>
      <c r="E32" s="43"/>
      <c r="F32" s="246"/>
      <c r="G32" s="246"/>
      <c r="H32" s="43"/>
      <c r="I32" s="43"/>
      <c r="J32" s="246"/>
      <c r="K32" s="43"/>
      <c r="L32" s="43"/>
      <c r="M32" s="43"/>
      <c r="N32" s="43"/>
    </row>
    <row r="33" spans="1:14" ht="23.25" customHeight="1" x14ac:dyDescent="0.3">
      <c r="A33" s="43"/>
      <c r="B33" s="43"/>
      <c r="C33" s="43"/>
      <c r="D33" s="246"/>
      <c r="E33" s="43"/>
      <c r="F33" s="246"/>
      <c r="G33" s="246"/>
      <c r="H33" s="43"/>
      <c r="I33" s="43"/>
      <c r="J33" s="246"/>
      <c r="K33" s="43"/>
      <c r="L33" s="43"/>
      <c r="M33" s="43"/>
      <c r="N33" s="43"/>
    </row>
    <row r="34" spans="1:14" ht="23.25" customHeight="1" x14ac:dyDescent="0.3">
      <c r="A34" s="43"/>
      <c r="B34" s="43"/>
      <c r="C34" s="43"/>
      <c r="D34" s="246"/>
      <c r="E34" s="43"/>
      <c r="F34" s="246"/>
      <c r="G34" s="246"/>
      <c r="H34" s="43"/>
      <c r="I34" s="43"/>
      <c r="J34" s="246"/>
      <c r="K34" s="43"/>
      <c r="L34" s="43"/>
      <c r="M34" s="43"/>
      <c r="N34" s="43"/>
    </row>
    <row r="35" spans="1:14" ht="23.25" customHeight="1" x14ac:dyDescent="0.3">
      <c r="A35" s="43"/>
      <c r="B35" s="43"/>
      <c r="C35" s="43"/>
      <c r="D35" s="246"/>
      <c r="E35" s="43"/>
      <c r="F35" s="246"/>
      <c r="G35" s="246"/>
      <c r="H35" s="43"/>
      <c r="I35" s="43"/>
      <c r="J35" s="246"/>
      <c r="K35" s="43"/>
      <c r="L35" s="43"/>
      <c r="M35" s="43"/>
      <c r="N35" s="43"/>
    </row>
    <row r="36" spans="1:14" ht="23.25" customHeight="1" x14ac:dyDescent="0.3">
      <c r="A36" s="43"/>
      <c r="B36" s="43"/>
      <c r="C36" s="43"/>
      <c r="D36" s="246"/>
      <c r="E36" s="43"/>
      <c r="F36" s="246"/>
      <c r="G36" s="246"/>
      <c r="H36" s="43"/>
      <c r="I36" s="43"/>
      <c r="J36" s="246"/>
      <c r="K36" s="43"/>
      <c r="L36" s="43"/>
      <c r="M36" s="43"/>
      <c r="N36" s="43"/>
    </row>
    <row r="37" spans="1:14" ht="23.25" customHeight="1" x14ac:dyDescent="0.3">
      <c r="A37" s="43"/>
      <c r="B37" s="43"/>
      <c r="C37" s="43"/>
      <c r="D37" s="246"/>
      <c r="E37" s="43"/>
      <c r="F37" s="246"/>
      <c r="G37" s="246"/>
      <c r="H37" s="43"/>
      <c r="I37" s="43"/>
      <c r="J37" s="246"/>
      <c r="K37" s="43"/>
      <c r="L37" s="43"/>
      <c r="M37" s="43"/>
      <c r="N37" s="43"/>
    </row>
    <row r="38" spans="1:14" ht="23.25" customHeight="1" x14ac:dyDescent="0.3">
      <c r="A38" s="43"/>
      <c r="B38" s="43"/>
      <c r="C38" s="43"/>
      <c r="D38" s="246"/>
      <c r="E38" s="43"/>
      <c r="F38" s="246"/>
      <c r="G38" s="246"/>
      <c r="H38" s="43"/>
      <c r="I38" s="43"/>
      <c r="J38" s="246"/>
      <c r="K38" s="43"/>
      <c r="L38" s="43"/>
      <c r="M38" s="43"/>
      <c r="N38" s="43"/>
    </row>
    <row r="39" spans="1:14" ht="23.25" customHeight="1" x14ac:dyDescent="0.3">
      <c r="A39" s="43"/>
      <c r="B39" s="43"/>
      <c r="C39" s="43"/>
      <c r="D39" s="246"/>
      <c r="E39" s="43"/>
      <c r="F39" s="246"/>
      <c r="G39" s="246"/>
      <c r="H39" s="43"/>
      <c r="I39" s="43"/>
      <c r="J39" s="246"/>
      <c r="K39" s="43"/>
      <c r="L39" s="43"/>
      <c r="M39" s="43"/>
      <c r="N39" s="43"/>
    </row>
    <row r="40" spans="1:14" ht="23.25" customHeight="1" x14ac:dyDescent="0.3">
      <c r="A40" s="43"/>
      <c r="B40" s="43"/>
      <c r="C40" s="43"/>
      <c r="D40" s="246"/>
      <c r="E40" s="43"/>
      <c r="F40" s="246"/>
      <c r="G40" s="246"/>
      <c r="H40" s="43"/>
      <c r="I40" s="43"/>
      <c r="J40" s="246"/>
      <c r="K40" s="43"/>
      <c r="L40" s="43"/>
      <c r="M40" s="43"/>
      <c r="N40" s="43"/>
    </row>
    <row r="41" spans="1:14" ht="23.25" customHeight="1" x14ac:dyDescent="0.3">
      <c r="A41" s="43"/>
      <c r="B41" s="43"/>
      <c r="C41" s="43"/>
      <c r="D41" s="246"/>
      <c r="E41" s="43"/>
      <c r="F41" s="246"/>
      <c r="G41" s="246"/>
      <c r="H41" s="43"/>
      <c r="I41" s="43"/>
      <c r="J41" s="246"/>
      <c r="K41" s="43"/>
      <c r="L41" s="43"/>
      <c r="M41" s="43"/>
      <c r="N41" s="43"/>
    </row>
    <row r="42" spans="1:14" ht="23.25" customHeight="1" x14ac:dyDescent="0.3">
      <c r="A42" s="43"/>
      <c r="B42" s="43"/>
      <c r="C42" s="43"/>
      <c r="D42" s="246"/>
      <c r="E42" s="43"/>
      <c r="F42" s="246"/>
      <c r="G42" s="246"/>
      <c r="H42" s="43"/>
      <c r="I42" s="43"/>
      <c r="J42" s="246"/>
      <c r="K42" s="43"/>
      <c r="L42" s="43"/>
      <c r="M42" s="43"/>
      <c r="N42" s="43"/>
    </row>
    <row r="43" spans="1:14" ht="23.25" customHeight="1" x14ac:dyDescent="0.3">
      <c r="A43" s="43"/>
      <c r="B43" s="43"/>
      <c r="C43" s="43"/>
      <c r="D43" s="246"/>
      <c r="E43" s="43"/>
      <c r="F43" s="246"/>
      <c r="G43" s="246"/>
      <c r="H43" s="43"/>
      <c r="I43" s="43"/>
      <c r="J43" s="246"/>
      <c r="K43" s="43"/>
      <c r="L43" s="43"/>
      <c r="M43" s="43"/>
      <c r="N43" s="43"/>
    </row>
    <row r="44" spans="1:14" ht="23.25" customHeight="1" x14ac:dyDescent="0.3">
      <c r="A44" s="43"/>
      <c r="B44" s="43"/>
      <c r="C44" s="43"/>
      <c r="D44" s="246"/>
      <c r="E44" s="43"/>
      <c r="F44" s="246"/>
      <c r="G44" s="246"/>
      <c r="H44" s="43"/>
      <c r="I44" s="43"/>
      <c r="J44" s="246"/>
      <c r="K44" s="43"/>
      <c r="L44" s="43"/>
      <c r="M44" s="43"/>
      <c r="N44" s="43"/>
    </row>
    <row r="45" spans="1:14" ht="23.25" customHeight="1" x14ac:dyDescent="0.3">
      <c r="A45" s="43"/>
      <c r="B45" s="43"/>
      <c r="C45" s="43"/>
      <c r="D45" s="246"/>
      <c r="E45" s="43"/>
      <c r="F45" s="246"/>
      <c r="G45" s="246"/>
      <c r="H45" s="43"/>
      <c r="I45" s="43"/>
      <c r="J45" s="246"/>
      <c r="K45" s="43"/>
      <c r="L45" s="43"/>
      <c r="M45" s="43"/>
      <c r="N45" s="43"/>
    </row>
    <row r="46" spans="1:14" ht="23.25" customHeight="1" x14ac:dyDescent="0.3">
      <c r="A46" s="43"/>
      <c r="B46" s="43"/>
      <c r="C46" s="43"/>
      <c r="D46" s="246"/>
      <c r="E46" s="43"/>
      <c r="F46" s="246"/>
      <c r="G46" s="246"/>
      <c r="H46" s="43"/>
      <c r="I46" s="43"/>
      <c r="J46" s="246"/>
      <c r="K46" s="43"/>
      <c r="L46" s="43"/>
      <c r="M46" s="43"/>
      <c r="N46" s="43"/>
    </row>
    <row r="47" spans="1:14" ht="23.25" customHeight="1" x14ac:dyDescent="0.3">
      <c r="A47" s="43"/>
      <c r="B47" s="43"/>
      <c r="C47" s="43"/>
      <c r="D47" s="246"/>
      <c r="E47" s="43"/>
      <c r="F47" s="246"/>
      <c r="G47" s="246"/>
      <c r="H47" s="43"/>
      <c r="I47" s="43"/>
      <c r="J47" s="246"/>
      <c r="K47" s="43"/>
      <c r="L47" s="43"/>
      <c r="M47" s="43"/>
      <c r="N47" s="43"/>
    </row>
    <row r="48" spans="1:14" ht="23.25" customHeight="1" x14ac:dyDescent="0.3">
      <c r="A48" s="43"/>
      <c r="B48" s="43"/>
      <c r="C48" s="43"/>
      <c r="D48" s="246"/>
      <c r="E48" s="43"/>
      <c r="F48" s="246"/>
      <c r="G48" s="246"/>
      <c r="H48" s="43"/>
      <c r="I48" s="43"/>
      <c r="J48" s="246"/>
      <c r="K48" s="43"/>
      <c r="L48" s="43"/>
      <c r="M48" s="43"/>
      <c r="N48" s="43"/>
    </row>
    <row r="49" spans="1:14" ht="23.25" customHeight="1" x14ac:dyDescent="0.3">
      <c r="A49" s="43"/>
      <c r="B49" s="43"/>
      <c r="C49" s="43"/>
      <c r="D49" s="246"/>
      <c r="E49" s="43"/>
      <c r="F49" s="246"/>
      <c r="G49" s="246"/>
      <c r="H49" s="43"/>
      <c r="I49" s="43"/>
      <c r="J49" s="246"/>
      <c r="K49" s="43"/>
      <c r="L49" s="43"/>
      <c r="M49" s="43"/>
      <c r="N49" s="43"/>
    </row>
    <row r="50" spans="1:14" ht="23.25" customHeight="1" x14ac:dyDescent="0.3">
      <c r="A50" s="43"/>
      <c r="B50" s="43"/>
      <c r="C50" s="43"/>
      <c r="D50" s="246"/>
      <c r="E50" s="43"/>
      <c r="F50" s="246"/>
      <c r="G50" s="246"/>
      <c r="H50" s="43"/>
      <c r="I50" s="43"/>
      <c r="J50" s="246"/>
      <c r="K50" s="43"/>
      <c r="L50" s="43"/>
      <c r="M50" s="43"/>
      <c r="N50" s="43"/>
    </row>
    <row r="51" spans="1:14" ht="23.25" customHeight="1" x14ac:dyDescent="0.3">
      <c r="A51" s="43"/>
      <c r="B51" s="43"/>
      <c r="C51" s="43"/>
      <c r="D51" s="246"/>
      <c r="E51" s="43"/>
      <c r="F51" s="246"/>
      <c r="G51" s="246"/>
      <c r="H51" s="43"/>
      <c r="I51" s="43"/>
      <c r="J51" s="246"/>
      <c r="K51" s="43"/>
      <c r="L51" s="43"/>
      <c r="M51" s="43"/>
      <c r="N51" s="43"/>
    </row>
    <row r="52" spans="1:14" ht="23.25" customHeight="1" x14ac:dyDescent="0.3">
      <c r="A52" s="43"/>
      <c r="B52" s="43"/>
      <c r="C52" s="43"/>
      <c r="D52" s="246"/>
      <c r="E52" s="43"/>
      <c r="F52" s="246"/>
      <c r="G52" s="246"/>
      <c r="H52" s="43"/>
      <c r="I52" s="43"/>
      <c r="J52" s="246"/>
      <c r="K52" s="43"/>
      <c r="L52" s="43"/>
      <c r="M52" s="43"/>
      <c r="N52" s="43"/>
    </row>
    <row r="53" spans="1:14" ht="23.25" customHeight="1" x14ac:dyDescent="0.3">
      <c r="A53" s="43"/>
      <c r="B53" s="43"/>
      <c r="C53" s="43"/>
      <c r="D53" s="246"/>
      <c r="E53" s="43"/>
      <c r="F53" s="246"/>
      <c r="G53" s="246"/>
      <c r="H53" s="43"/>
      <c r="I53" s="43"/>
      <c r="J53" s="246"/>
      <c r="K53" s="43"/>
      <c r="L53" s="43"/>
      <c r="M53" s="43"/>
      <c r="N53" s="43"/>
    </row>
    <row r="54" spans="1:14" ht="23.25" customHeight="1" x14ac:dyDescent="0.3">
      <c r="A54" s="43"/>
      <c r="B54" s="43"/>
      <c r="C54" s="43"/>
      <c r="D54" s="246"/>
      <c r="E54" s="43"/>
      <c r="F54" s="246"/>
      <c r="G54" s="246"/>
      <c r="H54" s="43"/>
      <c r="I54" s="43"/>
      <c r="J54" s="246"/>
      <c r="K54" s="43"/>
      <c r="L54" s="43"/>
      <c r="M54" s="43"/>
      <c r="N54" s="43"/>
    </row>
    <row r="55" spans="1:14" ht="23.25" customHeight="1" x14ac:dyDescent="0.3">
      <c r="A55" s="43"/>
      <c r="B55" s="43"/>
      <c r="C55" s="43"/>
      <c r="D55" s="246"/>
      <c r="E55" s="43"/>
      <c r="F55" s="246"/>
      <c r="G55" s="246"/>
      <c r="H55" s="43"/>
      <c r="I55" s="43"/>
      <c r="J55" s="246"/>
      <c r="K55" s="43"/>
      <c r="L55" s="43"/>
      <c r="M55" s="43"/>
      <c r="N55" s="43"/>
    </row>
    <row r="56" spans="1:14" ht="23.25" customHeight="1" x14ac:dyDescent="0.3">
      <c r="A56" s="43"/>
      <c r="B56" s="43"/>
      <c r="C56" s="43"/>
      <c r="D56" s="246"/>
      <c r="E56" s="43"/>
      <c r="F56" s="246"/>
      <c r="G56" s="246"/>
      <c r="H56" s="43"/>
      <c r="I56" s="43"/>
      <c r="J56" s="246"/>
      <c r="K56" s="43"/>
      <c r="L56" s="43"/>
      <c r="M56" s="43"/>
      <c r="N56" s="43"/>
    </row>
    <row r="57" spans="1:14" ht="23.25" customHeight="1" x14ac:dyDescent="0.3">
      <c r="A57" s="43"/>
      <c r="B57" s="43"/>
      <c r="C57" s="43"/>
      <c r="D57" s="246"/>
      <c r="E57" s="43"/>
      <c r="F57" s="246"/>
      <c r="G57" s="246"/>
      <c r="H57" s="43"/>
      <c r="I57" s="43"/>
      <c r="J57" s="246"/>
      <c r="K57" s="43"/>
      <c r="L57" s="43"/>
      <c r="M57" s="43"/>
      <c r="N57" s="43"/>
    </row>
    <row r="58" spans="1:14" ht="23.25" customHeight="1" x14ac:dyDescent="0.3">
      <c r="A58" s="43"/>
      <c r="B58" s="43"/>
      <c r="C58" s="43"/>
      <c r="D58" s="246"/>
      <c r="E58" s="43"/>
      <c r="F58" s="246"/>
      <c r="G58" s="246"/>
      <c r="H58" s="43"/>
      <c r="I58" s="43"/>
      <c r="J58" s="246"/>
      <c r="K58" s="43"/>
      <c r="L58" s="43"/>
      <c r="M58" s="43"/>
      <c r="N58" s="43"/>
    </row>
  </sheetData>
  <autoFilter ref="A6:BY13" xr:uid="{00000000-0009-0000-0000-000014000000}"/>
  <mergeCells count="43">
    <mergeCell ref="A2:AH2"/>
    <mergeCell ref="BI2:BM2"/>
    <mergeCell ref="A3:G3"/>
    <mergeCell ref="H3:M3"/>
    <mergeCell ref="N3:S3"/>
    <mergeCell ref="T3:U3"/>
    <mergeCell ref="V3:W3"/>
    <mergeCell ref="Y3:Z3"/>
    <mergeCell ref="AA3:AB3"/>
    <mergeCell ref="AC3:AD3"/>
    <mergeCell ref="AE3:AH3"/>
    <mergeCell ref="Q4:S5"/>
    <mergeCell ref="T4:T5"/>
    <mergeCell ref="U4:U5"/>
    <mergeCell ref="V4:V5"/>
    <mergeCell ref="D4:E4"/>
    <mergeCell ref="F4:G4"/>
    <mergeCell ref="H4:J5"/>
    <mergeCell ref="K4:M5"/>
    <mergeCell ref="AL4:AM5"/>
    <mergeCell ref="AO4:AZ5"/>
    <mergeCell ref="BD4:BF5"/>
    <mergeCell ref="D5:E5"/>
    <mergeCell ref="F5:G5"/>
    <mergeCell ref="AB4:AB5"/>
    <mergeCell ref="AC4:AC5"/>
    <mergeCell ref="AD4:AD5"/>
    <mergeCell ref="AE4:AF5"/>
    <mergeCell ref="AG4:AH5"/>
    <mergeCell ref="W4:W5"/>
    <mergeCell ref="X4:X5"/>
    <mergeCell ref="Y4:Y5"/>
    <mergeCell ref="Z4:Z5"/>
    <mergeCell ref="AA4:AA5"/>
    <mergeCell ref="N4:P5"/>
    <mergeCell ref="T11:U11"/>
    <mergeCell ref="T12:U12"/>
    <mergeCell ref="T13:U13"/>
    <mergeCell ref="T6:U6"/>
    <mergeCell ref="T7:U7"/>
    <mergeCell ref="T8:U8"/>
    <mergeCell ref="T9:U9"/>
    <mergeCell ref="T10:U10"/>
  </mergeCells>
  <hyperlinks>
    <hyperlink ref="A5" location="PAINEL!A1" tooltip="Voltar ao Painel de Navegação" display="⬅ PAINEL" xr:uid="{8399692F-4336-40BC-ADAB-303C70C23C1C}"/>
    <hyperlink ref="C2" location="PAINEL!A1" tooltip="Voltar ao Painel de Navegação" display="⬅ PAINEL" xr:uid="{AC58821C-9186-47B8-B478-189F5D3DFE93}"/>
    <hyperlink ref="A1" location="PAINEL!A1" tooltip="Voltar ao Painel de Navegação" display="⬅ PAINEL" xr:uid="{9707CCB5-19CC-4675-BEEF-C8B450A9CC7E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PAINEL</vt:lpstr>
      <vt:lpstr>BUSCA DE CUSTO</vt:lpstr>
      <vt:lpstr>EVOLUÇÃO DE CUSTOS - PRODUTOS</vt:lpstr>
      <vt:lpstr>EVOLUÇÃO DE CUSTOS - MP</vt:lpstr>
      <vt:lpstr>PARÂMETROS</vt:lpstr>
      <vt:lpstr>LBD</vt:lpstr>
      <vt:lpstr>CORPO MANDRIL</vt:lpstr>
      <vt:lpstr>LUN</vt:lpstr>
      <vt:lpstr>SUPERFLEX</vt:lpstr>
      <vt:lpstr>PIGS EM BORRACHA</vt:lpstr>
      <vt:lpstr>ELC_MG_PC</vt:lpstr>
      <vt:lpstr>PU CAST</vt:lpstr>
      <vt:lpstr>SILICONE</vt:lpstr>
      <vt:lpstr>H</vt:lpstr>
      <vt:lpstr>HS</vt:lpstr>
      <vt:lpstr>HL</vt:lpstr>
      <vt:lpstr>HLR</vt:lpstr>
      <vt:lpstr>HLR X</vt:lpstr>
      <vt:lpstr>HLR R</vt:lpstr>
      <vt:lpstr>HLR V</vt:lpstr>
      <vt:lpstr>HLB</vt:lpstr>
      <vt:lpstr>HDISC</vt:lpstr>
      <vt:lpstr>HLCC</vt:lpstr>
      <vt:lpstr>HLCC 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Matheus</dc:creator>
  <dc:description/>
  <cp:lastModifiedBy>Bruno Matheus</cp:lastModifiedBy>
  <cp:revision>0</cp:revision>
  <cp:lastPrinted>2026-08-12T20:58:05Z</cp:lastPrinted>
  <dcterms:created xsi:type="dcterms:W3CDTF">2024-11-16T12:18:41Z</dcterms:created>
  <dcterms:modified xsi:type="dcterms:W3CDTF">2026-09-20T18:15:49Z</dcterms:modified>
  <dc:language>en-US</dc:language>
</cp:coreProperties>
</file>