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attua/Library/CloudStorage/GoogleDrive-matt.james.thomas@gmail.com/My Drive/youtube_public/"/>
    </mc:Choice>
  </mc:AlternateContent>
  <xr:revisionPtr revIDLastSave="0" documentId="13_ncr:1_{72B710B9-4EDC-124D-AD41-30392CF5F6F8}" xr6:coauthVersionLast="47" xr6:coauthVersionMax="47" xr10:uidLastSave="{00000000-0000-0000-0000-000000000000}"/>
  <bookViews>
    <workbookView xWindow="0" yWindow="760" windowWidth="30240" windowHeight="18240" xr2:uid="{00000000-000D-0000-FFFF-FFFF00000000}"/>
  </bookViews>
  <sheets>
    <sheet name="earnings_calc" sheetId="1" r:id="rId1"/>
  </sheets>
  <definedNames>
    <definedName name="BASIC_BAND_UPPER_LIMIT">earnings_calc!$C$15</definedName>
    <definedName name="DIVIDEND_ALLOWANCE">earnings_calc!$C$21</definedName>
    <definedName name="DIVIDEND_TAX_RATE_ADDITIONAL">earnings_calc!$C$20</definedName>
    <definedName name="DIVIDEND_TAX_RATE_BASIC">earnings_calc!$C$18</definedName>
    <definedName name="DIVIDEND_TAX_RATE_HIGHER">earnings_calc!$C$19</definedName>
    <definedName name="HIGHER_BAND_UPPER_LIMIT">earnings_calc!$C$16</definedName>
    <definedName name="INCOME_TAX_RATE_ADDITIONAL">earnings_calc!$C$24</definedName>
    <definedName name="INCOME_TAX_RATE_BASIC">earnings_calc!$C$22</definedName>
    <definedName name="INCOME_TAX_RATE_HIGHER">earnings_calc!$C$23</definedName>
    <definedName name="PERSONAL_TAX_ALLOWANCE">earnings_calc!$C$17</definedName>
    <definedName name="PTA_DIMINISH_FROM">earnings_calc!$C$14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APXflogFseAXhskWsUwgiOxKu+qjW6URKsK/PDGg/Y="/>
    </ext>
  </extLst>
</workbook>
</file>

<file path=xl/calcChain.xml><?xml version="1.0" encoding="utf-8"?>
<calcChain xmlns="http://schemas.openxmlformats.org/spreadsheetml/2006/main">
  <c r="R48" i="1" l="1"/>
  <c r="M48" i="1"/>
  <c r="L48" i="1"/>
  <c r="C48" i="1"/>
  <c r="E48" i="1" s="1"/>
  <c r="I48" i="1" s="1"/>
  <c r="B48" i="1"/>
  <c r="R47" i="1"/>
  <c r="M47" i="1"/>
  <c r="L47" i="1"/>
  <c r="C47" i="1"/>
  <c r="E47" i="1" s="1"/>
  <c r="B47" i="1"/>
  <c r="R46" i="1"/>
  <c r="M46" i="1"/>
  <c r="L46" i="1"/>
  <c r="C46" i="1"/>
  <c r="E46" i="1" s="1"/>
  <c r="G46" i="1" s="1"/>
  <c r="B46" i="1"/>
  <c r="R45" i="1"/>
  <c r="M45" i="1"/>
  <c r="L45" i="1"/>
  <c r="C45" i="1"/>
  <c r="E45" i="1" s="1"/>
  <c r="B45" i="1"/>
  <c r="R44" i="1"/>
  <c r="M44" i="1"/>
  <c r="L44" i="1"/>
  <c r="C44" i="1"/>
  <c r="B44" i="1"/>
  <c r="R43" i="1"/>
  <c r="M43" i="1"/>
  <c r="L43" i="1"/>
  <c r="C43" i="1"/>
  <c r="E43" i="1" s="1"/>
  <c r="B43" i="1"/>
  <c r="R42" i="1"/>
  <c r="M42" i="1"/>
  <c r="L42" i="1"/>
  <c r="E42" i="1"/>
  <c r="I42" i="1" s="1"/>
  <c r="N42" i="1" s="1"/>
  <c r="O42" i="1" s="1"/>
  <c r="C42" i="1"/>
  <c r="B42" i="1"/>
  <c r="R41" i="1"/>
  <c r="M41" i="1"/>
  <c r="L41" i="1"/>
  <c r="C41" i="1"/>
  <c r="E41" i="1" s="1"/>
  <c r="B41" i="1"/>
  <c r="G8" i="1"/>
  <c r="F8" i="1"/>
  <c r="D8" i="1"/>
  <c r="E8" i="1" s="1"/>
  <c r="J41" i="1" l="1"/>
  <c r="F41" i="1"/>
  <c r="I41" i="1"/>
  <c r="G41" i="1"/>
  <c r="N41" i="1"/>
  <c r="O41" i="1" s="1"/>
  <c r="P41" i="1" s="1"/>
  <c r="Q41" i="1" s="1"/>
  <c r="S41" i="1" s="1"/>
  <c r="T41" i="1" s="1"/>
  <c r="G42" i="1"/>
  <c r="F42" i="1"/>
  <c r="J42" i="1"/>
  <c r="P42" i="1"/>
  <c r="Q42" i="1" s="1"/>
  <c r="S42" i="1" s="1"/>
  <c r="T42" i="1" s="1"/>
  <c r="I43" i="1"/>
  <c r="N43" i="1" s="1"/>
  <c r="O43" i="1" s="1"/>
  <c r="G43" i="1"/>
  <c r="J43" i="1"/>
  <c r="F43" i="1"/>
  <c r="F45" i="1"/>
  <c r="J45" i="1"/>
  <c r="I45" i="1"/>
  <c r="N45" i="1" s="1"/>
  <c r="O45" i="1" s="1"/>
  <c r="G45" i="1"/>
  <c r="F47" i="1"/>
  <c r="J47" i="1"/>
  <c r="G47" i="1"/>
  <c r="I47" i="1"/>
  <c r="N47" i="1"/>
  <c r="O47" i="1" s="1"/>
  <c r="E44" i="1"/>
  <c r="J48" i="1"/>
  <c r="F46" i="1"/>
  <c r="I46" i="1"/>
  <c r="N46" i="1" s="1"/>
  <c r="O46" i="1" s="1"/>
  <c r="G48" i="1"/>
  <c r="J46" i="1"/>
  <c r="F48" i="1"/>
  <c r="N48" i="1"/>
  <c r="O48" i="1" s="1"/>
  <c r="P45" i="1" l="1"/>
  <c r="Q45" i="1" s="1"/>
  <c r="S45" i="1" s="1"/>
  <c r="T45" i="1" s="1"/>
  <c r="P46" i="1"/>
  <c r="Q46" i="1" s="1"/>
  <c r="S46" i="1" s="1"/>
  <c r="T46" i="1" s="1"/>
  <c r="H41" i="1"/>
  <c r="K41" i="1" s="1"/>
  <c r="V41" i="1"/>
  <c r="W41" i="1" s="1"/>
  <c r="U41" i="1"/>
  <c r="X41" i="1" s="1"/>
  <c r="P47" i="1"/>
  <c r="Q47" i="1" s="1"/>
  <c r="S47" i="1" s="1"/>
  <c r="T47" i="1" s="1"/>
  <c r="V42" i="1"/>
  <c r="W42" i="1" s="1"/>
  <c r="U42" i="1"/>
  <c r="X42" i="1" s="1"/>
  <c r="H42" i="1"/>
  <c r="K42" i="1" s="1"/>
  <c r="I44" i="1"/>
  <c r="N44" i="1" s="1"/>
  <c r="O44" i="1" s="1"/>
  <c r="J44" i="1"/>
  <c r="G44" i="1"/>
  <c r="F44" i="1"/>
  <c r="P43" i="1"/>
  <c r="Q43" i="1" s="1"/>
  <c r="S43" i="1" s="1"/>
  <c r="T43" i="1" s="1"/>
  <c r="P48" i="1"/>
  <c r="Q48" i="1" s="1"/>
  <c r="S48" i="1" s="1"/>
  <c r="T48" i="1" s="1"/>
  <c r="H47" i="1" l="1"/>
  <c r="K47" i="1" s="1"/>
  <c r="V47" i="1"/>
  <c r="W47" i="1" s="1"/>
  <c r="Y47" i="1" s="1"/>
  <c r="U47" i="1"/>
  <c r="X47" i="1" s="1"/>
  <c r="V43" i="1"/>
  <c r="W43" i="1" s="1"/>
  <c r="U43" i="1"/>
  <c r="X43" i="1" s="1"/>
  <c r="H43" i="1"/>
  <c r="K43" i="1" s="1"/>
  <c r="U48" i="1"/>
  <c r="X48" i="1" s="1"/>
  <c r="H48" i="1"/>
  <c r="K48" i="1" s="1"/>
  <c r="V48" i="1"/>
  <c r="W48" i="1" s="1"/>
  <c r="P44" i="1"/>
  <c r="Q44" i="1" s="1"/>
  <c r="S44" i="1" s="1"/>
  <c r="T44" i="1" s="1"/>
  <c r="U46" i="1"/>
  <c r="X46" i="1" s="1"/>
  <c r="V46" i="1"/>
  <c r="W46" i="1" s="1"/>
  <c r="H46" i="1"/>
  <c r="K46" i="1" s="1"/>
  <c r="H45" i="1"/>
  <c r="K45" i="1" s="1"/>
  <c r="U45" i="1"/>
  <c r="X45" i="1" s="1"/>
  <c r="V45" i="1"/>
  <c r="W45" i="1" s="1"/>
  <c r="Y42" i="1"/>
  <c r="Y41" i="1"/>
  <c r="Y45" i="1" l="1"/>
  <c r="V44" i="1"/>
  <c r="W44" i="1" s="1"/>
  <c r="U44" i="1"/>
  <c r="X44" i="1" s="1"/>
  <c r="H44" i="1"/>
  <c r="K44" i="1" s="1"/>
  <c r="Y48" i="1"/>
  <c r="Y46" i="1"/>
  <c r="Y43" i="1"/>
  <c r="Y44" i="1" l="1"/>
</calcChain>
</file>

<file path=xl/sharedStrings.xml><?xml version="1.0" encoding="utf-8"?>
<sst xmlns="http://schemas.openxmlformats.org/spreadsheetml/2006/main" count="64" uniqueCount="54">
  <si>
    <t>input</t>
  </si>
  <si>
    <t>fyi</t>
  </si>
  <si>
    <t>output</t>
  </si>
  <si>
    <t>total_income_gross</t>
  </si>
  <si>
    <t>total_dividend_gross</t>
  </si>
  <si>
    <t>combined</t>
  </si>
  <si>
    <t>remaining_PTA</t>
  </si>
  <si>
    <t>income_tax</t>
  </si>
  <si>
    <t>dividend_tax</t>
  </si>
  <si>
    <t>TAX Calc Constants (refered by name in formulae)</t>
  </si>
  <si>
    <t>income tax</t>
  </si>
  <si>
    <t>dividend tax</t>
  </si>
  <si>
    <t>PTA_DIMINISH_FROM</t>
  </si>
  <si>
    <t>BASIC_BAND_UPPER_LIMIT</t>
  </si>
  <si>
    <t>HIGHER_BAND_UPPER_LIMIT</t>
  </si>
  <si>
    <t>PERSONAL_TAX_ALLOWANCE</t>
  </si>
  <si>
    <t>DIVIDEND_TAX_RATE_BASIC</t>
  </si>
  <si>
    <t>DIVIDEND_TAX_RATE_HIGHER</t>
  </si>
  <si>
    <t>DIVIDEND_TAX_RATE_ADDITIONAL</t>
  </si>
  <si>
    <t>DIVIDEND_ALLOWANCE</t>
  </si>
  <si>
    <t>INCOME_TAX_RATE_BASIC</t>
  </si>
  <si>
    <t>INCOME_TAX_RATE_HIGHER</t>
  </si>
  <si>
    <t>INCOME_TAX_RATE_ADDITIONAL</t>
  </si>
  <si>
    <t>https://gorillaaccounting.com/salary-dividend-tax-calculator/</t>
  </si>
  <si>
    <t>year</t>
  </si>
  <si>
    <t>revenue</t>
  </si>
  <si>
    <t>salary percent</t>
  </si>
  <si>
    <t>salary</t>
  </si>
  <si>
    <t>state_pension_eligible</t>
  </si>
  <si>
    <t>employers_NI</t>
  </si>
  <si>
    <t>employees_NI</t>
  </si>
  <si>
    <t>net_income</t>
  </si>
  <si>
    <t>expenses</t>
  </si>
  <si>
    <t>accounting_fees</t>
  </si>
  <si>
    <t>deductions</t>
  </si>
  <si>
    <t>gross_profit</t>
  </si>
  <si>
    <t>corporation_tax</t>
  </si>
  <si>
    <t>net_profit</t>
  </si>
  <si>
    <t>dividend_payout_ratio</t>
  </si>
  <si>
    <t>gross_dividend</t>
  </si>
  <si>
    <t>total_earnings</t>
  </si>
  <si>
    <t>net_dividend</t>
  </si>
  <si>
    <t>PTA</t>
  </si>
  <si>
    <t>net_proceeds</t>
  </si>
  <si>
    <t>Non-tax General calc parameters</t>
  </si>
  <si>
    <t>2023/2024</t>
  </si>
  <si>
    <t>dividend payout ratio</t>
  </si>
  <si>
    <t>other income (gross)</t>
  </si>
  <si>
    <t>other dividends (gross)</t>
  </si>
  <si>
    <t>NI Primary threshold</t>
  </si>
  <si>
    <t>Employers NI rate</t>
  </si>
  <si>
    <t>NI secondary threshold</t>
  </si>
  <si>
    <t>LEL NI threshold</t>
  </si>
  <si>
    <t>accounting fees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</si>
</sst>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£&quot;#,##0.00_);[Red]\(&quot;£&quot;#,##0.00\)"/>
  </numFmts>
  <fonts count="8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0"/>
      <name val="Calibri"/>
    </font>
    <font>
      <sz val="12"/>
      <color theme="1"/>
      <name val="Arial"/>
    </font>
    <font>
      <b/>
      <sz val="12"/>
      <color rgb="FFFFFFFF"/>
      <name val="Arial"/>
    </font>
    <font>
      <u/>
      <sz val="12"/>
      <color theme="10"/>
      <name val="Calibri"/>
    </font>
    <font>
      <sz val="20"/>
      <color rgb="FF2E3138"/>
      <name val="Arial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5"/>
        <bgColor theme="5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</fills>
  <borders count="7">
    <border>
      <left/>
      <right/>
      <top/>
      <bottom/>
      <diagonal/>
    </border>
    <border>
      <left style="thin">
        <color rgb="FFC55A11"/>
      </left>
      <right style="thin">
        <color rgb="FFC55A11"/>
      </right>
      <top/>
      <bottom/>
      <diagonal/>
    </border>
    <border>
      <left/>
      <right/>
      <top/>
      <bottom/>
      <diagonal/>
    </border>
    <border>
      <left/>
      <right style="thin">
        <color rgb="FFC55A11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C55A11"/>
      </left>
      <right/>
      <top/>
      <bottom/>
      <diagonal/>
    </border>
    <border>
      <left style="thin">
        <color rgb="FFC55A11"/>
      </left>
      <right/>
      <top/>
      <bottom style="thin">
        <color rgb="FFC55A1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8" fontId="7" fillId="0" borderId="0" xfId="0" applyNumberFormat="1" applyFont="1" applyAlignment="1">
      <alignment horizontal="center"/>
    </xf>
    <xf numFmtId="0" fontId="1" fillId="5" borderId="6" xfId="0" applyFont="1" applyFill="1" applyBorder="1" applyAlignment="1">
      <alignment horizontal="left"/>
    </xf>
  </cellXfs>
  <cellStyles count="1">
    <cellStyle name="Normal" xfId="0" builtinId="0"/>
  </cellStyles>
  <dxfs count="37">
    <dxf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2">
    <tableStyle name="earnings_calc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earnings_calc-style 2" pivot="0" count="3" xr9:uid="{00000000-0011-0000-FFFF-FFFF01000000}">
      <tableStyleElement type="headerRow" dxfId="33"/>
      <tableStyleElement type="firstRowStripe" dxfId="32"/>
      <tableStyleElement type="second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13</xdr:row>
      <xdr:rowOff>76200</xdr:rowOff>
    </xdr:from>
    <xdr:ext cx="7800975" cy="2571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45513" y="2498888"/>
          <a:ext cx="7800975" cy="2562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=(INCOME_TAX_RATE_BASIC * MAX([@[total_income_gross]] - MAX(PERSONAL_TAX_ALLOWANCE-MAX(((([@[total_income_gross]]+[@[total_dividend_gross]])-PTA_DIMINISH_FROM)/2),0),0), 0)) + ((INCOME_TAX_RATE_HIGHER-INCOME_TAX_RATE_BASIC) * MAX([@[total_income_gross]] - (BASIC_BAND_UPPER_LIMIT+MAX(PERSONAL_TAX_ALLOWANCE-MAX(((([@[total_income_gross]]+[@[total_dividend_gross]])-PTA_DIMINISH_FROM)/2),0),0)), 0)) + (INCOME_TAX_RATE_BASIC * MAX([@[total_income_gross]] - (HIGHER_BAND_UPPER_LIMIT-(2*MAX(PERSONAL_TAX_ALLOWANCE-MAX(((([@[total_income_gross]]+[@[total_dividend_gross]])-PTA_DIMINISH_FROM)/2),0),0))), 0))-((INCOME_TAX_RATE_BASIC+ INCOME_TAX_RATE_HIGHER - INCOME_TAX_RATE_ADDITIONAL)*MAX([@[total_income_gross]] - HIGHER_BAND_UPPER_LIMIT, 0))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984250</xdr:colOff>
      <xdr:row>13</xdr:row>
      <xdr:rowOff>82550</xdr:rowOff>
    </xdr:from>
    <xdr:ext cx="12153900" cy="427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881350" y="2762250"/>
          <a:ext cx="12153900" cy="42767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=(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X(MIN([@[total_income_gross]]+[@[total_dividend_gross]],BASIC_BAND_UPPER_LIMIT+MAX(PERSONAL_TAX_ALLOWANCE-MAX(((([@[total_income_gross]]+[@[total_dividend_gross]])-PTA_DIMINISH_FROM)/2),0),0))-MAX([@[total_income_gross]],MAX(PERSONAL_TAX_ALLOWANCE-MAX(((([@[total_income_gross]]+[@[total_dividend_gross]])-PTA_DIMINISH_FROM)/2),0),0)),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*DIVIDEND_TAX_RATE_BASIC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)+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(MAX(MIN([@[total_income_gross]]+[@[total_dividend_gross]],HIGHER_BAND_UPPER_LIMIT)-MAX([@[total_income_gross]],BASIC_BAND_UPPER_LIMIT+MAX(PERSONAL_TAX_ALLOWANCE-MAX(((([@[total_income_gross]]+[@[total_dividend_gross]])-PTA_DIMINISH_FROM)/2),0),0)),0)*DIVIDEND_TAX_RATE_HIGHER)+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(MAX([@[total_income_gross]]+[@[total_dividend_gross]]-MAX([@[total_income_gross]],HIGHER_BAND_UPPER_LIMIT),0)*DIVIDEND_TAX_RATE_ADDITIONAL)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(MAX(MIN([@[total_income_gross]]+MIN(DIVIDEND_ALLOWANCE,[@[total_dividend_gross]]),BASIC_BAND_UPPER_LIMIT+MAX(PERSONAL_TAX_ALLOWANCE-MAX(((([@[total_income_gross]]+MIN(DIVIDEND_ALLOWANCE,[@[total_dividend_gross]]))-PTA_DIMINISH_FROM)/2),0),0))-MAX([@[total_income_gross]],MAX(PERSONAL_TAX_ALLOWANCE-MAX(((([@[total_income_gross]]+MIN(DIVIDEND_ALLOWANCE,[@[total_dividend_gross]]))-PTA_DIMINISH_FROM)/2),0),0)),0)*DIVIDEND_TAX_RATE_BASIC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(MAX(MIN([@[total_income_gross]]+MIN(DIVIDEND_ALLOWANCE,[@[total_dividend_gross]]),HIGHER_BAND_UPPER_LIMIT)-MAX([@[total_income_gross]],BASIC_BAND_UPPER_LIMIT+MAX(PERSONAL_TAX_ALLOWANCE-MAX(((([@[total_income_gross]]+MIN(DIVIDEND_ALLOWANCE,[@[total_dividend_gross]]))-PTA_DIMINISH_FROM)/2),0),0)),0)*DIVIDEND_TAX_RATE_HIGHE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-(MAX([@[total_income_gross]]+MIN(DIVIDEND_ALLOWANCE,[@[total_dividend_gross]])-MAX([@[total_income_gross]],HIGHER_BAND_UPPER_LIMIT),0)*DIVIDEND_TAX_RATE_ADDITIONAL)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-(MIN(MIN(MAX(MIN(12570,[@[total_income_gross]]+ DIVIDEND_ALLOWANCE)-[@[total_income_gross]],0),1000),MAX(MIN([@[total_income_gross]]+[@[total_dividend_gross]],BASIC_BAND_UPPER_LIMIT+MAX(PERSONAL_TAX_ALLOWANCE-MAX(((([@[total_income_gross]]+[@[total_dividend_gross]])-PTA_DIMINISH_FROM)/2),0),0))-MAX([@[total_income_gross]],MAX(PERSONAL_TAX_ALLOWANCE-MAX(((([@[total_income_gross]]+[@[total_dividend_gross]])-PTA_DIMINISH_FROM)/2),0),0)),0))* DIVIDEND_TAX_RATE_BASIC)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:G8">
  <tableColumns count="6">
    <tableColumn id="1" xr3:uid="{00000000-0010-0000-0000-000001000000}" name="total_income_gross"/>
    <tableColumn id="2" xr3:uid="{00000000-0010-0000-0000-000002000000}" name="total_dividend_gross"/>
    <tableColumn id="3" xr3:uid="{00000000-0010-0000-0000-000003000000}" name="combined"/>
    <tableColumn id="4" xr3:uid="{00000000-0010-0000-0000-000004000000}" name="remaining_PTA"/>
    <tableColumn id="5" xr3:uid="{00000000-0010-0000-0000-000005000000}" name="income_tax"/>
    <tableColumn id="6" xr3:uid="{00000000-0010-0000-0000-000006000000}" name="dividend_tax"/>
  </tableColumns>
  <tableStyleInfo name="earnings_cal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40:Y48" headerRowDxfId="1" dataDxfId="2">
  <tableColumns count="24">
    <tableColumn id="1" xr3:uid="{00000000-0010-0000-0100-000001000000}" name="year" dataDxfId="26"/>
    <tableColumn id="2" xr3:uid="{00000000-0010-0000-0100-000002000000}" name="revenue" dataDxfId="25"/>
    <tableColumn id="3" xr3:uid="{00000000-0010-0000-0100-000003000000}" name="salary percent" dataDxfId="24"/>
    <tableColumn id="4" xr3:uid="{00000000-0010-0000-0100-000004000000}" name="salary" dataDxfId="23"/>
    <tableColumn id="5" xr3:uid="{00000000-0010-0000-0100-000005000000}" name="state_pension_eligible" dataDxfId="22"/>
    <tableColumn id="6" xr3:uid="{00000000-0010-0000-0100-000006000000}" name="total_income_gross" dataDxfId="21"/>
    <tableColumn id="7" xr3:uid="{00000000-0010-0000-0100-000007000000}" name="income_tax" dataDxfId="20"/>
    <tableColumn id="8" xr3:uid="{00000000-0010-0000-0100-000008000000}" name="employers_NI" dataDxfId="19"/>
    <tableColumn id="9" xr3:uid="{00000000-0010-0000-0100-000009000000}" name="employees_NI" dataDxfId="18"/>
    <tableColumn id="10" xr3:uid="{00000000-0010-0000-0100-00000A000000}" name="net_income" dataDxfId="17"/>
    <tableColumn id="11" xr3:uid="{00000000-0010-0000-0100-00000B000000}" name="expenses" dataDxfId="16"/>
    <tableColumn id="12" xr3:uid="{00000000-0010-0000-0100-00000C000000}" name="accounting_fees" dataDxfId="15"/>
    <tableColumn id="13" xr3:uid="{00000000-0010-0000-0100-00000D000000}" name="deductions" dataDxfId="14"/>
    <tableColumn id="14" xr3:uid="{00000000-0010-0000-0100-00000E000000}" name="gross_profit" dataDxfId="13"/>
    <tableColumn id="15" xr3:uid="{00000000-0010-0000-0100-00000F000000}" name="corporation_tax" dataDxfId="12"/>
    <tableColumn id="16" xr3:uid="{00000000-0010-0000-0100-000010000000}" name="net_profit" dataDxfId="11"/>
    <tableColumn id="17" xr3:uid="{00000000-0010-0000-0100-000011000000}" name="dividend_payout_ratio" dataDxfId="10"/>
    <tableColumn id="18" xr3:uid="{00000000-0010-0000-0100-000012000000}" name="gross_dividend" dataDxfId="9"/>
    <tableColumn id="19" xr3:uid="{00000000-0010-0000-0100-000013000000}" name="total_dividend_gross" dataDxfId="8"/>
    <tableColumn id="20" xr3:uid="{00000000-0010-0000-0100-000014000000}" name="total_earnings" dataDxfId="7"/>
    <tableColumn id="21" xr3:uid="{00000000-0010-0000-0100-000015000000}" name="dividend_tax" dataDxfId="6"/>
    <tableColumn id="22" xr3:uid="{00000000-0010-0000-0100-000016000000}" name="net_dividend" dataDxfId="5"/>
    <tableColumn id="23" xr3:uid="{00000000-0010-0000-0100-000017000000}" name="PTA" dataDxfId="4"/>
    <tableColumn id="24" xr3:uid="{00000000-0010-0000-0100-000018000000}" name="net_proceeds" dataDxfId="3"/>
  </tableColumns>
  <tableStyleInfo name="earnings_calc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C14" sqref="C14"/>
    </sheetView>
  </sheetViews>
  <sheetFormatPr baseColWidth="10" defaultColWidth="11.1640625" defaultRowHeight="15" customHeight="1" x14ac:dyDescent="0.2"/>
  <cols>
    <col min="1" max="1" width="10.83203125" customWidth="1"/>
    <col min="2" max="2" width="37.5" customWidth="1"/>
    <col min="3" max="3" width="24.83203125" customWidth="1"/>
    <col min="4" max="4" width="21.33203125" customWidth="1"/>
    <col min="5" max="5" width="34.83203125" customWidth="1"/>
    <col min="6" max="6" width="24.1640625" customWidth="1"/>
    <col min="7" max="7" width="22.83203125" customWidth="1"/>
    <col min="8" max="8" width="19.1640625" customWidth="1"/>
    <col min="9" max="9" width="22.6640625" customWidth="1"/>
    <col min="10" max="10" width="17.5" customWidth="1"/>
    <col min="11" max="11" width="15.5" customWidth="1"/>
    <col min="12" max="12" width="9.83203125" customWidth="1"/>
    <col min="13" max="13" width="14.83203125" customWidth="1"/>
    <col min="14" max="14" width="13.83203125" customWidth="1"/>
    <col min="15" max="15" width="15.83203125" customWidth="1"/>
    <col min="16" max="16" width="15.5" customWidth="1"/>
    <col min="17" max="17" width="13.83203125" customWidth="1"/>
    <col min="18" max="18" width="20.5" customWidth="1"/>
    <col min="19" max="19" width="20.6640625" customWidth="1"/>
    <col min="20" max="20" width="29.83203125" customWidth="1"/>
    <col min="21" max="21" width="18.1640625" customWidth="1"/>
    <col min="22" max="22" width="21.1640625" customWidth="1"/>
    <col min="23" max="23" width="19" customWidth="1"/>
    <col min="24" max="24" width="19.33203125" customWidth="1"/>
    <col min="25" max="25" width="23.33203125" customWidth="1"/>
    <col min="26" max="26" width="10.83203125" customWidth="1"/>
    <col min="27" max="27" width="41" customWidth="1"/>
    <col min="28" max="29" width="10.83203125" customWidth="1"/>
    <col min="30" max="30" width="13.1640625" customWidth="1"/>
  </cols>
  <sheetData>
    <row r="1" spans="1:30" ht="31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">
      <c r="A6" s="1"/>
      <c r="B6" s="1" t="s">
        <v>0</v>
      </c>
      <c r="C6" s="1" t="s">
        <v>0</v>
      </c>
      <c r="D6" s="1" t="s">
        <v>1</v>
      </c>
      <c r="E6" s="1" t="s">
        <v>1</v>
      </c>
      <c r="F6" s="1" t="s">
        <v>2</v>
      </c>
      <c r="G6" s="1" t="s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</row>
    <row r="7" spans="1:30" ht="15.75" customHeight="1" x14ac:dyDescent="0.2">
      <c r="A7" s="3"/>
      <c r="B7" s="4" t="s">
        <v>3</v>
      </c>
      <c r="C7" s="5" t="s">
        <v>4</v>
      </c>
      <c r="D7" s="1" t="s">
        <v>5</v>
      </c>
      <c r="E7" s="1" t="s">
        <v>6</v>
      </c>
      <c r="F7" s="6" t="s">
        <v>7</v>
      </c>
      <c r="G7" s="6" t="s">
        <v>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 x14ac:dyDescent="0.2">
      <c r="A8" s="3"/>
      <c r="B8" s="7">
        <v>5000</v>
      </c>
      <c r="C8" s="7">
        <v>20000</v>
      </c>
      <c r="D8" s="7">
        <f>SUM(earnings_calc!$B8:$C8)</f>
        <v>25000</v>
      </c>
      <c r="E8" s="7">
        <f>MAX(PERSONAL_TAX_ALLOWANCE-MAX((((earnings_calc!$D8)-PTA_DIMINISH_FROM)/2),0),0)</f>
        <v>12570</v>
      </c>
      <c r="F8" s="7">
        <f>(INCOME_TAX_RATE_BASIC * MAX(earnings_calc!$B8 - MAX(PERSONAL_TAX_ALLOWANCE-MAX((((earnings_calc!$B8+earnings_calc!$C8)-PTA_DIMINISH_FROM)/2),0),0), 0)) + ((INCOME_TAX_RATE_HIGHER-INCOME_TAX_RATE_BASIC) * MAX(earnings_calc!$B8 - (BASIC_BAND_UPPER_LIMIT+MAX(PERSONAL_TAX_ALLOWANCE-MAX((((earnings_calc!$B8+earnings_calc!$C8)-PTA_DIMINISH_FROM)/2),0),0)), 0)) + (INCOME_TAX_RATE_BASIC * MAX(earnings_calc!$B8 - (HIGHER_BAND_UPPER_LIMIT-(2*MAX(PERSONAL_TAX_ALLOWANCE-MAX((((earnings_calc!$B8+earnings_calc!$C8)-PTA_DIMINISH_FROM)/2),0),0))), 0))-((INCOME_TAX_RATE_BASIC+ INCOME_TAX_RATE_HIGHER - INCOME_TAX_RATE_ADDITIONAL)*MAX(earnings_calc!$B8 - HIGHER_BAND_UPPER_LIMIT, 0))</f>
        <v>0</v>
      </c>
      <c r="G8" s="7">
        <f>(
MAX(MIN(earnings_calc!$B8+earnings_calc!$C8,BASIC_BAND_UPPER_LIMIT+MAX(PERSONAL_TAX_ALLOWANCE-MAX((((earnings_calc!$B8+earnings_calc!$C8)-PTA_DIMINISH_FROM)/2),0),0))-MAX(earnings_calc!$B8,MAX(PERSONAL_TAX_ALLOWANCE-MAX((((earnings_calc!$B8+earnings_calc!$C8)-PTA_DIMINISH_FROM)/2),0),0)),0)
*DIVIDEND_TAX_RATE_BASIC
)+
(MAX(MIN(earnings_calc!$B8+earnings_calc!$C8,HIGHER_BAND_UPPER_LIMIT)-MAX(earnings_calc!$B8,BASIC_BAND_UPPER_LIMIT+MAX(PERSONAL_TAX_ALLOWANCE-MAX((((earnings_calc!$B8+earnings_calc!$C8)-PTA_DIMINISH_FROM)/2),0),0)),0)*DIVIDEND_TAX_RATE_HIGHER)+
(MAX(earnings_calc!$B8+earnings_calc!$C8-MAX(earnings_calc!$B8,HIGHER_BAND_UPPER_LIMIT),0)*DIVIDEND_TAX_RATE_ADDITIONAL)
-(MAX(MIN(earnings_calc!$B8+MIN(DIVIDEND_ALLOWANCE,earnings_calc!$C8),BASIC_BAND_UPPER_LIMIT+MAX(PERSONAL_TAX_ALLOWANCE-MAX((((earnings_calc!$B8+MIN(DIVIDEND_ALLOWANCE,earnings_calc!$C8))-PTA_DIMINISH_FROM)/2),0),0))-MAX(earnings_calc!$B8,MAX(PERSONAL_TAX_ALLOWANCE-MAX((((earnings_calc!$B8+MIN(DIVIDEND_ALLOWANCE,earnings_calc!$C8))-PTA_DIMINISH_FROM)/2),0),0)),0)*DIVIDEND_TAX_RATE_BASIC)
-(MAX(MIN(earnings_calc!$B8+MIN(DIVIDEND_ALLOWANCE,earnings_calc!$C8),HIGHER_BAND_UPPER_LIMIT)-MAX(earnings_calc!$B8,BASIC_BAND_UPPER_LIMIT+MAX(PERSONAL_TAX_ALLOWANCE-MAX((((earnings_calc!$B8+MIN(DIVIDEND_ALLOWANCE,earnings_calc!$C8))-PTA_DIMINISH_FROM)/2),0),0)),0)*DIVIDEND_TAX_RATE_HIGHER)
-(MAX(earnings_calc!$B8+MIN(DIVIDEND_ALLOWANCE,earnings_calc!$C8)-MAX(earnings_calc!$B8,HIGHER_BAND_UPPER_LIMIT),0)*DIVIDEND_TAX_RATE_ADDITIONAL)
-(MIN(MIN(MAX(MIN(12570,earnings_calc!$B8+ DIVIDEND_ALLOWANCE)-earnings_calc!$B8,0),1000),MAX(MIN(earnings_calc!$B8+earnings_calc!$C8,BASIC_BAND_UPPER_LIMIT+MAX(PERSONAL_TAX_ALLOWANCE-MAX((((earnings_calc!$B8+earnings_calc!$C8)-PTA_DIMINISH_FROM)/2),0),0))-MAX(earnings_calc!$B8,MAX(PERSONAL_TAX_ALLOWANCE-MAX((((earnings_calc!$B8+earnings_calc!$C8)-PTA_DIMINISH_FROM)/2),0),0)),0))* DIVIDEND_TAX_RATE_BASIC)</f>
        <v>1000.125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1" customFormat="1" ht="15.75" customHeight="1" x14ac:dyDescent="0.2"/>
    <row r="10" spans="1:30" s="1" customFormat="1" ht="15.75" customHeight="1" x14ac:dyDescent="0.2"/>
    <row r="11" spans="1:30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">
      <c r="A13" s="1"/>
      <c r="B13" s="8" t="s">
        <v>9</v>
      </c>
      <c r="C13" s="1"/>
      <c r="D13" s="1"/>
      <c r="E13" s="1"/>
      <c r="F13" s="9" t="s">
        <v>10</v>
      </c>
      <c r="G13" s="1"/>
      <c r="H13" s="1"/>
      <c r="I13" s="1"/>
      <c r="J13" s="1"/>
      <c r="K13" s="10" t="s"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">
      <c r="A14" s="1"/>
      <c r="B14" s="11" t="s">
        <v>12</v>
      </c>
      <c r="C14" s="1">
        <v>100000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">
      <c r="A15" s="1"/>
      <c r="B15" s="11" t="s">
        <v>13</v>
      </c>
      <c r="C15" s="1">
        <v>37700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2"/>
      <c r="Z15" s="12"/>
      <c r="AA15" s="12"/>
      <c r="AB15" s="13"/>
      <c r="AC15" s="1"/>
      <c r="AD15" s="1"/>
    </row>
    <row r="16" spans="1:30" ht="15.75" customHeight="1" x14ac:dyDescent="0.2">
      <c r="A16" s="1"/>
      <c r="B16" s="11" t="s">
        <v>14</v>
      </c>
      <c r="C16" s="1">
        <v>125140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2"/>
      <c r="AB16" s="12"/>
      <c r="AC16" s="12"/>
      <c r="AD16" s="12"/>
    </row>
    <row r="17" spans="1:33" ht="15.75" customHeight="1" x14ac:dyDescent="0.2">
      <c r="A17" s="1"/>
      <c r="B17" s="11" t="s">
        <v>15</v>
      </c>
      <c r="C17" s="1">
        <v>12570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5.75" customHeight="1" x14ac:dyDescent="0.2">
      <c r="A18" s="1"/>
      <c r="B18" s="11" t="s">
        <v>16</v>
      </c>
      <c r="C18" s="1">
        <v>8.7499999999999994E-2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4"/>
      <c r="AB18" s="1"/>
      <c r="AC18" s="1"/>
      <c r="AD18" s="1"/>
    </row>
    <row r="19" spans="1:33" ht="15.75" customHeight="1" x14ac:dyDescent="0.25">
      <c r="A19" s="1"/>
      <c r="B19" s="11" t="s">
        <v>17</v>
      </c>
      <c r="C19" s="1">
        <v>0.33750000000000002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5"/>
      <c r="AB19" s="1"/>
      <c r="AC19" s="13"/>
      <c r="AD19" s="1"/>
    </row>
    <row r="20" spans="1:33" ht="15.75" customHeight="1" x14ac:dyDescent="0.2">
      <c r="A20" s="1"/>
      <c r="B20" s="11" t="s">
        <v>18</v>
      </c>
      <c r="C20" s="1">
        <v>0.39350000000000002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2"/>
      <c r="AB20" s="12"/>
      <c r="AC20" s="12"/>
      <c r="AD20" s="12"/>
    </row>
    <row r="21" spans="1:33" ht="15.75" customHeight="1" x14ac:dyDescent="0.2">
      <c r="A21" s="1"/>
      <c r="B21" s="11" t="s">
        <v>19</v>
      </c>
      <c r="C21" s="1">
        <v>1000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2"/>
      <c r="AB21" s="12"/>
      <c r="AC21" s="12"/>
      <c r="AD21" s="12"/>
    </row>
    <row r="22" spans="1:33" ht="15.75" customHeight="1" x14ac:dyDescent="0.2">
      <c r="A22" s="1"/>
      <c r="B22" s="11" t="s">
        <v>20</v>
      </c>
      <c r="C22" s="1">
        <v>0.2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2"/>
      <c r="AB22" s="12"/>
      <c r="AC22" s="1"/>
      <c r="AD22" s="16"/>
    </row>
    <row r="23" spans="1:33" ht="15.75" customHeight="1" x14ac:dyDescent="0.2">
      <c r="A23" s="1"/>
      <c r="B23" s="11" t="s">
        <v>21</v>
      </c>
      <c r="C23" s="1">
        <v>0.4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7"/>
      <c r="AB23" s="18"/>
      <c r="AC23" s="1"/>
      <c r="AD23" s="16"/>
    </row>
    <row r="24" spans="1:33" ht="15.75" customHeight="1" x14ac:dyDescent="0.2">
      <c r="A24" s="1"/>
      <c r="B24" s="19" t="s">
        <v>22</v>
      </c>
      <c r="C24" s="1">
        <v>0.45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3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3" ht="15.75" customHeight="1" x14ac:dyDescent="0.2">
      <c r="A26" s="1"/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3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3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3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 t="s">
        <v>23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 t="s">
        <v>24</v>
      </c>
      <c r="C40" s="1" t="s">
        <v>25</v>
      </c>
      <c r="D40" s="1" t="s">
        <v>26</v>
      </c>
      <c r="E40" s="1" t="s">
        <v>27</v>
      </c>
      <c r="F40" s="1" t="s">
        <v>28</v>
      </c>
      <c r="G40" s="1" t="s">
        <v>3</v>
      </c>
      <c r="H40" s="1" t="s">
        <v>7</v>
      </c>
      <c r="I40" s="1" t="s">
        <v>29</v>
      </c>
      <c r="J40" s="1" t="s">
        <v>30</v>
      </c>
      <c r="K40" s="1" t="s">
        <v>31</v>
      </c>
      <c r="L40" s="1" t="s">
        <v>32</v>
      </c>
      <c r="M40" s="1" t="s">
        <v>33</v>
      </c>
      <c r="N40" s="1" t="s">
        <v>34</v>
      </c>
      <c r="O40" s="1" t="s">
        <v>35</v>
      </c>
      <c r="P40" s="1" t="s">
        <v>36</v>
      </c>
      <c r="Q40" s="1" t="s">
        <v>37</v>
      </c>
      <c r="R40" s="1" t="s">
        <v>38</v>
      </c>
      <c r="S40" s="1" t="s">
        <v>39</v>
      </c>
      <c r="T40" s="1" t="s">
        <v>4</v>
      </c>
      <c r="U40" s="1" t="s">
        <v>40</v>
      </c>
      <c r="V40" s="1" t="s">
        <v>8</v>
      </c>
      <c r="W40" s="1" t="s">
        <v>41</v>
      </c>
      <c r="X40" s="1" t="s">
        <v>42</v>
      </c>
      <c r="Y40" s="1" t="s">
        <v>43</v>
      </c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"/>
      <c r="B41" s="1" t="str">
        <f t="shared" ref="B41:B48" si="0">$C$52</f>
        <v>2023/2024</v>
      </c>
      <c r="C41" s="1">
        <f t="shared" ref="C41:C48" si="1">$C$54</f>
        <v>150000</v>
      </c>
      <c r="D41" s="1">
        <v>0.1</v>
      </c>
      <c r="E41" s="1">
        <f>earnings_calc!$D41*earnings_calc!$C41</f>
        <v>15000</v>
      </c>
      <c r="F41" s="1" t="b">
        <f>earnings_calc!$E41&gt;$C$61</f>
        <v>1</v>
      </c>
      <c r="G41" s="1">
        <f>earnings_calc!$E41+$C$56</f>
        <v>15000</v>
      </c>
      <c r="H41" s="1">
        <f>(INCOME_TAX_RATE_BASIC * MAX(earnings_calc!$G41 - MAX(PERSONAL_TAX_ALLOWANCE-MAX((((earnings_calc!$G41+earnings_calc!$T41)-PTA_DIMINISH_FROM)/2),0),0), 0)) + ((INCOME_TAX_RATE_HIGHER-INCOME_TAX_RATE_BASIC) * MAX(earnings_calc!$G41 - (BASIC_BAND_UPPER_LIMIT+MAX(PERSONAL_TAX_ALLOWANCE-MAX((((earnings_calc!$G41+earnings_calc!$T41)-PTA_DIMINISH_FROM)/2),0),0)), 0)) + (INCOME_TAX_RATE_BASIC * MAX(earnings_calc!$G41 - (HIGHER_BAND_UPPER_LIMIT-(2*MAX(PERSONAL_TAX_ALLOWANCE-MAX((((earnings_calc!$G41+earnings_calc!$T41)-PTA_DIMINISH_FROM)/2),0),0))), 0))-((INCOME_TAX_RATE_BASIC+ INCOME_TAX_RATE_HIGHER - INCOME_TAX_RATE_ADDITIONAL)*MAX(earnings_calc!$G41 - HIGHER_BAND_UPPER_LIMIT, 0))</f>
        <v>2076.6562999999996</v>
      </c>
      <c r="I41" s="1">
        <f>MAX(earnings_calc!$E41-$C$60,0)*$C$59</f>
        <v>814.2</v>
      </c>
      <c r="J41" s="1">
        <f>(12%*MAX(earnings_calc!$E41-$C$58,0)+(-10%*MAX(earnings_calc!$E41-50270,0)))</f>
        <v>291.59999999999997</v>
      </c>
      <c r="K41" s="1">
        <f>earnings_calc!$G41-earnings_calc!$H41-earnings_calc!$J41</f>
        <v>12631.743700000001</v>
      </c>
      <c r="L41" s="1">
        <f t="shared" ref="L41:L48" si="2">$C$55</f>
        <v>1000</v>
      </c>
      <c r="M41" s="1">
        <f t="shared" ref="M41:M48" si="3">$C$62</f>
        <v>1000</v>
      </c>
      <c r="N41" s="1">
        <f>earnings_calc!$L41+earnings_calc!$E41+earnings_calc!$I41+earnings_calc!$M41</f>
        <v>17814.2</v>
      </c>
      <c r="O41" s="1">
        <f>earnings_calc!$C41-earnings_calc!$N41</f>
        <v>132185.79999999999</v>
      </c>
      <c r="P41" s="1">
        <f>(19%*MAX(earnings_calc!$O41,0))+(7.5%*MAX(earnings_calc!$O41-50000,0))+(-1.5%*MAX(earnings_calc!$O41-250000,0))</f>
        <v>31279.236999999997</v>
      </c>
      <c r="Q41" s="1">
        <f>earnings_calc!$O41-earnings_calc!$P41</f>
        <v>100906.56299999999</v>
      </c>
      <c r="R41" s="1">
        <f t="shared" ref="R41:R48" si="4">$C$53</f>
        <v>1</v>
      </c>
      <c r="S41" s="1">
        <f>earnings_calc!$Q41*earnings_calc!$R41</f>
        <v>100906.56299999999</v>
      </c>
      <c r="T41" s="1">
        <f>earnings_calc!$S41+$C$57</f>
        <v>100906.56299999999</v>
      </c>
      <c r="U41" s="1">
        <f>earnings_calc!$G41+earnings_calc!$T41</f>
        <v>115906.56299999999</v>
      </c>
      <c r="V41" s="1">
        <f>(
MAX(MIN(earnings_calc!$G41+earnings_calc!$T41,BASIC_BAND_UPPER_LIMIT+MAX(PERSONAL_TAX_ALLOWANCE-MAX((((earnings_calc!$G41+earnings_calc!$T41)-PTA_DIMINISH_FROM)/2),0),0))-MAX(earnings_calc!$G41,MAX(PERSONAL_TAX_ALLOWANCE-MAX((((earnings_calc!$G41+earnings_calc!$T41)-PTA_DIMINISH_FROM)/2),0),0)),0)
*DIVIDEND_TAX_RATE_BASIC
)+
(MAX(MIN(earnings_calc!$G41+earnings_calc!$T41,HIGHER_BAND_UPPER_LIMIT)-MAX(earnings_calc!$G41,BASIC_BAND_UPPER_LIMIT+MAX(PERSONAL_TAX_ALLOWANCE-MAX((((earnings_calc!$G41+earnings_calc!$T41)-PTA_DIMINISH_FROM)/2),0),0)),0)*DIVIDEND_TAX_RATE_HIGHER)+
(MAX(earnings_calc!$G41+earnings_calc!$T41-MAX(earnings_calc!$G41,HIGHER_BAND_UPPER_LIMIT),0)*DIVIDEND_TAX_RATE_ADDITIONAL)
-(MAX(MIN(earnings_calc!$G41+MIN(DIVIDEND_ALLOWANCE,earnings_calc!$T41),BASIC_BAND_UPPER_LIMIT+MAX(PERSONAL_TAX_ALLOWANCE-MAX((((earnings_calc!$G41+MIN(DIVIDEND_ALLOWANCE,earnings_calc!$T41))-PTA_DIMINISH_FROM)/2),0),0))-MAX(earnings_calc!$G41,MAX(PERSONAL_TAX_ALLOWANCE-MAX((((earnings_calc!$G41+MIN(DIVIDEND_ALLOWANCE,earnings_calc!$T41))-PTA_DIMINISH_FROM)/2),0),0)),0)*DIVIDEND_TAX_RATE_BASIC)
-(MAX(MIN(earnings_calc!$G41+MIN(DIVIDEND_ALLOWANCE,earnings_calc!$T41),HIGHER_BAND_UPPER_LIMIT)-MAX(earnings_calc!$G41,BASIC_BAND_UPPER_LIMIT+MAX(PERSONAL_TAX_ALLOWANCE-MAX((((earnings_calc!$G41+MIN(DIVIDEND_ALLOWANCE,earnings_calc!$T41))-PTA_DIMINISH_FROM)/2),0),0)),0)*DIVIDEND_TAX_RATE_HIGHER)
-(MAX(earnings_calc!$G41+MIN(DIVIDEND_ALLOWANCE,earnings_calc!$T41)-MAX(earnings_calc!$G41,HIGHER_BAND_UPPER_LIMIT),0)*DIVIDEND_TAX_RATE_ADDITIONAL)
-(MIN(MIN(MAX(MIN(12570,earnings_calc!$G41+ DIVIDEND_ALLOWANCE)-earnings_calc!$G41,0),1000),MAX(MIN(earnings_calc!$G41+earnings_calc!$T41,BASIC_BAND_UPPER_LIMIT+MAX(PERSONAL_TAX_ALLOWANCE-MAX((((earnings_calc!$G41+earnings_calc!$T41)-PTA_DIMINISH_FROM)/2),0),0))-MAX(earnings_calc!$G41,MAX(PERSONAL_TAX_ALLOWANCE-MAX((((earnings_calc!$G41+earnings_calc!$T41)-PTA_DIMINISH_FROM)/2),0),0)),0))* DIVIDEND_TAX_RATE_BASIC)</f>
        <v>27139.2853875</v>
      </c>
      <c r="W41" s="1">
        <f>earnings_calc!$T41-earnings_calc!$V41</f>
        <v>73767.277612499995</v>
      </c>
      <c r="X41" s="1">
        <f t="shared" ref="X41:X48" si="5">MAX(PERSONAL_TAX_ALLOWANCE-MAX((((U41)-100000)/2),0),0)</f>
        <v>4616.7185000000027</v>
      </c>
      <c r="Y41" s="1">
        <f>earnings_calc!$K41+earnings_calc!$W41</f>
        <v>86399.021312500001</v>
      </c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 t="str">
        <f t="shared" si="0"/>
        <v>2023/2024</v>
      </c>
      <c r="C42" s="1">
        <f t="shared" si="1"/>
        <v>150000</v>
      </c>
      <c r="D42" s="1">
        <v>0.2</v>
      </c>
      <c r="E42" s="1">
        <f>earnings_calc!$D42*earnings_calc!$C42</f>
        <v>30000</v>
      </c>
      <c r="F42" s="1" t="b">
        <f>earnings_calc!$E42&gt;$C$61</f>
        <v>1</v>
      </c>
      <c r="G42" s="1">
        <f>earnings_calc!$E42+$C$56</f>
        <v>30000</v>
      </c>
      <c r="H42" s="1">
        <f>(INCOME_TAX_RATE_BASIC * MAX(earnings_calc!$G42 - MAX(PERSONAL_TAX_ALLOWANCE-MAX((((earnings_calc!$G42+earnings_calc!$T42)-PTA_DIMINISH_FROM)/2),0),0), 0)) + ((INCOME_TAX_RATE_HIGHER-INCOME_TAX_RATE_BASIC) * MAX(earnings_calc!$G42 - (BASIC_BAND_UPPER_LIMIT+MAX(PERSONAL_TAX_ALLOWANCE-MAX((((earnings_calc!$G42+earnings_calc!$T42)-PTA_DIMINISH_FROM)/2),0),0)), 0)) + (INCOME_TAX_RATE_BASIC * MAX(earnings_calc!$G42 - (HIGHER_BAND_UPPER_LIMIT-(2*MAX(PERSONAL_TAX_ALLOWANCE-MAX((((earnings_calc!$G42+earnings_calc!$T42)-PTA_DIMINISH_FROM)/2),0),0))), 0))-((INCOME_TAX_RATE_BASIC+ INCOME_TAX_RATE_HIGHER - INCOME_TAX_RATE_ADDITIONAL)*MAX(earnings_calc!$G42 - HIGHER_BAND_UPPER_LIMIT, 0))</f>
        <v>5322.0113000000001</v>
      </c>
      <c r="I42" s="1">
        <f>MAX(earnings_calc!$E42-$C$60,0)*$C$59</f>
        <v>2884.2000000000003</v>
      </c>
      <c r="J42" s="1">
        <f>(12%*MAX(earnings_calc!$E42-$C$58,0)+(-10%*MAX(earnings_calc!$E42-50270,0)))</f>
        <v>2091.6</v>
      </c>
      <c r="K42" s="1">
        <f>earnings_calc!$G42-earnings_calc!$H42-earnings_calc!$J42</f>
        <v>22586.388700000003</v>
      </c>
      <c r="L42" s="1">
        <f t="shared" si="2"/>
        <v>1000</v>
      </c>
      <c r="M42" s="1">
        <f t="shared" si="3"/>
        <v>1000</v>
      </c>
      <c r="N42" s="1">
        <f>earnings_calc!$L42+earnings_calc!$E42+earnings_calc!$I42+earnings_calc!$M42</f>
        <v>34884.199999999997</v>
      </c>
      <c r="O42" s="1">
        <f>earnings_calc!$C42-earnings_calc!$N42</f>
        <v>115115.8</v>
      </c>
      <c r="P42" s="1">
        <f>(19%*MAX(earnings_calc!$O42,0))+(7.5%*MAX(earnings_calc!$O42-50000,0))+(-1.5%*MAX(earnings_calc!$O42-250000,0))</f>
        <v>26755.687000000002</v>
      </c>
      <c r="Q42" s="1">
        <f>earnings_calc!$O42-earnings_calc!$P42</f>
        <v>88360.112999999998</v>
      </c>
      <c r="R42" s="1">
        <f t="shared" si="4"/>
        <v>1</v>
      </c>
      <c r="S42" s="1">
        <f>earnings_calc!$Q42*earnings_calc!$R42</f>
        <v>88360.112999999998</v>
      </c>
      <c r="T42" s="1">
        <f>earnings_calc!$S42+$C$57</f>
        <v>88360.112999999998</v>
      </c>
      <c r="U42" s="1">
        <f>earnings_calc!$G42+earnings_calc!$T42</f>
        <v>118360.113</v>
      </c>
      <c r="V42" s="1">
        <f>(
MAX(MIN(earnings_calc!$G42+earnings_calc!$T42,BASIC_BAND_UPPER_LIMIT+MAX(PERSONAL_TAX_ALLOWANCE-MAX((((earnings_calc!$G42+earnings_calc!$T42)-PTA_DIMINISH_FROM)/2),0),0))-MAX(earnings_calc!$G42,MAX(PERSONAL_TAX_ALLOWANCE-MAX((((earnings_calc!$G42+earnings_calc!$T42)-PTA_DIMINISH_FROM)/2),0),0)),0)
*DIVIDEND_TAX_RATE_BASIC
)+
(MAX(MIN(earnings_calc!$G42+earnings_calc!$T42,HIGHER_BAND_UPPER_LIMIT)-MAX(earnings_calc!$G42,BASIC_BAND_UPPER_LIMIT+MAX(PERSONAL_TAX_ALLOWANCE-MAX((((earnings_calc!$G42+earnings_calc!$T42)-PTA_DIMINISH_FROM)/2),0),0)),0)*DIVIDEND_TAX_RATE_HIGHER)+
(MAX(earnings_calc!$G42+earnings_calc!$T42-MAX(earnings_calc!$G42,HIGHER_BAND_UPPER_LIMIT),0)*DIVIDEND_TAX_RATE_ADDITIONAL)
-(MAX(MIN(earnings_calc!$G42+MIN(DIVIDEND_ALLOWANCE,earnings_calc!$T42),BASIC_BAND_UPPER_LIMIT+MAX(PERSONAL_TAX_ALLOWANCE-MAX((((earnings_calc!$G42+MIN(DIVIDEND_ALLOWANCE,earnings_calc!$T42))-PTA_DIMINISH_FROM)/2),0),0))-MAX(earnings_calc!$G42,MAX(PERSONAL_TAX_ALLOWANCE-MAX((((earnings_calc!$G42+MIN(DIVIDEND_ALLOWANCE,earnings_calc!$T42))-PTA_DIMINISH_FROM)/2),0),0)),0)*DIVIDEND_TAX_RATE_BASIC)
-(MAX(MIN(earnings_calc!$G42+MIN(DIVIDEND_ALLOWANCE,earnings_calc!$T42),HIGHER_BAND_UPPER_LIMIT)-MAX(earnings_calc!$G42,BASIC_BAND_UPPER_LIMIT+MAX(PERSONAL_TAX_ALLOWANCE-MAX((((earnings_calc!$G42+MIN(DIVIDEND_ALLOWANCE,earnings_calc!$T42))-PTA_DIMINISH_FROM)/2),0),0)),0)*DIVIDEND_TAX_RATE_HIGHER)
-(MAX(earnings_calc!$G42+MIN(DIVIDEND_ALLOWANCE,earnings_calc!$T42)-MAX(earnings_calc!$G42,HIGHER_BAND_UPPER_LIMIT),0)*DIVIDEND_TAX_RATE_ADDITIONAL)
-(MIN(MIN(MAX(MIN(12570,earnings_calc!$G42+ DIVIDEND_ALLOWANCE)-earnings_calc!$G42,0),1000),MAX(MIN(earnings_calc!$G42+earnings_calc!$T42,BASIC_BAND_UPPER_LIMIT+MAX(PERSONAL_TAX_ALLOWANCE-MAX((((earnings_calc!$G42+earnings_calc!$T42)-PTA_DIMINISH_FROM)/2),0),0))-MAX(earnings_calc!$G42,MAX(PERSONAL_TAX_ALLOWANCE-MAX((((earnings_calc!$G42+earnings_calc!$T42)-PTA_DIMINISH_FROM)/2),0),0)),0))* DIVIDEND_TAX_RATE_BASIC)</f>
        <v>26961.552262500001</v>
      </c>
      <c r="W42" s="1">
        <f>earnings_calc!$T42-earnings_calc!$V42</f>
        <v>61398.560737499996</v>
      </c>
      <c r="X42" s="1">
        <f t="shared" si="5"/>
        <v>3389.9435000000012</v>
      </c>
      <c r="Y42" s="1">
        <f>earnings_calc!$K42+earnings_calc!$W42</f>
        <v>83984.949437500007</v>
      </c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 t="str">
        <f t="shared" si="0"/>
        <v>2023/2024</v>
      </c>
      <c r="C43" s="1">
        <f t="shared" si="1"/>
        <v>150000</v>
      </c>
      <c r="D43" s="1">
        <v>0.3</v>
      </c>
      <c r="E43" s="1">
        <f>earnings_calc!$D43*earnings_calc!$C43</f>
        <v>45000</v>
      </c>
      <c r="F43" s="1" t="b">
        <f>earnings_calc!$E43&gt;$C$61</f>
        <v>1</v>
      </c>
      <c r="G43" s="1">
        <f>earnings_calc!$E43+$C$56</f>
        <v>45000</v>
      </c>
      <c r="H43" s="1">
        <f>(INCOME_TAX_RATE_BASIC * MAX(earnings_calc!$G43 - MAX(PERSONAL_TAX_ALLOWANCE-MAX((((earnings_calc!$G43+earnings_calc!$T43)-PTA_DIMINISH_FROM)/2),0),0), 0)) + ((INCOME_TAX_RATE_HIGHER-INCOME_TAX_RATE_BASIC) * MAX(earnings_calc!$G43 - (BASIC_BAND_UPPER_LIMIT+MAX(PERSONAL_TAX_ALLOWANCE-MAX((((earnings_calc!$G43+earnings_calc!$T43)-PTA_DIMINISH_FROM)/2),0),0)), 0)) + (INCOME_TAX_RATE_BASIC * MAX(earnings_calc!$G43 - (HIGHER_BAND_UPPER_LIMIT-(2*MAX(PERSONAL_TAX_ALLOWANCE-MAX((((earnings_calc!$G43+earnings_calc!$T43)-PTA_DIMINISH_FROM)/2),0),0))), 0))-((INCOME_TAX_RATE_BASIC+ INCOME_TAX_RATE_HIGHER - INCOME_TAX_RATE_ADDITIONAL)*MAX(earnings_calc!$G43 - HIGHER_BAND_UPPER_LIMIT, 0))</f>
        <v>9594.7325999999994</v>
      </c>
      <c r="I43" s="1">
        <f>MAX(earnings_calc!$E43-$C$60,0)*$C$59</f>
        <v>4954.2000000000007</v>
      </c>
      <c r="J43" s="1">
        <f>(12%*MAX(earnings_calc!$E43-$C$58,0)+(-10%*MAX(earnings_calc!$E43-50270,0)))</f>
        <v>3891.6</v>
      </c>
      <c r="K43" s="1">
        <f>earnings_calc!$G43-earnings_calc!$H43-earnings_calc!$J43</f>
        <v>31513.667399999998</v>
      </c>
      <c r="L43" s="1">
        <f t="shared" si="2"/>
        <v>1000</v>
      </c>
      <c r="M43" s="1">
        <f t="shared" si="3"/>
        <v>1000</v>
      </c>
      <c r="N43" s="1">
        <f>earnings_calc!$L43+earnings_calc!$E43+earnings_calc!$I43+earnings_calc!$M43</f>
        <v>51954.2</v>
      </c>
      <c r="O43" s="1">
        <f>earnings_calc!$C43-earnings_calc!$N43</f>
        <v>98045.8</v>
      </c>
      <c r="P43" s="1">
        <f>(19%*MAX(earnings_calc!$O43,0))+(7.5%*MAX(earnings_calc!$O43-50000,0))+(-1.5%*MAX(earnings_calc!$O43-250000,0))</f>
        <v>22232.137000000002</v>
      </c>
      <c r="Q43" s="1">
        <f>earnings_calc!$O43-earnings_calc!$P43</f>
        <v>75813.663</v>
      </c>
      <c r="R43" s="1">
        <f t="shared" si="4"/>
        <v>1</v>
      </c>
      <c r="S43" s="1">
        <f>earnings_calc!$Q43*earnings_calc!$R43</f>
        <v>75813.663</v>
      </c>
      <c r="T43" s="1">
        <f>earnings_calc!$S43+$C$57</f>
        <v>75813.663</v>
      </c>
      <c r="U43" s="1">
        <f>earnings_calc!$G43+earnings_calc!$T43</f>
        <v>120813.663</v>
      </c>
      <c r="V43" s="1">
        <f>(
MAX(MIN(earnings_calc!$G43+earnings_calc!$T43,BASIC_BAND_UPPER_LIMIT+MAX(PERSONAL_TAX_ALLOWANCE-MAX((((earnings_calc!$G43+earnings_calc!$T43)-PTA_DIMINISH_FROM)/2),0),0))-MAX(earnings_calc!$G43,MAX(PERSONAL_TAX_ALLOWANCE-MAX((((earnings_calc!$G43+earnings_calc!$T43)-PTA_DIMINISH_FROM)/2),0),0)),0)
*DIVIDEND_TAX_RATE_BASIC
)+
(MAX(MIN(earnings_calc!$G43+earnings_calc!$T43,HIGHER_BAND_UPPER_LIMIT)-MAX(earnings_calc!$G43,BASIC_BAND_UPPER_LIMIT+MAX(PERSONAL_TAX_ALLOWANCE-MAX((((earnings_calc!$G43+earnings_calc!$T43)-PTA_DIMINISH_FROM)/2),0),0)),0)*DIVIDEND_TAX_RATE_HIGHER)+
(MAX(earnings_calc!$G43+earnings_calc!$T43-MAX(earnings_calc!$G43,HIGHER_BAND_UPPER_LIMIT),0)*DIVIDEND_TAX_RATE_ADDITIONAL)
-(MAX(MIN(earnings_calc!$G43+MIN(DIVIDEND_ALLOWANCE,earnings_calc!$T43),BASIC_BAND_UPPER_LIMIT+MAX(PERSONAL_TAX_ALLOWANCE-MAX((((earnings_calc!$G43+MIN(DIVIDEND_ALLOWANCE,earnings_calc!$T43))-PTA_DIMINISH_FROM)/2),0),0))-MAX(earnings_calc!$G43,MAX(PERSONAL_TAX_ALLOWANCE-MAX((((earnings_calc!$G43+MIN(DIVIDEND_ALLOWANCE,earnings_calc!$T43))-PTA_DIMINISH_FROM)/2),0),0)),0)*DIVIDEND_TAX_RATE_BASIC)
-(MAX(MIN(earnings_calc!$G43+MIN(DIVIDEND_ALLOWANCE,earnings_calc!$T43),HIGHER_BAND_UPPER_LIMIT)-MAX(earnings_calc!$G43,BASIC_BAND_UPPER_LIMIT+MAX(PERSONAL_TAX_ALLOWANCE-MAX((((earnings_calc!$G43+MIN(DIVIDEND_ALLOWANCE,earnings_calc!$T43))-PTA_DIMINISH_FROM)/2),0),0)),0)*DIVIDEND_TAX_RATE_HIGHER)
-(MAX(earnings_calc!$G43+MIN(DIVIDEND_ALLOWANCE,earnings_calc!$T43)-MAX(earnings_calc!$G43,HIGHER_BAND_UPPER_LIMIT),0)*DIVIDEND_TAX_RATE_ADDITIONAL)
-(MIN(MIN(MAX(MIN(12570,earnings_calc!$G43+ DIVIDEND_ALLOWANCE)-earnings_calc!$G43,0),1000),MAX(MIN(earnings_calc!$G43+earnings_calc!$T43,BASIC_BAND_UPPER_LIMIT+MAX(PERSONAL_TAX_ALLOWANCE-MAX((((earnings_calc!$G43+earnings_calc!$T43)-PTA_DIMINISH_FROM)/2),0),0))-MAX(earnings_calc!$G43,MAX(PERSONAL_TAX_ALLOWANCE-MAX((((earnings_calc!$G43+earnings_calc!$T43)-PTA_DIMINISH_FROM)/2),0),0)),0))* DIVIDEND_TAX_RATE_BASIC)</f>
        <v>25499.611262500002</v>
      </c>
      <c r="W43" s="1">
        <f>earnings_calc!$T43-earnings_calc!$V43</f>
        <v>50314.051737499998</v>
      </c>
      <c r="X43" s="1">
        <f t="shared" si="5"/>
        <v>2163.1684999999998</v>
      </c>
      <c r="Y43" s="1">
        <f>earnings_calc!$K43+earnings_calc!$W43</f>
        <v>81827.719137499997</v>
      </c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 t="str">
        <f t="shared" si="0"/>
        <v>2023/2024</v>
      </c>
      <c r="C44" s="1">
        <f t="shared" si="1"/>
        <v>150000</v>
      </c>
      <c r="D44" s="1">
        <v>0.4</v>
      </c>
      <c r="E44" s="1">
        <f>earnings_calc!$D44*earnings_calc!$C44</f>
        <v>60000</v>
      </c>
      <c r="F44" s="1" t="b">
        <f>earnings_calc!$E44&gt;$C$61</f>
        <v>1</v>
      </c>
      <c r="G44" s="1">
        <f>earnings_calc!$E44+$C$56</f>
        <v>60000</v>
      </c>
      <c r="H44" s="1">
        <f>(INCOME_TAX_RATE_BASIC * MAX(earnings_calc!$G44 - MAX(PERSONAL_TAX_ALLOWANCE-MAX((((earnings_calc!$G44+earnings_calc!$T44)-PTA_DIMINISH_FROM)/2),0),0), 0)) + ((INCOME_TAX_RATE_HIGHER-INCOME_TAX_RATE_BASIC) * MAX(earnings_calc!$G44 - (BASIC_BAND_UPPER_LIMIT+MAX(PERSONAL_TAX_ALLOWANCE-MAX((((earnings_calc!$G44+earnings_calc!$T44)-PTA_DIMINISH_FROM)/2),0),0)), 0)) + (INCOME_TAX_RATE_BASIC * MAX(earnings_calc!$G44 - (HIGHER_BAND_UPPER_LIMIT-(2*MAX(PERSONAL_TAX_ALLOWANCE-MAX((((earnings_calc!$G44+earnings_calc!$T44)-PTA_DIMINISH_FROM)/2),0),0))), 0))-((INCOME_TAX_RATE_BASIC+ INCOME_TAX_RATE_HIGHER - INCOME_TAX_RATE_ADDITIONAL)*MAX(earnings_calc!$G44 - HIGHER_BAND_UPPER_LIMIT, 0))</f>
        <v>16085.442600000002</v>
      </c>
      <c r="I44" s="1">
        <f>MAX(earnings_calc!$E44-$C$60,0)*$C$59</f>
        <v>7024.2000000000007</v>
      </c>
      <c r="J44" s="1">
        <f>(12%*MAX(earnings_calc!$E44-$C$58,0)+(-10%*MAX(earnings_calc!$E44-50270,0)))</f>
        <v>4718.5999999999995</v>
      </c>
      <c r="K44" s="1">
        <f>earnings_calc!$G44-earnings_calc!$H44-earnings_calc!$J44</f>
        <v>39195.957399999999</v>
      </c>
      <c r="L44" s="1">
        <f t="shared" si="2"/>
        <v>1000</v>
      </c>
      <c r="M44" s="1">
        <f t="shared" si="3"/>
        <v>1000</v>
      </c>
      <c r="N44" s="1">
        <f>earnings_calc!$L44+earnings_calc!$E44+earnings_calc!$I44+earnings_calc!$M44</f>
        <v>69024.2</v>
      </c>
      <c r="O44" s="1">
        <f>earnings_calc!$C44-earnings_calc!$N44</f>
        <v>80975.8</v>
      </c>
      <c r="P44" s="1">
        <f>(19%*MAX(earnings_calc!$O44,0))+(7.5%*MAX(earnings_calc!$O44-50000,0))+(-1.5%*MAX(earnings_calc!$O44-250000,0))</f>
        <v>17708.587</v>
      </c>
      <c r="Q44" s="1">
        <f>earnings_calc!$O44-earnings_calc!$P44</f>
        <v>63267.213000000003</v>
      </c>
      <c r="R44" s="1">
        <f t="shared" si="4"/>
        <v>1</v>
      </c>
      <c r="S44" s="1">
        <f>earnings_calc!$Q44*earnings_calc!$R44</f>
        <v>63267.213000000003</v>
      </c>
      <c r="T44" s="1">
        <f>earnings_calc!$S44+$C$57</f>
        <v>63267.213000000003</v>
      </c>
      <c r="U44" s="1">
        <f>earnings_calc!$G44+earnings_calc!$T44</f>
        <v>123267.213</v>
      </c>
      <c r="V44" s="1">
        <f>(
MAX(MIN(earnings_calc!$G44+earnings_calc!$T44,BASIC_BAND_UPPER_LIMIT+MAX(PERSONAL_TAX_ALLOWANCE-MAX((((earnings_calc!$G44+earnings_calc!$T44)-PTA_DIMINISH_FROM)/2),0),0))-MAX(earnings_calc!$G44,MAX(PERSONAL_TAX_ALLOWANCE-MAX((((earnings_calc!$G44+earnings_calc!$T44)-PTA_DIMINISH_FROM)/2),0),0)),0)
*DIVIDEND_TAX_RATE_BASIC
)+
(MAX(MIN(earnings_calc!$G44+earnings_calc!$T44,HIGHER_BAND_UPPER_LIMIT)-MAX(earnings_calc!$G44,BASIC_BAND_UPPER_LIMIT+MAX(PERSONAL_TAX_ALLOWANCE-MAX((((earnings_calc!$G44+earnings_calc!$T44)-PTA_DIMINISH_FROM)/2),0),0)),0)*DIVIDEND_TAX_RATE_HIGHER)+
(MAX(earnings_calc!$G44+earnings_calc!$T44-MAX(earnings_calc!$G44,HIGHER_BAND_UPPER_LIMIT),0)*DIVIDEND_TAX_RATE_ADDITIONAL)
-(MAX(MIN(earnings_calc!$G44+MIN(DIVIDEND_ALLOWANCE,earnings_calc!$T44),BASIC_BAND_UPPER_LIMIT+MAX(PERSONAL_TAX_ALLOWANCE-MAX((((earnings_calc!$G44+MIN(DIVIDEND_ALLOWANCE,earnings_calc!$T44))-PTA_DIMINISH_FROM)/2),0),0))-MAX(earnings_calc!$G44,MAX(PERSONAL_TAX_ALLOWANCE-MAX((((earnings_calc!$G44+MIN(DIVIDEND_ALLOWANCE,earnings_calc!$T44))-PTA_DIMINISH_FROM)/2),0),0)),0)*DIVIDEND_TAX_RATE_BASIC)
-(MAX(MIN(earnings_calc!$G44+MIN(DIVIDEND_ALLOWANCE,earnings_calc!$T44),HIGHER_BAND_UPPER_LIMIT)-MAX(earnings_calc!$G44,BASIC_BAND_UPPER_LIMIT+MAX(PERSONAL_TAX_ALLOWANCE-MAX((((earnings_calc!$G44+MIN(DIVIDEND_ALLOWANCE,earnings_calc!$T44))-PTA_DIMINISH_FROM)/2),0),0)),0)*DIVIDEND_TAX_RATE_HIGHER)
-(MAX(earnings_calc!$G44+MIN(DIVIDEND_ALLOWANCE,earnings_calc!$T44)-MAX(earnings_calc!$G44,HIGHER_BAND_UPPER_LIMIT),0)*DIVIDEND_TAX_RATE_ADDITIONAL)
-(MIN(MIN(MAX(MIN(12570,earnings_calc!$G44+ DIVIDEND_ALLOWANCE)-earnings_calc!$G44,0),1000),MAX(MIN(earnings_calc!$G44+earnings_calc!$T44,BASIC_BAND_UPPER_LIMIT+MAX(PERSONAL_TAX_ALLOWANCE-MAX((((earnings_calc!$G44+earnings_calc!$T44)-PTA_DIMINISH_FROM)/2),0),0))-MAX(earnings_calc!$G44,MAX(PERSONAL_TAX_ALLOWANCE-MAX((((earnings_calc!$G44+earnings_calc!$T44)-PTA_DIMINISH_FROM)/2),0),0)),0))* DIVIDEND_TAX_RATE_BASIC)</f>
        <v>21015.184387500001</v>
      </c>
      <c r="W44" s="1">
        <f>earnings_calc!$T44-earnings_calc!$V44</f>
        <v>42252.028612499998</v>
      </c>
      <c r="X44" s="1">
        <f t="shared" si="5"/>
        <v>936.39349999999831</v>
      </c>
      <c r="Y44" s="1">
        <f>earnings_calc!$K44+earnings_calc!$W44</f>
        <v>81447.986012499998</v>
      </c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 t="str">
        <f t="shared" si="0"/>
        <v>2023/2024</v>
      </c>
      <c r="C45" s="1">
        <f t="shared" si="1"/>
        <v>150000</v>
      </c>
      <c r="D45" s="1">
        <v>0.5</v>
      </c>
      <c r="E45" s="1">
        <f>earnings_calc!$D45*earnings_calc!$C45</f>
        <v>75000</v>
      </c>
      <c r="F45" s="1" t="b">
        <f>earnings_calc!$E45&gt;$C$61</f>
        <v>1</v>
      </c>
      <c r="G45" s="1">
        <f>earnings_calc!$E45+$C$56</f>
        <v>75000</v>
      </c>
      <c r="H45" s="1">
        <f>(INCOME_TAX_RATE_BASIC * MAX(earnings_calc!$G45 - MAX(PERSONAL_TAX_ALLOWANCE-MAX((((earnings_calc!$G45+earnings_calc!$T45)-PTA_DIMINISH_FROM)/2),0),0), 0)) + ((INCOME_TAX_RATE_HIGHER-INCOME_TAX_RATE_BASIC) * MAX(earnings_calc!$G45 - (BASIC_BAND_UPPER_LIMIT+MAX(PERSONAL_TAX_ALLOWANCE-MAX((((earnings_calc!$G45+earnings_calc!$T45)-PTA_DIMINISH_FROM)/2),0),0)), 0)) + (INCOME_TAX_RATE_BASIC * MAX(earnings_calc!$G45 - (HIGHER_BAND_UPPER_LIMIT-(2*MAX(PERSONAL_TAX_ALLOWANCE-MAX((((earnings_calc!$G45+earnings_calc!$T45)-PTA_DIMINISH_FROM)/2),0),0))), 0))-((INCOME_TAX_RATE_BASIC+ INCOME_TAX_RATE_HIGHER - INCOME_TAX_RATE_ADDITIONAL)*MAX(earnings_calc!$G45 - HIGHER_BAND_UPPER_LIMIT, 0))</f>
        <v>22460</v>
      </c>
      <c r="I45" s="1">
        <f>MAX(earnings_calc!$E45-$C$60,0)*$C$59</f>
        <v>9094.2000000000007</v>
      </c>
      <c r="J45" s="1">
        <f>(12%*MAX(earnings_calc!$E45-$C$58,0)+(-10%*MAX(earnings_calc!$E45-50270,0)))</f>
        <v>5018.5999999999995</v>
      </c>
      <c r="K45" s="1">
        <f>earnings_calc!$G45-earnings_calc!$H45-earnings_calc!$J45</f>
        <v>47521.4</v>
      </c>
      <c r="L45" s="1">
        <f t="shared" si="2"/>
        <v>1000</v>
      </c>
      <c r="M45" s="1">
        <f t="shared" si="3"/>
        <v>1000</v>
      </c>
      <c r="N45" s="1">
        <f>earnings_calc!$L45+earnings_calc!$E45+earnings_calc!$I45+earnings_calc!$M45</f>
        <v>86094.2</v>
      </c>
      <c r="O45" s="1">
        <f>earnings_calc!$C45-earnings_calc!$N45</f>
        <v>63905.8</v>
      </c>
      <c r="P45" s="1">
        <f>(19%*MAX(earnings_calc!$O45,0))+(7.5%*MAX(earnings_calc!$O45-50000,0))+(-1.5%*MAX(earnings_calc!$O45-250000,0))</f>
        <v>13185.037</v>
      </c>
      <c r="Q45" s="1">
        <f>earnings_calc!$O45-earnings_calc!$P45</f>
        <v>50720.763000000006</v>
      </c>
      <c r="R45" s="1">
        <f t="shared" si="4"/>
        <v>1</v>
      </c>
      <c r="S45" s="1">
        <f>earnings_calc!$Q45*earnings_calc!$R45</f>
        <v>50720.763000000006</v>
      </c>
      <c r="T45" s="1">
        <f>earnings_calc!$S45+$C$57</f>
        <v>50720.763000000006</v>
      </c>
      <c r="U45" s="1">
        <f>earnings_calc!$G45+earnings_calc!$T45</f>
        <v>125720.76300000001</v>
      </c>
      <c r="V45" s="1">
        <f>(
MAX(MIN(earnings_calc!$G45+earnings_calc!$T45,BASIC_BAND_UPPER_LIMIT+MAX(PERSONAL_TAX_ALLOWANCE-MAX((((earnings_calc!$G45+earnings_calc!$T45)-PTA_DIMINISH_FROM)/2),0),0))-MAX(earnings_calc!$G45,MAX(PERSONAL_TAX_ALLOWANCE-MAX((((earnings_calc!$G45+earnings_calc!$T45)-PTA_DIMINISH_FROM)/2),0),0)),0)
*DIVIDEND_TAX_RATE_BASIC
)+
(MAX(MIN(earnings_calc!$G45+earnings_calc!$T45,HIGHER_BAND_UPPER_LIMIT)-MAX(earnings_calc!$G45,BASIC_BAND_UPPER_LIMIT+MAX(PERSONAL_TAX_ALLOWANCE-MAX((((earnings_calc!$G45+earnings_calc!$T45)-PTA_DIMINISH_FROM)/2),0),0)),0)*DIVIDEND_TAX_RATE_HIGHER)+
(MAX(earnings_calc!$G45+earnings_calc!$T45-MAX(earnings_calc!$G45,HIGHER_BAND_UPPER_LIMIT),0)*DIVIDEND_TAX_RATE_ADDITIONAL)
-(MAX(MIN(earnings_calc!$G45+MIN(DIVIDEND_ALLOWANCE,earnings_calc!$T45),BASIC_BAND_UPPER_LIMIT+MAX(PERSONAL_TAX_ALLOWANCE-MAX((((earnings_calc!$G45+MIN(DIVIDEND_ALLOWANCE,earnings_calc!$T45))-PTA_DIMINISH_FROM)/2),0),0))-MAX(earnings_calc!$G45,MAX(PERSONAL_TAX_ALLOWANCE-MAX((((earnings_calc!$G45+MIN(DIVIDEND_ALLOWANCE,earnings_calc!$T45))-PTA_DIMINISH_FROM)/2),0),0)),0)*DIVIDEND_TAX_RATE_BASIC)
-(MAX(MIN(earnings_calc!$G45+MIN(DIVIDEND_ALLOWANCE,earnings_calc!$T45),HIGHER_BAND_UPPER_LIMIT)-MAX(earnings_calc!$G45,BASIC_BAND_UPPER_LIMIT+MAX(PERSONAL_TAX_ALLOWANCE-MAX((((earnings_calc!$G45+MIN(DIVIDEND_ALLOWANCE,earnings_calc!$T45))-PTA_DIMINISH_FROM)/2),0),0)),0)*DIVIDEND_TAX_RATE_HIGHER)
-(MAX(earnings_calc!$G45+MIN(DIVIDEND_ALLOWANCE,earnings_calc!$T45)-MAX(earnings_calc!$G45,HIGHER_BAND_UPPER_LIMIT),0)*DIVIDEND_TAX_RATE_ADDITIONAL)
-(MIN(MIN(MAX(MIN(12570,earnings_calc!$G45+ DIVIDEND_ALLOWANCE)-earnings_calc!$G45,0),1000),MAX(MIN(earnings_calc!$G45+earnings_calc!$T45,BASIC_BAND_UPPER_LIMIT+MAX(PERSONAL_TAX_ALLOWANCE-MAX((((earnings_calc!$G45+earnings_calc!$T45)-PTA_DIMINISH_FROM)/2),0),0))-MAX(earnings_calc!$G45,MAX(PERSONAL_TAX_ALLOWANCE-MAX((((earnings_calc!$G45+earnings_calc!$T45)-PTA_DIMINISH_FROM)/2),0),0)),0))* DIVIDEND_TAX_RATE_BASIC)</f>
        <v>16813.280240500004</v>
      </c>
      <c r="W45" s="1">
        <f>earnings_calc!$T45-earnings_calc!$V45</f>
        <v>33907.482759500002</v>
      </c>
      <c r="X45" s="1">
        <f t="shared" si="5"/>
        <v>0</v>
      </c>
      <c r="Y45" s="1">
        <f>earnings_calc!$K45+earnings_calc!$W45</f>
        <v>81428.882759500004</v>
      </c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 t="str">
        <f t="shared" si="0"/>
        <v>2023/2024</v>
      </c>
      <c r="C46" s="1">
        <f t="shared" si="1"/>
        <v>150000</v>
      </c>
      <c r="D46" s="1">
        <v>0.6</v>
      </c>
      <c r="E46" s="1">
        <f>earnings_calc!$D46*earnings_calc!$C46</f>
        <v>90000</v>
      </c>
      <c r="F46" s="1" t="b">
        <f>earnings_calc!$E46&gt;$C$61</f>
        <v>1</v>
      </c>
      <c r="G46" s="1">
        <f>earnings_calc!$E46+$C$56</f>
        <v>90000</v>
      </c>
      <c r="H46" s="1">
        <f>(INCOME_TAX_RATE_BASIC * MAX(earnings_calc!$G46 - MAX(PERSONAL_TAX_ALLOWANCE-MAX((((earnings_calc!$G46+earnings_calc!$T46)-PTA_DIMINISH_FROM)/2),0),0), 0)) + ((INCOME_TAX_RATE_HIGHER-INCOME_TAX_RATE_BASIC) * MAX(earnings_calc!$G46 - (BASIC_BAND_UPPER_LIMIT+MAX(PERSONAL_TAX_ALLOWANCE-MAX((((earnings_calc!$G46+earnings_calc!$T46)-PTA_DIMINISH_FROM)/2),0),0)), 0)) + (INCOME_TAX_RATE_BASIC * MAX(earnings_calc!$G46 - (HIGHER_BAND_UPPER_LIMIT-(2*MAX(PERSONAL_TAX_ALLOWANCE-MAX((((earnings_calc!$G46+earnings_calc!$T46)-PTA_DIMINISH_FROM)/2),0),0))), 0))-((INCOME_TAX_RATE_BASIC+ INCOME_TAX_RATE_HIGHER - INCOME_TAX_RATE_ADDITIONAL)*MAX(earnings_calc!$G46 - HIGHER_BAND_UPPER_LIMIT, 0))</f>
        <v>28460</v>
      </c>
      <c r="I46" s="1">
        <f>MAX(earnings_calc!$E46-$C$60,0)*$C$59</f>
        <v>11164.2</v>
      </c>
      <c r="J46" s="1">
        <f>(12%*MAX(earnings_calc!$E46-$C$58,0)+(-10%*MAX(earnings_calc!$E46-50270,0)))</f>
        <v>5318.6</v>
      </c>
      <c r="K46" s="1">
        <f>earnings_calc!$G46-earnings_calc!$H46-earnings_calc!$J46</f>
        <v>56221.4</v>
      </c>
      <c r="L46" s="1">
        <f t="shared" si="2"/>
        <v>1000</v>
      </c>
      <c r="M46" s="1">
        <f t="shared" si="3"/>
        <v>1000</v>
      </c>
      <c r="N46" s="1">
        <f>earnings_calc!$L46+earnings_calc!$E46+earnings_calc!$I46+earnings_calc!$M46</f>
        <v>103164.2</v>
      </c>
      <c r="O46" s="1">
        <f>earnings_calc!$C46-earnings_calc!$N46</f>
        <v>46835.8</v>
      </c>
      <c r="P46" s="1">
        <f>(19%*MAX(earnings_calc!$O46,0))+(7.5%*MAX(earnings_calc!$O46-50000,0))+(-1.5%*MAX(earnings_calc!$O46-250000,0))</f>
        <v>8898.8020000000015</v>
      </c>
      <c r="Q46" s="1">
        <f>earnings_calc!$O46-earnings_calc!$P46</f>
        <v>37936.998</v>
      </c>
      <c r="R46" s="1">
        <f t="shared" si="4"/>
        <v>1</v>
      </c>
      <c r="S46" s="1">
        <f>earnings_calc!$Q46*earnings_calc!$R46</f>
        <v>37936.998</v>
      </c>
      <c r="T46" s="1">
        <f>earnings_calc!$S46+$C$57</f>
        <v>37936.998</v>
      </c>
      <c r="U46" s="1">
        <f>earnings_calc!$G46+earnings_calc!$T46</f>
        <v>127936.99799999999</v>
      </c>
      <c r="V46" s="1">
        <f>(
MAX(MIN(earnings_calc!$G46+earnings_calc!$T46,BASIC_BAND_UPPER_LIMIT+MAX(PERSONAL_TAX_ALLOWANCE-MAX((((earnings_calc!$G46+earnings_calc!$T46)-PTA_DIMINISH_FROM)/2),0),0))-MAX(earnings_calc!$G46,MAX(PERSONAL_TAX_ALLOWANCE-MAX((((earnings_calc!$G46+earnings_calc!$T46)-PTA_DIMINISH_FROM)/2),0),0)),0)
*DIVIDEND_TAX_RATE_BASIC
)+
(MAX(MIN(earnings_calc!$G46+earnings_calc!$T46,HIGHER_BAND_UPPER_LIMIT)-MAX(earnings_calc!$G46,BASIC_BAND_UPPER_LIMIT+MAX(PERSONAL_TAX_ALLOWANCE-MAX((((earnings_calc!$G46+earnings_calc!$T46)-PTA_DIMINISH_FROM)/2),0),0)),0)*DIVIDEND_TAX_RATE_HIGHER)+
(MAX(earnings_calc!$G46+earnings_calc!$T46-MAX(earnings_calc!$G46,HIGHER_BAND_UPPER_LIMIT),0)*DIVIDEND_TAX_RATE_ADDITIONAL)
-(MAX(MIN(earnings_calc!$G46+MIN(DIVIDEND_ALLOWANCE,earnings_calc!$T46),BASIC_BAND_UPPER_LIMIT+MAX(PERSONAL_TAX_ALLOWANCE-MAX((((earnings_calc!$G46+MIN(DIVIDEND_ALLOWANCE,earnings_calc!$T46))-PTA_DIMINISH_FROM)/2),0),0))-MAX(earnings_calc!$G46,MAX(PERSONAL_TAX_ALLOWANCE-MAX((((earnings_calc!$G46+MIN(DIVIDEND_ALLOWANCE,earnings_calc!$T46))-PTA_DIMINISH_FROM)/2),0),0)),0)*DIVIDEND_TAX_RATE_BASIC)
-(MAX(MIN(earnings_calc!$G46+MIN(DIVIDEND_ALLOWANCE,earnings_calc!$T46),HIGHER_BAND_UPPER_LIMIT)-MAX(earnings_calc!$G46,BASIC_BAND_UPPER_LIMIT+MAX(PERSONAL_TAX_ALLOWANCE-MAX((((earnings_calc!$G46+MIN(DIVIDEND_ALLOWANCE,earnings_calc!$T46))-PTA_DIMINISH_FROM)/2),0),0)),0)*DIVIDEND_TAX_RATE_HIGHER)
-(MAX(earnings_calc!$G46+MIN(DIVIDEND_ALLOWANCE,earnings_calc!$T46)-MAX(earnings_calc!$G46,HIGHER_BAND_UPPER_LIMIT),0)*DIVIDEND_TAX_RATE_ADDITIONAL)
-(MIN(MIN(MAX(MIN(12570,earnings_calc!$G46+ DIVIDEND_ALLOWANCE)-earnings_calc!$G46,0),1000),MAX(MIN(earnings_calc!$G46+earnings_calc!$T46,BASIC_BAND_UPPER_LIMIT+MAX(PERSONAL_TAX_ALLOWANCE-MAX((((earnings_calc!$G46+earnings_calc!$T46)-PTA_DIMINISH_FROM)/2),0),0))-MAX(earnings_calc!$G46,MAX(PERSONAL_TAX_ALLOWANCE-MAX((((earnings_calc!$G46+earnings_calc!$T46)-PTA_DIMINISH_FROM)/2),0),0)),0))* DIVIDEND_TAX_RATE_BASIC)</f>
        <v>12622.868712999996</v>
      </c>
      <c r="W46" s="1">
        <f>earnings_calc!$T46-earnings_calc!$V46</f>
        <v>25314.129287000003</v>
      </c>
      <c r="X46" s="1">
        <f t="shared" si="5"/>
        <v>0</v>
      </c>
      <c r="Y46" s="1">
        <f>earnings_calc!$K46+earnings_calc!$W46</f>
        <v>81535.529287000012</v>
      </c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 t="str">
        <f t="shared" si="0"/>
        <v>2023/2024</v>
      </c>
      <c r="C47" s="1">
        <f t="shared" si="1"/>
        <v>150000</v>
      </c>
      <c r="D47" s="1">
        <v>0.7</v>
      </c>
      <c r="E47" s="1">
        <f>earnings_calc!$D47*earnings_calc!$C47</f>
        <v>105000</v>
      </c>
      <c r="F47" s="1" t="b">
        <f>earnings_calc!$E47&gt;$C$61</f>
        <v>1</v>
      </c>
      <c r="G47" s="1">
        <f>earnings_calc!$E47+$C$56</f>
        <v>105000</v>
      </c>
      <c r="H47" s="1">
        <f>(INCOME_TAX_RATE_BASIC * MAX(earnings_calc!$G47 - MAX(PERSONAL_TAX_ALLOWANCE-MAX((((earnings_calc!$G47+earnings_calc!$T47)-PTA_DIMINISH_FROM)/2),0),0), 0)) + ((INCOME_TAX_RATE_HIGHER-INCOME_TAX_RATE_BASIC) * MAX(earnings_calc!$G47 - (BASIC_BAND_UPPER_LIMIT+MAX(PERSONAL_TAX_ALLOWANCE-MAX((((earnings_calc!$G47+earnings_calc!$T47)-PTA_DIMINISH_FROM)/2),0),0)), 0)) + (INCOME_TAX_RATE_BASIC * MAX(earnings_calc!$G47 - (HIGHER_BAND_UPPER_LIMIT-(2*MAX(PERSONAL_TAX_ALLOWANCE-MAX((((earnings_calc!$G47+earnings_calc!$T47)-PTA_DIMINISH_FROM)/2),0),0))), 0))-((INCOME_TAX_RATE_BASIC+ INCOME_TAX_RATE_HIGHER - INCOME_TAX_RATE_ADDITIONAL)*MAX(earnings_calc!$G47 - HIGHER_BAND_UPPER_LIMIT, 0))</f>
        <v>34460</v>
      </c>
      <c r="I47" s="1">
        <f>MAX(earnings_calc!$E47-$C$60,0)*$C$59</f>
        <v>13234.2</v>
      </c>
      <c r="J47" s="1">
        <f>(12%*MAX(earnings_calc!$E47-$C$58,0)+(-10%*MAX(earnings_calc!$E47-50270,0)))</f>
        <v>5618.6</v>
      </c>
      <c r="K47" s="1">
        <f>earnings_calc!$G47-earnings_calc!$H47-earnings_calc!$J47</f>
        <v>64921.4</v>
      </c>
      <c r="L47" s="1">
        <f t="shared" si="2"/>
        <v>1000</v>
      </c>
      <c r="M47" s="1">
        <f t="shared" si="3"/>
        <v>1000</v>
      </c>
      <c r="N47" s="1">
        <f>earnings_calc!$L47+earnings_calc!$E47+earnings_calc!$I47+earnings_calc!$M47</f>
        <v>120234.2</v>
      </c>
      <c r="O47" s="1">
        <f>earnings_calc!$C47-earnings_calc!$N47</f>
        <v>29765.800000000003</v>
      </c>
      <c r="P47" s="1">
        <f>(19%*MAX(earnings_calc!$O47,0))+(7.5%*MAX(earnings_calc!$O47-50000,0))+(-1.5%*MAX(earnings_calc!$O47-250000,0))</f>
        <v>5655.5020000000004</v>
      </c>
      <c r="Q47" s="1">
        <f>earnings_calc!$O47-earnings_calc!$P47</f>
        <v>24110.298000000003</v>
      </c>
      <c r="R47" s="1">
        <f t="shared" si="4"/>
        <v>1</v>
      </c>
      <c r="S47" s="1">
        <f>earnings_calc!$Q47*earnings_calc!$R47</f>
        <v>24110.298000000003</v>
      </c>
      <c r="T47" s="1">
        <f>earnings_calc!$S47+$C$57</f>
        <v>24110.298000000003</v>
      </c>
      <c r="U47" s="1">
        <f>earnings_calc!$G47+earnings_calc!$T47</f>
        <v>129110.29800000001</v>
      </c>
      <c r="V47" s="1">
        <f>(
MAX(MIN(earnings_calc!$G47+earnings_calc!$T47,BASIC_BAND_UPPER_LIMIT+MAX(PERSONAL_TAX_ALLOWANCE-MAX((((earnings_calc!$G47+earnings_calc!$T47)-PTA_DIMINISH_FROM)/2),0),0))-MAX(earnings_calc!$G47,MAX(PERSONAL_TAX_ALLOWANCE-MAX((((earnings_calc!$G47+earnings_calc!$T47)-PTA_DIMINISH_FROM)/2),0),0)),0)
*DIVIDEND_TAX_RATE_BASIC
)+
(MAX(MIN(earnings_calc!$G47+earnings_calc!$T47,HIGHER_BAND_UPPER_LIMIT)-MAX(earnings_calc!$G47,BASIC_BAND_UPPER_LIMIT+MAX(PERSONAL_TAX_ALLOWANCE-MAX((((earnings_calc!$G47+earnings_calc!$T47)-PTA_DIMINISH_FROM)/2),0),0)),0)*DIVIDEND_TAX_RATE_HIGHER)+
(MAX(earnings_calc!$G47+earnings_calc!$T47-MAX(earnings_calc!$G47,HIGHER_BAND_UPPER_LIMIT),0)*DIVIDEND_TAX_RATE_ADDITIONAL)
-(MAX(MIN(earnings_calc!$G47+MIN(DIVIDEND_ALLOWANCE,earnings_calc!$T47),BASIC_BAND_UPPER_LIMIT+MAX(PERSONAL_TAX_ALLOWANCE-MAX((((earnings_calc!$G47+MIN(DIVIDEND_ALLOWANCE,earnings_calc!$T47))-PTA_DIMINISH_FROM)/2),0),0))-MAX(earnings_calc!$G47,MAX(PERSONAL_TAX_ALLOWANCE-MAX((((earnings_calc!$G47+MIN(DIVIDEND_ALLOWANCE,earnings_calc!$T47))-PTA_DIMINISH_FROM)/2),0),0)),0)*DIVIDEND_TAX_RATE_BASIC)
-(MAX(MIN(earnings_calc!$G47+MIN(DIVIDEND_ALLOWANCE,earnings_calc!$T47),HIGHER_BAND_UPPER_LIMIT)-MAX(earnings_calc!$G47,BASIC_BAND_UPPER_LIMIT+MAX(PERSONAL_TAX_ALLOWANCE-MAX((((earnings_calc!$G47+MIN(DIVIDEND_ALLOWANCE,earnings_calc!$T47))-PTA_DIMINISH_FROM)/2),0),0)),0)*DIVIDEND_TAX_RATE_HIGHER)
-(MAX(earnings_calc!$G47+MIN(DIVIDEND_ALLOWANCE,earnings_calc!$T47)-MAX(earnings_calc!$G47,HIGHER_BAND_UPPER_LIMIT),0)*DIVIDEND_TAX_RATE_ADDITIONAL)
-(MIN(MIN(MAX(MIN(12570,earnings_calc!$G47+ DIVIDEND_ALLOWANCE)-earnings_calc!$G47,0),1000),MAX(MIN(earnings_calc!$G47+earnings_calc!$T47,BASIC_BAND_UPPER_LIMIT+MAX(PERSONAL_TAX_ALLOWANCE-MAX((((earnings_calc!$G47+earnings_calc!$T47)-PTA_DIMINISH_FROM)/2),0),0))-MAX(earnings_calc!$G47,MAX(PERSONAL_TAX_ALLOWANCE-MAX((((earnings_calc!$G47+earnings_calc!$T47)-PTA_DIMINISH_FROM)/2),0),0)),0))* DIVIDEND_TAX_RATE_BASIC)</f>
        <v>8022.0622630000034</v>
      </c>
      <c r="W47" s="1">
        <f>earnings_calc!$T47-earnings_calc!$V47</f>
        <v>16088.235736999999</v>
      </c>
      <c r="X47" s="1">
        <f t="shared" si="5"/>
        <v>0</v>
      </c>
      <c r="Y47" s="1">
        <f>earnings_calc!$K47+earnings_calc!$W47</f>
        <v>81009.635737000004</v>
      </c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 t="str">
        <f t="shared" si="0"/>
        <v>2023/2024</v>
      </c>
      <c r="C48" s="1">
        <f t="shared" si="1"/>
        <v>150000</v>
      </c>
      <c r="D48" s="1">
        <v>0.8</v>
      </c>
      <c r="E48" s="1">
        <f>earnings_calc!$D48*earnings_calc!$C48</f>
        <v>120000</v>
      </c>
      <c r="F48" s="1" t="b">
        <f>earnings_calc!$E48&gt;$C$61</f>
        <v>1</v>
      </c>
      <c r="G48" s="1">
        <f>earnings_calc!$E48+$C$56</f>
        <v>120000</v>
      </c>
      <c r="H48" s="1">
        <f>(INCOME_TAX_RATE_BASIC * MAX(earnings_calc!$G48 - MAX(PERSONAL_TAX_ALLOWANCE-MAX((((earnings_calc!$G48+earnings_calc!$T48)-PTA_DIMINISH_FROM)/2),0),0), 0)) + ((INCOME_TAX_RATE_HIGHER-INCOME_TAX_RATE_BASIC) * MAX(earnings_calc!$G48 - (BASIC_BAND_UPPER_LIMIT+MAX(PERSONAL_TAX_ALLOWANCE-MAX((((earnings_calc!$G48+earnings_calc!$T48)-PTA_DIMINISH_FROM)/2),0),0)), 0)) + (INCOME_TAX_RATE_BASIC * MAX(earnings_calc!$G48 - (HIGHER_BAND_UPPER_LIMIT-(2*MAX(PERSONAL_TAX_ALLOWANCE-MAX((((earnings_calc!$G48+earnings_calc!$T48)-PTA_DIMINISH_FROM)/2),0),0))), 0))-((INCOME_TAX_RATE_BASIC+ INCOME_TAX_RATE_HIGHER - INCOME_TAX_RATE_ADDITIONAL)*MAX(earnings_calc!$G48 - HIGHER_BAND_UPPER_LIMIT, 0))</f>
        <v>40460</v>
      </c>
      <c r="I48" s="1">
        <f>MAX(earnings_calc!$E48-$C$60,0)*$C$59</f>
        <v>15304.2</v>
      </c>
      <c r="J48" s="1">
        <f>(12%*MAX(earnings_calc!$E48-$C$58,0)+(-10%*MAX(earnings_calc!$E48-50270,0)))</f>
        <v>5918.6</v>
      </c>
      <c r="K48" s="1">
        <f>earnings_calc!$G48-earnings_calc!$H48-earnings_calc!$J48</f>
        <v>73621.399999999994</v>
      </c>
      <c r="L48" s="1">
        <f t="shared" si="2"/>
        <v>1000</v>
      </c>
      <c r="M48" s="1">
        <f t="shared" si="3"/>
        <v>1000</v>
      </c>
      <c r="N48" s="1">
        <f>earnings_calc!$L48+earnings_calc!$E48+earnings_calc!$I48+earnings_calc!$M48</f>
        <v>137304.20000000001</v>
      </c>
      <c r="O48" s="1">
        <f>earnings_calc!$C48-earnings_calc!$N48</f>
        <v>12695.799999999988</v>
      </c>
      <c r="P48" s="1">
        <f>(19%*MAX(earnings_calc!$O48,0))+(7.5%*MAX(earnings_calc!$O48-50000,0))+(-1.5%*MAX(earnings_calc!$O48-250000,0))</f>
        <v>2412.201999999998</v>
      </c>
      <c r="Q48" s="1">
        <f>earnings_calc!$O48-earnings_calc!$P48</f>
        <v>10283.597999999991</v>
      </c>
      <c r="R48" s="1">
        <f t="shared" si="4"/>
        <v>1</v>
      </c>
      <c r="S48" s="1">
        <f>earnings_calc!$Q48*earnings_calc!$R48</f>
        <v>10283.597999999991</v>
      </c>
      <c r="T48" s="1">
        <f>earnings_calc!$S48+$C$57</f>
        <v>10283.597999999991</v>
      </c>
      <c r="U48" s="1">
        <f>earnings_calc!$G48+earnings_calc!$T48</f>
        <v>130283.598</v>
      </c>
      <c r="V48" s="1">
        <f>(
MAX(MIN(earnings_calc!$G48+earnings_calc!$T48,BASIC_BAND_UPPER_LIMIT+MAX(PERSONAL_TAX_ALLOWANCE-MAX((((earnings_calc!$G48+earnings_calc!$T48)-PTA_DIMINISH_FROM)/2),0),0))-MAX(earnings_calc!$G48,MAX(PERSONAL_TAX_ALLOWANCE-MAX((((earnings_calc!$G48+earnings_calc!$T48)-PTA_DIMINISH_FROM)/2),0),0)),0)
*DIVIDEND_TAX_RATE_BASIC
)+
(MAX(MIN(earnings_calc!$G48+earnings_calc!$T48,HIGHER_BAND_UPPER_LIMIT)-MAX(earnings_calc!$G48,BASIC_BAND_UPPER_LIMIT+MAX(PERSONAL_TAX_ALLOWANCE-MAX((((earnings_calc!$G48+earnings_calc!$T48)-PTA_DIMINISH_FROM)/2),0),0)),0)*DIVIDEND_TAX_RATE_HIGHER)+
(MAX(earnings_calc!$G48+earnings_calc!$T48-MAX(earnings_calc!$G48,HIGHER_BAND_UPPER_LIMIT),0)*DIVIDEND_TAX_RATE_ADDITIONAL)
-(MAX(MIN(earnings_calc!$G48+MIN(DIVIDEND_ALLOWANCE,earnings_calc!$T48),BASIC_BAND_UPPER_LIMIT+MAX(PERSONAL_TAX_ALLOWANCE-MAX((((earnings_calc!$G48+MIN(DIVIDEND_ALLOWANCE,earnings_calc!$T48))-PTA_DIMINISH_FROM)/2),0),0))-MAX(earnings_calc!$G48,MAX(PERSONAL_TAX_ALLOWANCE-MAX((((earnings_calc!$G48+MIN(DIVIDEND_ALLOWANCE,earnings_calc!$T48))-PTA_DIMINISH_FROM)/2),0),0)),0)*DIVIDEND_TAX_RATE_BASIC)
-(MAX(MIN(earnings_calc!$G48+MIN(DIVIDEND_ALLOWANCE,earnings_calc!$T48),HIGHER_BAND_UPPER_LIMIT)-MAX(earnings_calc!$G48,BASIC_BAND_UPPER_LIMIT+MAX(PERSONAL_TAX_ALLOWANCE-MAX((((earnings_calc!$G48+MIN(DIVIDEND_ALLOWANCE,earnings_calc!$T48))-PTA_DIMINISH_FROM)/2),0),0)),0)*DIVIDEND_TAX_RATE_HIGHER)
-(MAX(earnings_calc!$G48+MIN(DIVIDEND_ALLOWANCE,earnings_calc!$T48)-MAX(earnings_calc!$G48,HIGHER_BAND_UPPER_LIMIT),0)*DIVIDEND_TAX_RATE_ADDITIONAL)
-(MIN(MIN(MAX(MIN(12570,earnings_calc!$G48+ DIVIDEND_ALLOWANCE)-earnings_calc!$G48,0),1000),MAX(MIN(earnings_calc!$G48+earnings_calc!$T48,BASIC_BAND_UPPER_LIMIT+MAX(PERSONAL_TAX_ALLOWANCE-MAX((((earnings_calc!$G48+earnings_calc!$T48)-PTA_DIMINISH_FROM)/2),0),0))-MAX(earnings_calc!$G48,MAX(PERSONAL_TAX_ALLOWANCE-MAX((((earnings_calc!$G48+earnings_calc!$T48)-PTA_DIMINISH_FROM)/2),0),0)),0))* DIVIDEND_TAX_RATE_BASIC)</f>
        <v>3421.2558129999998</v>
      </c>
      <c r="W48" s="1">
        <f>earnings_calc!$T48-earnings_calc!$V48</f>
        <v>6862.3421869999911</v>
      </c>
      <c r="X48" s="1">
        <f t="shared" si="5"/>
        <v>0</v>
      </c>
      <c r="Y48" s="1">
        <f>earnings_calc!$K48+earnings_calc!$W48</f>
        <v>80483.742186999982</v>
      </c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 t="s">
        <v>44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 t="s">
        <v>24</v>
      </c>
      <c r="C52" s="1" t="s">
        <v>45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 t="s">
        <v>46</v>
      </c>
      <c r="C53" s="1">
        <v>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 t="s">
        <v>25</v>
      </c>
      <c r="C54" s="1">
        <v>150000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 t="s">
        <v>32</v>
      </c>
      <c r="C55" s="1">
        <v>1000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 t="s">
        <v>47</v>
      </c>
      <c r="C56" s="1">
        <v>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 t="s">
        <v>48</v>
      </c>
      <c r="C57" s="1">
        <v>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 t="s">
        <v>49</v>
      </c>
      <c r="C58" s="1">
        <v>12570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 t="s">
        <v>50</v>
      </c>
      <c r="C59" s="1">
        <v>0.13800000000000001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 t="s">
        <v>51</v>
      </c>
      <c r="C60" s="1">
        <v>9100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 t="s">
        <v>52</v>
      </c>
      <c r="C61" s="1">
        <v>6396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 t="s">
        <v>53</v>
      </c>
      <c r="C62" s="1">
        <v>1000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conditionalFormatting sqref="A11:Q11 A12:D28 A3:H8 E14:H28 H7:AD8 I3:AD6 I12:Q28 R11:AD28 A29:AG106 C11:C28">
    <cfRule type="containsBlanks" dxfId="27" priority="2">
      <formula>LEN(TRIM(A3))=0</formula>
    </cfRule>
  </conditionalFormatting>
  <conditionalFormatting sqref="E12:H12 E13 G13:H13">
    <cfRule type="containsBlanks" dxfId="30" priority="3">
      <formula>LEN(TRIM(E12))=0</formula>
    </cfRule>
  </conditionalFormatting>
  <conditionalFormatting sqref="F13">
    <cfRule type="containsBlanks" dxfId="29" priority="4">
      <formula>LEN(TRIM(F13))=0</formula>
    </cfRule>
  </conditionalFormatting>
  <conditionalFormatting sqref="A1:AD2 A1:D6">
    <cfRule type="containsBlanks" dxfId="28" priority="5">
      <formula>LEN(TRIM(A1))=0</formula>
    </cfRule>
  </conditionalFormatting>
  <conditionalFormatting sqref="A9:XFD10">
    <cfRule type="containsBlanks" dxfId="0" priority="1">
      <formula>LEN(TRIM(A9))=0</formula>
    </cfRule>
  </conditionalFormatting>
  <pageMargins left="0.7" right="0.7" top="0.75" bottom="0.75" header="0" footer="0"/>
  <pageSetup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earnings_calc</vt:lpstr>
      <vt:lpstr>BASIC_BAND_UPPER_LIMIT</vt:lpstr>
      <vt:lpstr>DIVIDEND_ALLOWANCE</vt:lpstr>
      <vt:lpstr>DIVIDEND_TAX_RATE_ADDITIONAL</vt:lpstr>
      <vt:lpstr>DIVIDEND_TAX_RATE_BASIC</vt:lpstr>
      <vt:lpstr>DIVIDEND_TAX_RATE_HIGHER</vt:lpstr>
      <vt:lpstr>HIGHER_BAND_UPPER_LIMIT</vt:lpstr>
      <vt:lpstr>INCOME_TAX_RATE_ADDITIONAL</vt:lpstr>
      <vt:lpstr>INCOME_TAX_RATE_BASIC</vt:lpstr>
      <vt:lpstr>INCOME_TAX_RATE_HIGHER</vt:lpstr>
      <vt:lpstr>PERSONAL_TAX_ALLOWANCE</vt:lpstr>
      <vt:lpstr>PTA_DIMINISH_FROM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Thomas</dc:creator>
  <cp:lastModifiedBy>Matt Thomas</cp:lastModifiedBy>
  <dcterms:created xsi:type="dcterms:W3CDTF">2023-05-21T10:52:25Z</dcterms:created>
  <dcterms:modified xsi:type="dcterms:W3CDTF">2023-05-29T12:50:00Z</dcterms:modified>
</cp:coreProperties>
</file>