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rth Sea Ecosystem Model\1990 Start Time\"/>
    </mc:Choice>
  </mc:AlternateContent>
  <xr:revisionPtr revIDLastSave="0" documentId="13_ncr:1_{50208E44-BE23-4A63-900B-8D45AFD691EA}" xr6:coauthVersionLast="47" xr6:coauthVersionMax="47" xr10:uidLastSave="{00000000-0000-0000-0000-000000000000}"/>
  <bookViews>
    <workbookView xWindow="28680" yWindow="-120" windowWidth="29040" windowHeight="15840" activeTab="1" xr2:uid="{4808C319-E72E-4B91-9F11-DA97EA8B8F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F11" i="2" s="1"/>
  <c r="E12" i="2"/>
  <c r="E13" i="2"/>
  <c r="F13" i="2" s="1"/>
  <c r="E14" i="2"/>
  <c r="F14" i="2" s="1"/>
  <c r="E7" i="2"/>
  <c r="F7" i="2" s="1"/>
  <c r="C21" i="2"/>
  <c r="C22" i="2"/>
  <c r="C23" i="2"/>
  <c r="C24" i="2"/>
  <c r="C25" i="2"/>
  <c r="C26" i="2"/>
  <c r="C27" i="2"/>
  <c r="C20" i="2"/>
  <c r="D21" i="2"/>
  <c r="D22" i="2"/>
  <c r="D23" i="2"/>
  <c r="D24" i="2"/>
  <c r="D25" i="2"/>
  <c r="D26" i="2"/>
  <c r="D27" i="2"/>
  <c r="D20" i="2"/>
  <c r="F8" i="2"/>
  <c r="F9" i="2"/>
  <c r="F10" i="2"/>
  <c r="F12" i="2"/>
  <c r="K3" i="2"/>
  <c r="G7" i="2" l="1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O5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" i="1"/>
  <c r="N2" i="1"/>
  <c r="L2" i="1"/>
  <c r="O2" i="1"/>
  <c r="V2" i="1"/>
  <c r="T2" i="1"/>
  <c r="R2" i="1"/>
  <c r="S2" i="1"/>
  <c r="H31" i="1" l="1"/>
  <c r="H37" i="1"/>
  <c r="H30" i="1"/>
  <c r="H24" i="1"/>
  <c r="H27" i="1"/>
  <c r="H26" i="1"/>
  <c r="H25" i="1"/>
  <c r="H20" i="1"/>
  <c r="H19" i="1"/>
  <c r="H18" i="1"/>
  <c r="H17" i="1"/>
  <c r="H16" i="1"/>
  <c r="H15" i="1"/>
  <c r="B14" i="2" l="1"/>
  <c r="B13" i="2"/>
  <c r="B12" i="2"/>
  <c r="B10" i="2"/>
  <c r="B11" i="2"/>
  <c r="B9" i="2"/>
  <c r="B8" i="2"/>
  <c r="B7" i="2"/>
  <c r="B6" i="2"/>
  <c r="B5" i="2"/>
  <c r="B4" i="2"/>
  <c r="B3" i="2"/>
  <c r="B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I2" i="2" l="1"/>
  <c r="C2" i="2"/>
  <c r="F3" i="2"/>
  <c r="G3" i="2" s="1"/>
  <c r="H3" i="2" s="1"/>
  <c r="C3" i="2"/>
  <c r="I10" i="2"/>
  <c r="J10" i="2" s="1"/>
  <c r="C10" i="2"/>
  <c r="I7" i="2"/>
  <c r="J7" i="2" s="1"/>
  <c r="C7" i="2"/>
  <c r="I11" i="2"/>
  <c r="J11" i="2" s="1"/>
  <c r="C11" i="2"/>
  <c r="F4" i="2"/>
  <c r="G4" i="2" s="1"/>
  <c r="H4" i="2" s="1"/>
  <c r="C4" i="2"/>
  <c r="I12" i="2"/>
  <c r="J12" i="2" s="1"/>
  <c r="C12" i="2"/>
  <c r="I8" i="2"/>
  <c r="J8" i="2" s="1"/>
  <c r="C8" i="2"/>
  <c r="F5" i="2"/>
  <c r="G5" i="2" s="1"/>
  <c r="H5" i="2" s="1"/>
  <c r="C5" i="2"/>
  <c r="I13" i="2"/>
  <c r="J13" i="2" s="1"/>
  <c r="C13" i="2"/>
  <c r="I9" i="2"/>
  <c r="J9" i="2" s="1"/>
  <c r="C9" i="2"/>
  <c r="I6" i="2"/>
  <c r="C6" i="2"/>
  <c r="I14" i="2"/>
  <c r="J14" i="2" s="1"/>
  <c r="C14" i="2"/>
  <c r="F2" i="2"/>
  <c r="G2" i="2" s="1"/>
  <c r="H2" i="2" s="1"/>
  <c r="J2" i="2" s="1"/>
  <c r="F6" i="2"/>
  <c r="G6" i="2" s="1"/>
  <c r="H6" i="2" s="1"/>
  <c r="I3" i="2"/>
  <c r="J3" i="2" s="1"/>
  <c r="I4" i="2"/>
  <c r="J4" i="2" s="1"/>
  <c r="I5" i="2"/>
  <c r="J5" i="2" s="1"/>
  <c r="J6" i="2" l="1"/>
</calcChain>
</file>

<file path=xl/sharedStrings.xml><?xml version="1.0" encoding="utf-8"?>
<sst xmlns="http://schemas.openxmlformats.org/spreadsheetml/2006/main" count="122" uniqueCount="85">
  <si>
    <t>Minke whales</t>
  </si>
  <si>
    <t>Harbour porpoise</t>
  </si>
  <si>
    <t>White-beaked dolphin</t>
  </si>
  <si>
    <t>Grey seal</t>
  </si>
  <si>
    <t>Harbour seal</t>
  </si>
  <si>
    <t>Auks</t>
  </si>
  <si>
    <t>Fulmars</t>
  </si>
  <si>
    <t>Gulls</t>
  </si>
  <si>
    <t>Gannets</t>
  </si>
  <si>
    <t>Prey \ predator</t>
  </si>
  <si>
    <t>Elasmobranchs</t>
  </si>
  <si>
    <t>Cod (A)</t>
  </si>
  <si>
    <t>Cod (J)</t>
  </si>
  <si>
    <t>Whiting (A)</t>
  </si>
  <si>
    <t>Whiting (J)</t>
  </si>
  <si>
    <t>Haddock (A)</t>
  </si>
  <si>
    <t>Haddock (J)</t>
  </si>
  <si>
    <t>Saithe (A)</t>
  </si>
  <si>
    <t>Saithe (J)</t>
  </si>
  <si>
    <t>Hake</t>
  </si>
  <si>
    <t>Other piscivorous fishes</t>
  </si>
  <si>
    <t>Other planktivorous fishes</t>
  </si>
  <si>
    <t>Norway pout</t>
  </si>
  <si>
    <t>Herring (A)</t>
  </si>
  <si>
    <t>Herring (J)</t>
  </si>
  <si>
    <t>Sprat</t>
  </si>
  <si>
    <t>Horse mackerel</t>
  </si>
  <si>
    <t>Mackerel</t>
  </si>
  <si>
    <t>Sandeel</t>
  </si>
  <si>
    <t>Other flatfishes</t>
  </si>
  <si>
    <t>Dab</t>
  </si>
  <si>
    <t>Turbot</t>
  </si>
  <si>
    <t>Plaice</t>
  </si>
  <si>
    <t>Sole</t>
  </si>
  <si>
    <t>Larval fishes</t>
  </si>
  <si>
    <t>Cephalopods</t>
  </si>
  <si>
    <t>Sessile epifauna</t>
  </si>
  <si>
    <t>Echinoderms</t>
  </si>
  <si>
    <t>Norway lobster</t>
  </si>
  <si>
    <t>Other benthic invertebrates</t>
  </si>
  <si>
    <t>Carnivorous zooplankon</t>
  </si>
  <si>
    <t>Herbivorous zooplankton</t>
  </si>
  <si>
    <t>Microzooplankton</t>
  </si>
  <si>
    <t>Gelatinous zooplankton</t>
  </si>
  <si>
    <t>Benthic crustaceans</t>
  </si>
  <si>
    <t>Benthic meiofauna</t>
  </si>
  <si>
    <t>Phytoplankton</t>
  </si>
  <si>
    <t>Fishing discards</t>
  </si>
  <si>
    <t>Detritus</t>
  </si>
  <si>
    <t>Import</t>
  </si>
  <si>
    <t>Sum</t>
  </si>
  <si>
    <t>(1 - Sum)</t>
  </si>
  <si>
    <t>Need</t>
  </si>
  <si>
    <t>KJ/g</t>
  </si>
  <si>
    <t>Species</t>
  </si>
  <si>
    <t>Source</t>
  </si>
  <si>
    <t>Atlantic puffin</t>
  </si>
  <si>
    <t>common guillemot</t>
  </si>
  <si>
    <t>razorbill</t>
  </si>
  <si>
    <t>fulmar</t>
  </si>
  <si>
    <t>Gannet</t>
  </si>
  <si>
    <t>black-legged kittiwake</t>
  </si>
  <si>
    <t>herring gull</t>
  </si>
  <si>
    <t>lesser black beaked gull</t>
  </si>
  <si>
    <t>Daily Energy Need (kj)</t>
  </si>
  <si>
    <t>Hunt et al. 2000</t>
  </si>
  <si>
    <t>Hunt et al. 2000 (Hill and DeMaster 1998)</t>
  </si>
  <si>
    <t>Q/B</t>
  </si>
  <si>
    <t>Average Weight (kg)</t>
  </si>
  <si>
    <t>Individual Annual Consumption</t>
  </si>
  <si>
    <t>Abundance (N)</t>
  </si>
  <si>
    <t>Population Annual Consumption (Q)</t>
  </si>
  <si>
    <t>Population Biomass (B)</t>
  </si>
  <si>
    <t>Individual Daily Consumption (kg)</t>
  </si>
  <si>
    <t>Pedersen and Hislop 2001</t>
  </si>
  <si>
    <t>Lawson et al. 1998</t>
  </si>
  <si>
    <t>Albo-Puigserver et al. 2017</t>
  </si>
  <si>
    <t>Assumed</t>
  </si>
  <si>
    <t>Spitz et al. 2010</t>
  </si>
  <si>
    <t>Atlantic Puffin</t>
  </si>
  <si>
    <t>Common Guillemot</t>
  </si>
  <si>
    <t>Razorbill</t>
  </si>
  <si>
    <t>Fulmar</t>
  </si>
  <si>
    <t>Average Weight (g)</t>
  </si>
  <si>
    <t>FMR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</si>
</sst>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2CDE-03F5-4F74-822F-CDD4CA5777EA}">
  <dimension ref="A1:V54"/>
  <sheetViews>
    <sheetView topLeftCell="B1" workbookViewId="0">
      <selection activeCell="P3" sqref="P3"/>
    </sheetView>
  </sheetViews>
  <sheetFormatPr defaultRowHeight="14.4" x14ac:dyDescent="0.3"/>
  <cols>
    <col min="1" max="1" width="23.6640625" bestFit="1" customWidth="1"/>
    <col min="6" max="6" width="8.88671875" style="3"/>
    <col min="15" max="15" width="11" bestFit="1" customWidth="1"/>
    <col min="18" max="18" width="11" bestFit="1" customWidth="1"/>
    <col min="20" max="20" width="12" bestFit="1" customWidth="1"/>
    <col min="22" max="22" width="11" bestFit="1" customWidth="1"/>
  </cols>
  <sheetData>
    <row r="1" spans="1:22" x14ac:dyDescent="0.3">
      <c r="A1" t="s">
        <v>9</v>
      </c>
      <c r="B1" t="s">
        <v>5</v>
      </c>
      <c r="C1" t="s">
        <v>6</v>
      </c>
      <c r="D1" t="s">
        <v>7</v>
      </c>
      <c r="E1" t="s">
        <v>8</v>
      </c>
      <c r="F1" s="3" t="s">
        <v>52</v>
      </c>
      <c r="H1" t="s">
        <v>53</v>
      </c>
      <c r="I1" t="s">
        <v>55</v>
      </c>
      <c r="L1" t="s">
        <v>79</v>
      </c>
      <c r="M1" t="s">
        <v>80</v>
      </c>
      <c r="N1" t="s">
        <v>81</v>
      </c>
      <c r="O1" t="s">
        <v>5</v>
      </c>
      <c r="Q1" t="s">
        <v>82</v>
      </c>
      <c r="S1" t="s">
        <v>7</v>
      </c>
      <c r="U1" t="s">
        <v>8</v>
      </c>
    </row>
    <row r="2" spans="1:22" x14ac:dyDescent="0.3">
      <c r="L2">
        <f>108.2/365</f>
        <v>0.29643835616438358</v>
      </c>
      <c r="N2">
        <f>99.54/365</f>
        <v>0.27271232876712331</v>
      </c>
      <c r="O2">
        <f>AVERAGE(L2:N2)*10^9</f>
        <v>284575342.46575344</v>
      </c>
      <c r="Q2">
        <v>1094.9000000000001</v>
      </c>
      <c r="R2">
        <f>Q2*10^9</f>
        <v>1094900000000.0001</v>
      </c>
      <c r="S2">
        <f>AVERAGE(39.37,44.18,69.52,451.4,301.29,307.01)</f>
        <v>202.12833333333333</v>
      </c>
      <c r="T2">
        <f>S2*10^9</f>
        <v>202128333333.33334</v>
      </c>
      <c r="U2">
        <v>273.22000000000003</v>
      </c>
      <c r="V2">
        <f>U2*10^9</f>
        <v>273220000000.00003</v>
      </c>
    </row>
    <row r="3" spans="1:22" x14ac:dyDescent="0.3">
      <c r="A3" t="s">
        <v>0</v>
      </c>
      <c r="B3">
        <v>0</v>
      </c>
      <c r="C3">
        <v>0</v>
      </c>
      <c r="D3">
        <v>0</v>
      </c>
      <c r="E3">
        <v>0</v>
      </c>
      <c r="F3" s="3">
        <f t="shared" ref="F3:F34" si="0">IF(SUM(B3:E3)&gt;0,1,0)</f>
        <v>0</v>
      </c>
      <c r="H3">
        <v>1</v>
      </c>
      <c r="L3">
        <v>0</v>
      </c>
      <c r="M3">
        <v>0</v>
      </c>
      <c r="N3">
        <v>0</v>
      </c>
      <c r="O3">
        <f>$O$2*B3</f>
        <v>0</v>
      </c>
      <c r="Q3">
        <v>0</v>
      </c>
      <c r="S3" s="4">
        <v>0</v>
      </c>
      <c r="U3">
        <v>0</v>
      </c>
    </row>
    <row r="4" spans="1:22" x14ac:dyDescent="0.3">
      <c r="A4" t="s">
        <v>1</v>
      </c>
      <c r="B4">
        <v>0</v>
      </c>
      <c r="C4">
        <v>0</v>
      </c>
      <c r="D4">
        <v>0</v>
      </c>
      <c r="E4">
        <v>0</v>
      </c>
      <c r="F4" s="3">
        <f t="shared" si="0"/>
        <v>0</v>
      </c>
      <c r="H4">
        <v>1</v>
      </c>
      <c r="L4">
        <v>0</v>
      </c>
      <c r="M4">
        <v>0</v>
      </c>
      <c r="N4">
        <v>0</v>
      </c>
      <c r="O4">
        <f t="shared" ref="O4:O53" si="1">$O$2*B4</f>
        <v>0</v>
      </c>
      <c r="Q4">
        <v>0</v>
      </c>
      <c r="S4" s="4">
        <v>0</v>
      </c>
      <c r="U4">
        <v>0</v>
      </c>
    </row>
    <row r="5" spans="1:22" x14ac:dyDescent="0.3">
      <c r="A5" t="s">
        <v>2</v>
      </c>
      <c r="B5">
        <v>0</v>
      </c>
      <c r="C5">
        <v>0</v>
      </c>
      <c r="D5">
        <v>0</v>
      </c>
      <c r="E5">
        <v>0</v>
      </c>
      <c r="F5" s="3">
        <f t="shared" si="0"/>
        <v>0</v>
      </c>
      <c r="H5">
        <v>1</v>
      </c>
      <c r="L5">
        <v>0</v>
      </c>
      <c r="M5">
        <v>0</v>
      </c>
      <c r="N5">
        <v>0</v>
      </c>
      <c r="O5">
        <f t="shared" si="1"/>
        <v>0</v>
      </c>
      <c r="Q5">
        <v>0</v>
      </c>
      <c r="S5" s="4">
        <v>0</v>
      </c>
      <c r="U5">
        <v>0</v>
      </c>
    </row>
    <row r="6" spans="1:22" x14ac:dyDescent="0.3">
      <c r="A6" t="s">
        <v>3</v>
      </c>
      <c r="B6">
        <v>0</v>
      </c>
      <c r="C6">
        <v>0</v>
      </c>
      <c r="D6">
        <v>0</v>
      </c>
      <c r="E6">
        <v>0</v>
      </c>
      <c r="F6" s="3">
        <f t="shared" si="0"/>
        <v>0</v>
      </c>
      <c r="H6">
        <v>1</v>
      </c>
      <c r="L6">
        <v>0</v>
      </c>
      <c r="M6">
        <v>0</v>
      </c>
      <c r="N6">
        <v>0</v>
      </c>
      <c r="O6">
        <f t="shared" si="1"/>
        <v>0</v>
      </c>
      <c r="Q6">
        <v>0</v>
      </c>
      <c r="S6" s="4">
        <v>0</v>
      </c>
      <c r="U6">
        <v>0</v>
      </c>
    </row>
    <row r="7" spans="1:22" x14ac:dyDescent="0.3">
      <c r="A7" t="s">
        <v>4</v>
      </c>
      <c r="B7">
        <v>0</v>
      </c>
      <c r="C7">
        <v>0</v>
      </c>
      <c r="D7">
        <v>0</v>
      </c>
      <c r="E7">
        <v>0</v>
      </c>
      <c r="F7" s="3">
        <f t="shared" si="0"/>
        <v>0</v>
      </c>
      <c r="H7">
        <v>1</v>
      </c>
      <c r="L7">
        <v>0</v>
      </c>
      <c r="M7">
        <v>0</v>
      </c>
      <c r="N7">
        <v>0</v>
      </c>
      <c r="O7">
        <f t="shared" si="1"/>
        <v>0</v>
      </c>
      <c r="Q7">
        <v>0</v>
      </c>
      <c r="S7" s="4">
        <v>0</v>
      </c>
      <c r="U7">
        <v>0</v>
      </c>
    </row>
    <row r="8" spans="1:22" x14ac:dyDescent="0.3">
      <c r="A8" t="s">
        <v>5</v>
      </c>
      <c r="B8">
        <v>0</v>
      </c>
      <c r="C8">
        <v>0</v>
      </c>
      <c r="D8">
        <v>0</v>
      </c>
      <c r="E8">
        <v>0</v>
      </c>
      <c r="F8" s="3">
        <f t="shared" si="0"/>
        <v>0</v>
      </c>
      <c r="H8">
        <v>1</v>
      </c>
      <c r="L8">
        <v>0</v>
      </c>
      <c r="M8">
        <v>0</v>
      </c>
      <c r="N8">
        <v>0</v>
      </c>
      <c r="O8">
        <f t="shared" si="1"/>
        <v>0</v>
      </c>
      <c r="Q8">
        <v>0</v>
      </c>
      <c r="S8" s="4">
        <v>0</v>
      </c>
      <c r="U8">
        <v>0</v>
      </c>
    </row>
    <row r="9" spans="1:22" x14ac:dyDescent="0.3">
      <c r="A9" t="s">
        <v>6</v>
      </c>
      <c r="B9">
        <v>0</v>
      </c>
      <c r="C9">
        <v>0</v>
      </c>
      <c r="D9">
        <v>0</v>
      </c>
      <c r="E9">
        <v>0</v>
      </c>
      <c r="F9" s="3">
        <f t="shared" si="0"/>
        <v>0</v>
      </c>
      <c r="H9">
        <v>1</v>
      </c>
      <c r="L9">
        <v>0</v>
      </c>
      <c r="M9">
        <v>0</v>
      </c>
      <c r="N9">
        <v>0</v>
      </c>
      <c r="O9">
        <f t="shared" si="1"/>
        <v>0</v>
      </c>
      <c r="Q9">
        <v>0</v>
      </c>
      <c r="S9" s="4">
        <v>0</v>
      </c>
      <c r="U9">
        <v>0</v>
      </c>
    </row>
    <row r="10" spans="1:22" x14ac:dyDescent="0.3">
      <c r="A10" t="s">
        <v>7</v>
      </c>
      <c r="B10">
        <v>0</v>
      </c>
      <c r="C10">
        <v>0</v>
      </c>
      <c r="D10">
        <v>0</v>
      </c>
      <c r="E10">
        <v>0</v>
      </c>
      <c r="F10" s="3">
        <f t="shared" si="0"/>
        <v>0</v>
      </c>
      <c r="H10">
        <v>1</v>
      </c>
      <c r="L10">
        <v>0</v>
      </c>
      <c r="M10">
        <v>0</v>
      </c>
      <c r="N10">
        <v>0</v>
      </c>
      <c r="O10">
        <f t="shared" si="1"/>
        <v>0</v>
      </c>
      <c r="Q10">
        <v>0</v>
      </c>
      <c r="S10" s="4">
        <v>0</v>
      </c>
      <c r="U10">
        <v>0</v>
      </c>
    </row>
    <row r="11" spans="1:22" x14ac:dyDescent="0.3">
      <c r="A11" t="s">
        <v>8</v>
      </c>
      <c r="B11">
        <v>0</v>
      </c>
      <c r="C11">
        <v>0</v>
      </c>
      <c r="D11">
        <v>0</v>
      </c>
      <c r="E11">
        <v>0</v>
      </c>
      <c r="F11" s="3">
        <f t="shared" si="0"/>
        <v>0</v>
      </c>
      <c r="H11">
        <v>1</v>
      </c>
      <c r="L11">
        <v>0</v>
      </c>
      <c r="M11">
        <v>0</v>
      </c>
      <c r="N11">
        <v>0</v>
      </c>
      <c r="O11">
        <f t="shared" si="1"/>
        <v>0</v>
      </c>
      <c r="Q11">
        <v>0</v>
      </c>
      <c r="S11" s="4">
        <v>0</v>
      </c>
      <c r="U11">
        <v>0</v>
      </c>
    </row>
    <row r="12" spans="1:22" x14ac:dyDescent="0.3">
      <c r="A12" t="s">
        <v>10</v>
      </c>
      <c r="B12">
        <v>0</v>
      </c>
      <c r="C12">
        <v>0</v>
      </c>
      <c r="D12">
        <v>0</v>
      </c>
      <c r="E12">
        <v>0</v>
      </c>
      <c r="F12" s="3">
        <f t="shared" si="0"/>
        <v>0</v>
      </c>
      <c r="H12">
        <v>1</v>
      </c>
      <c r="L12">
        <v>0</v>
      </c>
      <c r="M12">
        <v>0</v>
      </c>
      <c r="N12">
        <v>0</v>
      </c>
      <c r="O12">
        <f t="shared" si="1"/>
        <v>0</v>
      </c>
      <c r="Q12">
        <v>0</v>
      </c>
      <c r="S12" s="4">
        <v>0</v>
      </c>
      <c r="U12">
        <v>0</v>
      </c>
    </row>
    <row r="13" spans="1:22" x14ac:dyDescent="0.3">
      <c r="A13" t="s">
        <v>11</v>
      </c>
      <c r="B13">
        <v>0</v>
      </c>
      <c r="C13">
        <v>0</v>
      </c>
      <c r="D13">
        <v>0</v>
      </c>
      <c r="E13">
        <v>0</v>
      </c>
      <c r="F13" s="3">
        <f t="shared" si="0"/>
        <v>0</v>
      </c>
      <c r="H13">
        <v>4.2</v>
      </c>
      <c r="I13" t="s">
        <v>75</v>
      </c>
      <c r="L13">
        <v>0</v>
      </c>
      <c r="M13">
        <v>0</v>
      </c>
      <c r="N13">
        <v>0</v>
      </c>
      <c r="O13">
        <f t="shared" si="1"/>
        <v>0</v>
      </c>
      <c r="Q13">
        <v>0</v>
      </c>
      <c r="S13" s="4">
        <v>0</v>
      </c>
      <c r="U13">
        <v>0</v>
      </c>
    </row>
    <row r="14" spans="1:22" x14ac:dyDescent="0.3">
      <c r="A14" t="s">
        <v>12</v>
      </c>
      <c r="B14">
        <v>0</v>
      </c>
      <c r="C14">
        <v>0.05</v>
      </c>
      <c r="D14">
        <v>0</v>
      </c>
      <c r="E14">
        <v>0.05</v>
      </c>
      <c r="F14" s="3">
        <f t="shared" si="0"/>
        <v>1</v>
      </c>
      <c r="H14">
        <v>4.2</v>
      </c>
      <c r="I14" t="s">
        <v>75</v>
      </c>
      <c r="L14">
        <v>0</v>
      </c>
      <c r="M14">
        <v>0</v>
      </c>
      <c r="N14">
        <v>0</v>
      </c>
      <c r="O14">
        <f t="shared" si="1"/>
        <v>0</v>
      </c>
      <c r="Q14">
        <v>0.05</v>
      </c>
      <c r="S14" s="4">
        <v>0</v>
      </c>
      <c r="U14">
        <v>0.05</v>
      </c>
    </row>
    <row r="15" spans="1:22" x14ac:dyDescent="0.3">
      <c r="A15" t="s">
        <v>13</v>
      </c>
      <c r="B15">
        <v>0</v>
      </c>
      <c r="C15">
        <v>0</v>
      </c>
      <c r="D15">
        <v>0</v>
      </c>
      <c r="E15">
        <v>0</v>
      </c>
      <c r="F15" s="3">
        <f t="shared" si="0"/>
        <v>0</v>
      </c>
      <c r="H15">
        <f>AVERAGE(4.1,4,4.3,4.8,5,4,4,4,3.8,3.8,3.9,4,4.3,3.8,3.7,3.6,3.8,3.9,4.7,5.3,5.4,3.9,3.8,3.9,4.2,5.4,5.1)</f>
        <v>4.2407407407407414</v>
      </c>
      <c r="I15" t="s">
        <v>74</v>
      </c>
      <c r="L15">
        <v>0</v>
      </c>
      <c r="M15">
        <v>0</v>
      </c>
      <c r="N15">
        <v>0</v>
      </c>
      <c r="O15">
        <f t="shared" si="1"/>
        <v>0</v>
      </c>
      <c r="Q15">
        <v>0</v>
      </c>
      <c r="S15" s="4">
        <v>0</v>
      </c>
      <c r="U15">
        <v>0</v>
      </c>
    </row>
    <row r="16" spans="1:22" x14ac:dyDescent="0.3">
      <c r="A16" t="s">
        <v>14</v>
      </c>
      <c r="B16">
        <v>0.10823033333333333</v>
      </c>
      <c r="C16">
        <v>0.05</v>
      </c>
      <c r="D16">
        <v>0.01</v>
      </c>
      <c r="E16">
        <v>0.05</v>
      </c>
      <c r="F16" s="3">
        <f t="shared" si="0"/>
        <v>1</v>
      </c>
      <c r="H16">
        <f>AVERAGE(4.1,4,4.3,4.8,5,4,4,4,3.8,3.8,3.9,4,4.3,3.8,3.7,3.6,3.8,3.9,4.7,5.3,5.4,3.9,3.8,3.9,4.2,5.4,5.1)</f>
        <v>4.2407407407407414</v>
      </c>
      <c r="I16" t="s">
        <v>74</v>
      </c>
      <c r="L16">
        <v>0</v>
      </c>
      <c r="M16">
        <v>0.12383333333333334</v>
      </c>
      <c r="N16">
        <v>0</v>
      </c>
      <c r="O16">
        <f t="shared" si="1"/>
        <v>30799684.173515983</v>
      </c>
      <c r="Q16">
        <v>0.05</v>
      </c>
      <c r="S16" s="4">
        <v>0.01</v>
      </c>
      <c r="U16">
        <v>0.05</v>
      </c>
    </row>
    <row r="17" spans="1:21" x14ac:dyDescent="0.3">
      <c r="A17" t="s">
        <v>15</v>
      </c>
      <c r="B17">
        <v>0</v>
      </c>
      <c r="C17">
        <v>0</v>
      </c>
      <c r="D17">
        <v>0</v>
      </c>
      <c r="E17">
        <v>0</v>
      </c>
      <c r="F17" s="3">
        <f t="shared" si="0"/>
        <v>0</v>
      </c>
      <c r="H17">
        <f>AVERAGE(3.6,3.7,4.3,4.7,4.7,4.7,4.5,4.4,4.7,3.6,3.3,3.9,4.3,4,4.5,3.6,3.8,4.2,4.1,4.2,4.6,5,5.5,4.9,5.3,5.6,3.6,4.1,4.9,4.9,5.2,5.5,5.1,5.3,5.3)</f>
        <v>4.5028571428571427</v>
      </c>
      <c r="I17" t="s">
        <v>74</v>
      </c>
      <c r="L17">
        <v>0</v>
      </c>
      <c r="M17">
        <v>0</v>
      </c>
      <c r="N17">
        <v>0</v>
      </c>
      <c r="O17">
        <f t="shared" si="1"/>
        <v>0</v>
      </c>
      <c r="Q17">
        <v>0</v>
      </c>
      <c r="S17" s="4">
        <v>0</v>
      </c>
      <c r="U17">
        <v>0</v>
      </c>
    </row>
    <row r="18" spans="1:21" x14ac:dyDescent="0.3">
      <c r="A18" t="s">
        <v>16</v>
      </c>
      <c r="B18">
        <v>0</v>
      </c>
      <c r="C18">
        <v>0.01</v>
      </c>
      <c r="D18">
        <v>0</v>
      </c>
      <c r="E18">
        <v>0.05</v>
      </c>
      <c r="F18" s="3">
        <f t="shared" si="0"/>
        <v>1</v>
      </c>
      <c r="H18">
        <f>AVERAGE(3.6,3.7,4.3,4.7,4.7,4.7,4.5,4.4,4.7,3.6,3.3,3.9,4.3,4,4.5,3.6,3.8,4.2,4.1,4.2,4.6,5,5.5,4.9,5.3,5.6,3.6,4.1,4.9,4.9,5.2,5.5,5.1,5.3,5.3)</f>
        <v>4.5028571428571427</v>
      </c>
      <c r="I18" t="s">
        <v>74</v>
      </c>
      <c r="L18">
        <v>0</v>
      </c>
      <c r="M18">
        <v>0</v>
      </c>
      <c r="N18">
        <v>0</v>
      </c>
      <c r="O18">
        <f t="shared" si="1"/>
        <v>0</v>
      </c>
      <c r="Q18">
        <v>0.01</v>
      </c>
      <c r="S18" s="4">
        <v>0</v>
      </c>
      <c r="U18">
        <v>0.05</v>
      </c>
    </row>
    <row r="19" spans="1:21" x14ac:dyDescent="0.3">
      <c r="A19" t="s">
        <v>17</v>
      </c>
      <c r="B19">
        <v>0</v>
      </c>
      <c r="C19">
        <v>0</v>
      </c>
      <c r="D19">
        <v>0</v>
      </c>
      <c r="E19">
        <v>0</v>
      </c>
      <c r="F19" s="3">
        <f t="shared" si="0"/>
        <v>0</v>
      </c>
      <c r="H19">
        <f>AVERAGE(4.2,4.6,5,5.5,5.3,5,4.5,4.4,4,4,3.5,4.8,5.3,5.3,4.1,4.7,4.7,4.8,5.1,5.3,5.6,6.8,6,6.3,4.9,4.8,4.8,5.2,6.2,6.2)</f>
        <v>5.0299999999999985</v>
      </c>
      <c r="I19" t="s">
        <v>74</v>
      </c>
      <c r="L19">
        <v>0</v>
      </c>
      <c r="M19">
        <v>0</v>
      </c>
      <c r="N19">
        <v>0</v>
      </c>
      <c r="O19">
        <f t="shared" si="1"/>
        <v>0</v>
      </c>
      <c r="Q19">
        <v>0</v>
      </c>
      <c r="S19" s="4">
        <v>0</v>
      </c>
      <c r="U19">
        <v>0</v>
      </c>
    </row>
    <row r="20" spans="1:21" x14ac:dyDescent="0.3">
      <c r="A20" t="s">
        <v>18</v>
      </c>
      <c r="B20">
        <v>0</v>
      </c>
      <c r="C20">
        <v>0</v>
      </c>
      <c r="D20">
        <v>0.01</v>
      </c>
      <c r="E20">
        <v>0</v>
      </c>
      <c r="F20" s="3">
        <f t="shared" si="0"/>
        <v>1</v>
      </c>
      <c r="H20">
        <f>AVERAGE(4.2,4.6,5,5.5,5.3,5,4.5,4.4,4,4,3.5,4.8,5.3,5.3,4.1,4.7,4.7,4.8,5.1,5.3,5.6,6.8,6,6.3,4.9,4.8,4.8,5.2,6.2,6.2)</f>
        <v>5.0299999999999985</v>
      </c>
      <c r="I20" t="s">
        <v>74</v>
      </c>
      <c r="L20">
        <v>0</v>
      </c>
      <c r="M20">
        <v>0</v>
      </c>
      <c r="N20">
        <v>0</v>
      </c>
      <c r="O20">
        <f t="shared" si="1"/>
        <v>0</v>
      </c>
      <c r="Q20">
        <v>0</v>
      </c>
      <c r="S20" s="4">
        <v>0.01</v>
      </c>
      <c r="U20">
        <v>0</v>
      </c>
    </row>
    <row r="21" spans="1:21" x14ac:dyDescent="0.3">
      <c r="A21" t="s">
        <v>19</v>
      </c>
      <c r="B21">
        <v>0</v>
      </c>
      <c r="C21">
        <v>0</v>
      </c>
      <c r="D21">
        <v>0</v>
      </c>
      <c r="E21">
        <v>0</v>
      </c>
      <c r="F21" s="3">
        <f t="shared" si="0"/>
        <v>0</v>
      </c>
      <c r="H21">
        <v>1</v>
      </c>
      <c r="L21">
        <v>0</v>
      </c>
      <c r="M21">
        <v>0</v>
      </c>
      <c r="N21">
        <v>0</v>
      </c>
      <c r="O21">
        <f t="shared" si="1"/>
        <v>0</v>
      </c>
      <c r="Q21">
        <v>0</v>
      </c>
      <c r="S21" s="4">
        <v>0</v>
      </c>
      <c r="U21">
        <v>0</v>
      </c>
    </row>
    <row r="22" spans="1:21" x14ac:dyDescent="0.3">
      <c r="A22" t="s">
        <v>20</v>
      </c>
      <c r="B22">
        <v>0</v>
      </c>
      <c r="C22">
        <v>0</v>
      </c>
      <c r="D22">
        <v>0.15</v>
      </c>
      <c r="E22">
        <v>0</v>
      </c>
      <c r="F22" s="3">
        <f t="shared" si="0"/>
        <v>1</v>
      </c>
      <c r="H22">
        <v>5.7</v>
      </c>
      <c r="I22" t="s">
        <v>78</v>
      </c>
      <c r="L22">
        <v>0</v>
      </c>
      <c r="M22">
        <v>0</v>
      </c>
      <c r="N22">
        <v>0</v>
      </c>
      <c r="O22">
        <f t="shared" si="1"/>
        <v>0</v>
      </c>
      <c r="Q22">
        <v>0</v>
      </c>
      <c r="S22" s="4">
        <v>0.15</v>
      </c>
      <c r="U22">
        <v>0</v>
      </c>
    </row>
    <row r="23" spans="1:21" x14ac:dyDescent="0.3">
      <c r="A23" t="s">
        <v>21</v>
      </c>
      <c r="B23">
        <v>0.20073100000000002</v>
      </c>
      <c r="C23">
        <v>0.03</v>
      </c>
      <c r="D23">
        <v>0.27800000000000002</v>
      </c>
      <c r="E23">
        <v>0.1135</v>
      </c>
      <c r="F23" s="3">
        <f t="shared" si="0"/>
        <v>1</v>
      </c>
      <c r="H23">
        <v>5.7</v>
      </c>
      <c r="I23" t="s">
        <v>78</v>
      </c>
      <c r="L23">
        <v>0.05</v>
      </c>
      <c r="M23">
        <v>0.22650000000000001</v>
      </c>
      <c r="N23">
        <v>0.01</v>
      </c>
      <c r="O23">
        <f t="shared" si="1"/>
        <v>57123093.068493158</v>
      </c>
      <c r="Q23">
        <v>0.03</v>
      </c>
      <c r="S23" s="4">
        <v>0.27800000000000002</v>
      </c>
      <c r="U23">
        <v>0.1135</v>
      </c>
    </row>
    <row r="24" spans="1:21" x14ac:dyDescent="0.3">
      <c r="A24" t="s">
        <v>22</v>
      </c>
      <c r="B24">
        <v>0</v>
      </c>
      <c r="C24">
        <v>0.11899999999999999</v>
      </c>
      <c r="D24">
        <v>0.01</v>
      </c>
      <c r="E24">
        <v>0</v>
      </c>
      <c r="F24" s="3">
        <f t="shared" si="0"/>
        <v>1</v>
      </c>
      <c r="H24">
        <f>AVERAGE(6.2,6.4,4.7,4,4.1,3.8,3.8,4.5,4.2,4.4,4,3.9,3.9,3.9,5.7,6.3,5.7,4.8,5.2,7,7)</f>
        <v>4.9285714285714288</v>
      </c>
      <c r="I24" t="s">
        <v>74</v>
      </c>
      <c r="L24">
        <v>0</v>
      </c>
      <c r="M24">
        <v>0</v>
      </c>
      <c r="N24">
        <v>0</v>
      </c>
      <c r="O24">
        <f t="shared" si="1"/>
        <v>0</v>
      </c>
      <c r="Q24">
        <v>0.11899999999999999</v>
      </c>
      <c r="S24" s="4">
        <v>0.01</v>
      </c>
      <c r="U24">
        <v>0</v>
      </c>
    </row>
    <row r="25" spans="1:21" x14ac:dyDescent="0.3">
      <c r="A25" t="s">
        <v>23</v>
      </c>
      <c r="B25">
        <v>0.11937416666666666</v>
      </c>
      <c r="C25">
        <v>0.02</v>
      </c>
      <c r="D25">
        <v>0.05</v>
      </c>
      <c r="E25">
        <v>7.5500000000000012E-2</v>
      </c>
      <c r="F25" s="3">
        <f t="shared" si="0"/>
        <v>1</v>
      </c>
      <c r="H25">
        <f>AVERAGE(4.6,4.7,4.4,4.4,6.5,8.5,4.6,4.5,4.4,5.7,4.9,4.1,4.2,3.9,4.5,4.4,5.2,10.1,11,11.9,4.6,4.6,6.3,7.1,8.5,8.8)</f>
        <v>6.0153846153846153</v>
      </c>
      <c r="I25" t="s">
        <v>74</v>
      </c>
      <c r="L25">
        <v>0.05</v>
      </c>
      <c r="M25">
        <v>0.13291666666666666</v>
      </c>
      <c r="N25">
        <v>1.4999999999999999E-2</v>
      </c>
      <c r="O25">
        <f t="shared" si="1"/>
        <v>33970944.360730588</v>
      </c>
      <c r="Q25">
        <v>0.02</v>
      </c>
      <c r="S25" s="4">
        <v>0.05</v>
      </c>
      <c r="U25">
        <v>7.5500000000000012E-2</v>
      </c>
    </row>
    <row r="26" spans="1:21" x14ac:dyDescent="0.3">
      <c r="A26" t="s">
        <v>24</v>
      </c>
      <c r="B26">
        <v>5.776499999999999E-2</v>
      </c>
      <c r="C26">
        <v>0.02</v>
      </c>
      <c r="D26">
        <v>0.05</v>
      </c>
      <c r="E26">
        <v>7.9500000000000001E-2</v>
      </c>
      <c r="F26" s="3">
        <f t="shared" si="0"/>
        <v>1</v>
      </c>
      <c r="H26">
        <f>AVERAGE(4.6,4.7,4.4,4.4,6.5,8.5,4.6,4.5,4.4,5.7,4.9,4.1,4.2,3.9,4.5,4.4,5.2,10.1,11,11.9,4.6,4.6,6.3,7.1,8.5,8.8)</f>
        <v>6.0153846153846153</v>
      </c>
      <c r="I26" t="s">
        <v>74</v>
      </c>
      <c r="L26">
        <v>0.05</v>
      </c>
      <c r="M26">
        <v>4.6249999999999993E-2</v>
      </c>
      <c r="N26">
        <v>0.17749999999999999</v>
      </c>
      <c r="O26">
        <f t="shared" si="1"/>
        <v>16438494.657534244</v>
      </c>
      <c r="Q26">
        <v>0.02</v>
      </c>
      <c r="S26" s="4">
        <v>0.05</v>
      </c>
      <c r="U26">
        <v>7.9500000000000001E-2</v>
      </c>
    </row>
    <row r="27" spans="1:21" x14ac:dyDescent="0.3">
      <c r="A27" t="s">
        <v>25</v>
      </c>
      <c r="B27">
        <v>0.27090416666666667</v>
      </c>
      <c r="C27">
        <v>0.21</v>
      </c>
      <c r="D27">
        <v>0.05</v>
      </c>
      <c r="E27">
        <v>8.7999999999999995E-2</v>
      </c>
      <c r="F27" s="3">
        <f t="shared" si="0"/>
        <v>1</v>
      </c>
      <c r="H27">
        <f>AVERAGE(6.7,10.9,6.4,5.8,5.9,5.6,11.5)</f>
        <v>7.5428571428571436</v>
      </c>
      <c r="I27" t="s">
        <v>74</v>
      </c>
      <c r="L27">
        <v>0.05</v>
      </c>
      <c r="M27">
        <v>0.27916666666666662</v>
      </c>
      <c r="N27">
        <v>0.28749999999999998</v>
      </c>
      <c r="O27">
        <f t="shared" si="1"/>
        <v>77092646.004566208</v>
      </c>
      <c r="Q27">
        <v>0</v>
      </c>
      <c r="S27" s="4">
        <v>0.05</v>
      </c>
      <c r="U27">
        <v>8.7999999999999995E-2</v>
      </c>
    </row>
    <row r="28" spans="1:21" x14ac:dyDescent="0.3">
      <c r="A28" t="s">
        <v>26</v>
      </c>
      <c r="B28">
        <v>4.37E-4</v>
      </c>
      <c r="C28">
        <v>0</v>
      </c>
      <c r="D28">
        <v>0</v>
      </c>
      <c r="E28">
        <v>0</v>
      </c>
      <c r="F28" s="3">
        <f t="shared" si="0"/>
        <v>1</v>
      </c>
      <c r="H28">
        <v>6.03</v>
      </c>
      <c r="I28" t="s">
        <v>76</v>
      </c>
      <c r="L28">
        <v>0</v>
      </c>
      <c r="M28">
        <v>5.0000000000000001E-4</v>
      </c>
      <c r="N28">
        <v>0</v>
      </c>
      <c r="O28">
        <f t="shared" si="1"/>
        <v>124359.42465753425</v>
      </c>
      <c r="Q28">
        <v>0</v>
      </c>
      <c r="S28" s="4">
        <v>0</v>
      </c>
      <c r="U28">
        <v>0</v>
      </c>
    </row>
    <row r="29" spans="1:21" x14ac:dyDescent="0.3">
      <c r="A29" t="s">
        <v>27</v>
      </c>
      <c r="B29">
        <v>0</v>
      </c>
      <c r="C29">
        <v>0</v>
      </c>
      <c r="D29">
        <v>0</v>
      </c>
      <c r="E29">
        <v>0.254</v>
      </c>
      <c r="F29" s="3">
        <f t="shared" si="0"/>
        <v>1</v>
      </c>
      <c r="H29">
        <v>7.17</v>
      </c>
      <c r="I29" t="s">
        <v>76</v>
      </c>
      <c r="L29">
        <v>0</v>
      </c>
      <c r="M29">
        <v>0</v>
      </c>
      <c r="N29">
        <v>0</v>
      </c>
      <c r="O29">
        <f t="shared" si="1"/>
        <v>0</v>
      </c>
      <c r="Q29">
        <v>0</v>
      </c>
      <c r="S29" s="4">
        <v>0</v>
      </c>
      <c r="U29">
        <v>0.254</v>
      </c>
    </row>
    <row r="30" spans="1:21" x14ac:dyDescent="0.3">
      <c r="A30" t="s">
        <v>28</v>
      </c>
      <c r="B30">
        <v>0.23951900000000001</v>
      </c>
      <c r="C30">
        <v>0.3</v>
      </c>
      <c r="D30">
        <v>0.1</v>
      </c>
      <c r="E30">
        <v>0.23949999999999999</v>
      </c>
      <c r="F30" s="3">
        <f t="shared" si="0"/>
        <v>1</v>
      </c>
      <c r="H30">
        <f>AVERAGE(4.4,4,4.6,5.4,5.8,6.1,4.2,5.6,6.2)</f>
        <v>5.1444444444444448</v>
      </c>
      <c r="I30" t="s">
        <v>74</v>
      </c>
      <c r="L30">
        <v>0.8</v>
      </c>
      <c r="M30">
        <v>0.1885</v>
      </c>
      <c r="N30">
        <v>0.51</v>
      </c>
      <c r="O30">
        <f t="shared" si="1"/>
        <v>68161201.452054799</v>
      </c>
      <c r="Q30">
        <v>0.3</v>
      </c>
      <c r="S30" s="4">
        <v>0.1</v>
      </c>
      <c r="U30">
        <v>0.23949999999999999</v>
      </c>
    </row>
    <row r="31" spans="1:21" x14ac:dyDescent="0.3">
      <c r="A31" t="s">
        <v>29</v>
      </c>
      <c r="B31">
        <v>0</v>
      </c>
      <c r="C31">
        <v>0</v>
      </c>
      <c r="D31">
        <v>2.1999999999999999E-2</v>
      </c>
      <c r="E31">
        <v>0</v>
      </c>
      <c r="F31" s="3">
        <f t="shared" si="0"/>
        <v>1</v>
      </c>
      <c r="H31">
        <f>AVERAGE(5.4,5.6,5.8,6.5)</f>
        <v>5.8250000000000002</v>
      </c>
      <c r="I31" t="s">
        <v>78</v>
      </c>
      <c r="L31">
        <v>0</v>
      </c>
      <c r="M31">
        <v>0</v>
      </c>
      <c r="N31">
        <v>0</v>
      </c>
      <c r="O31">
        <f t="shared" si="1"/>
        <v>0</v>
      </c>
      <c r="Q31">
        <v>0</v>
      </c>
      <c r="S31" s="4">
        <v>2.1999999999999999E-2</v>
      </c>
      <c r="U31">
        <v>0</v>
      </c>
    </row>
    <row r="32" spans="1:21" x14ac:dyDescent="0.3">
      <c r="A32" t="s">
        <v>30</v>
      </c>
      <c r="B32">
        <v>4.37E-4</v>
      </c>
      <c r="C32">
        <v>0</v>
      </c>
      <c r="D32">
        <v>0.01</v>
      </c>
      <c r="E32">
        <v>0</v>
      </c>
      <c r="F32" s="3">
        <f t="shared" si="0"/>
        <v>1</v>
      </c>
      <c r="H32">
        <v>6.1</v>
      </c>
      <c r="I32" t="s">
        <v>78</v>
      </c>
      <c r="L32">
        <v>0</v>
      </c>
      <c r="M32">
        <v>5.0000000000000001E-4</v>
      </c>
      <c r="N32">
        <v>0</v>
      </c>
      <c r="O32">
        <f t="shared" si="1"/>
        <v>124359.42465753425</v>
      </c>
      <c r="Q32">
        <v>0</v>
      </c>
      <c r="S32" s="4">
        <v>0.01</v>
      </c>
      <c r="U32">
        <v>0</v>
      </c>
    </row>
    <row r="33" spans="1:21" x14ac:dyDescent="0.3">
      <c r="A33" t="s">
        <v>31</v>
      </c>
      <c r="B33">
        <v>0</v>
      </c>
      <c r="C33">
        <v>0</v>
      </c>
      <c r="D33">
        <v>0</v>
      </c>
      <c r="E33">
        <v>0</v>
      </c>
      <c r="F33" s="3">
        <f t="shared" si="0"/>
        <v>0</v>
      </c>
      <c r="H33">
        <v>1</v>
      </c>
      <c r="L33">
        <v>0</v>
      </c>
      <c r="M33">
        <v>0</v>
      </c>
      <c r="N33">
        <v>0</v>
      </c>
      <c r="O33">
        <f t="shared" si="1"/>
        <v>0</v>
      </c>
      <c r="Q33">
        <v>0</v>
      </c>
      <c r="S33" s="4">
        <v>0</v>
      </c>
      <c r="U33">
        <v>0</v>
      </c>
    </row>
    <row r="34" spans="1:21" x14ac:dyDescent="0.3">
      <c r="A34" t="s">
        <v>32</v>
      </c>
      <c r="B34">
        <v>0</v>
      </c>
      <c r="C34">
        <v>1E-3</v>
      </c>
      <c r="D34">
        <v>0</v>
      </c>
      <c r="E34">
        <v>0</v>
      </c>
      <c r="F34" s="3">
        <f t="shared" si="0"/>
        <v>1</v>
      </c>
      <c r="H34">
        <v>4.3</v>
      </c>
      <c r="I34" t="s">
        <v>75</v>
      </c>
      <c r="L34">
        <v>0</v>
      </c>
      <c r="M34">
        <v>0</v>
      </c>
      <c r="N34">
        <v>0</v>
      </c>
      <c r="O34">
        <f t="shared" si="1"/>
        <v>0</v>
      </c>
      <c r="Q34">
        <v>1E-3</v>
      </c>
      <c r="S34" s="4">
        <v>0</v>
      </c>
      <c r="U34">
        <v>0</v>
      </c>
    </row>
    <row r="35" spans="1:21" x14ac:dyDescent="0.3">
      <c r="A35" t="s">
        <v>33</v>
      </c>
      <c r="B35">
        <v>0</v>
      </c>
      <c r="C35">
        <v>0</v>
      </c>
      <c r="D35">
        <v>0</v>
      </c>
      <c r="E35">
        <v>0</v>
      </c>
      <c r="F35" s="3">
        <f t="shared" ref="F35:F66" si="2">IF(SUM(B35:E35)&gt;0,1,0)</f>
        <v>0</v>
      </c>
      <c r="H35">
        <v>1</v>
      </c>
      <c r="L35">
        <v>0</v>
      </c>
      <c r="M35">
        <v>0</v>
      </c>
      <c r="N35">
        <v>0</v>
      </c>
      <c r="O35">
        <f t="shared" si="1"/>
        <v>0</v>
      </c>
      <c r="Q35">
        <v>0</v>
      </c>
      <c r="S35" s="4">
        <v>0</v>
      </c>
      <c r="U35">
        <v>0</v>
      </c>
    </row>
    <row r="36" spans="1:21" x14ac:dyDescent="0.3">
      <c r="A36" t="s">
        <v>34</v>
      </c>
      <c r="B36">
        <v>0</v>
      </c>
      <c r="C36">
        <v>0</v>
      </c>
      <c r="D36">
        <v>0.05</v>
      </c>
      <c r="E36">
        <v>0</v>
      </c>
      <c r="F36" s="3">
        <f t="shared" si="2"/>
        <v>1</v>
      </c>
      <c r="H36">
        <v>5.7</v>
      </c>
      <c r="I36" t="s">
        <v>78</v>
      </c>
      <c r="L36">
        <v>0</v>
      </c>
      <c r="M36">
        <v>0</v>
      </c>
      <c r="N36">
        <v>0</v>
      </c>
      <c r="O36">
        <f t="shared" si="1"/>
        <v>0</v>
      </c>
      <c r="Q36">
        <v>0</v>
      </c>
      <c r="S36" s="4">
        <v>0.05</v>
      </c>
      <c r="U36">
        <v>0</v>
      </c>
    </row>
    <row r="37" spans="1:21" x14ac:dyDescent="0.3">
      <c r="A37" t="s">
        <v>35</v>
      </c>
      <c r="B37">
        <v>0</v>
      </c>
      <c r="C37">
        <v>0.05</v>
      </c>
      <c r="D37">
        <v>0</v>
      </c>
      <c r="E37">
        <v>0</v>
      </c>
      <c r="F37" s="3">
        <f t="shared" si="2"/>
        <v>1</v>
      </c>
      <c r="H37">
        <f>AVERAGE(5.9,6.9)</f>
        <v>6.4</v>
      </c>
      <c r="I37" t="s">
        <v>75</v>
      </c>
      <c r="L37">
        <v>0</v>
      </c>
      <c r="M37">
        <v>0</v>
      </c>
      <c r="N37">
        <v>0</v>
      </c>
      <c r="O37">
        <f t="shared" si="1"/>
        <v>0</v>
      </c>
      <c r="Q37">
        <v>0.05</v>
      </c>
      <c r="S37" s="4">
        <v>0</v>
      </c>
      <c r="U37">
        <v>0</v>
      </c>
    </row>
    <row r="38" spans="1:21" x14ac:dyDescent="0.3">
      <c r="A38" t="s">
        <v>36</v>
      </c>
      <c r="B38">
        <v>0</v>
      </c>
      <c r="C38">
        <v>0</v>
      </c>
      <c r="D38">
        <v>0</v>
      </c>
      <c r="E38">
        <v>0</v>
      </c>
      <c r="F38" s="3">
        <f t="shared" si="2"/>
        <v>0</v>
      </c>
      <c r="H38">
        <v>1</v>
      </c>
      <c r="L38">
        <v>0</v>
      </c>
      <c r="M38">
        <v>0</v>
      </c>
      <c r="N38">
        <v>0</v>
      </c>
      <c r="O38">
        <f t="shared" si="1"/>
        <v>0</v>
      </c>
      <c r="Q38">
        <v>0</v>
      </c>
      <c r="S38" s="4">
        <v>0</v>
      </c>
      <c r="U38">
        <v>0</v>
      </c>
    </row>
    <row r="39" spans="1:21" x14ac:dyDescent="0.3">
      <c r="A39" t="s">
        <v>37</v>
      </c>
      <c r="B39">
        <v>0</v>
      </c>
      <c r="C39">
        <v>0</v>
      </c>
      <c r="D39">
        <v>0</v>
      </c>
      <c r="E39">
        <v>0</v>
      </c>
      <c r="F39" s="3">
        <f t="shared" si="2"/>
        <v>0</v>
      </c>
      <c r="H39">
        <v>1</v>
      </c>
      <c r="L39">
        <v>0</v>
      </c>
      <c r="M39">
        <v>0</v>
      </c>
      <c r="N39">
        <v>0</v>
      </c>
      <c r="O39">
        <f t="shared" si="1"/>
        <v>0</v>
      </c>
      <c r="Q39">
        <v>0</v>
      </c>
      <c r="S39" s="4">
        <v>0</v>
      </c>
      <c r="U39">
        <v>0</v>
      </c>
    </row>
    <row r="40" spans="1:21" x14ac:dyDescent="0.3">
      <c r="A40" t="s">
        <v>38</v>
      </c>
      <c r="B40">
        <v>0</v>
      </c>
      <c r="C40">
        <v>0.04</v>
      </c>
      <c r="D40">
        <v>0</v>
      </c>
      <c r="E40">
        <v>0</v>
      </c>
      <c r="F40" s="3">
        <f t="shared" si="2"/>
        <v>1</v>
      </c>
      <c r="H40">
        <v>4.8</v>
      </c>
      <c r="I40" t="s">
        <v>77</v>
      </c>
      <c r="L40">
        <v>0</v>
      </c>
      <c r="M40">
        <v>0</v>
      </c>
      <c r="N40">
        <v>0</v>
      </c>
      <c r="O40">
        <f t="shared" si="1"/>
        <v>0</v>
      </c>
      <c r="Q40">
        <v>0.04</v>
      </c>
      <c r="S40" s="4">
        <v>0</v>
      </c>
      <c r="U40">
        <v>0</v>
      </c>
    </row>
    <row r="41" spans="1:21" x14ac:dyDescent="0.3">
      <c r="A41" t="s">
        <v>39</v>
      </c>
      <c r="B41">
        <v>1.1653333333333333E-3</v>
      </c>
      <c r="C41">
        <v>0</v>
      </c>
      <c r="D41">
        <v>0.01</v>
      </c>
      <c r="E41">
        <v>0</v>
      </c>
      <c r="F41" s="3">
        <f t="shared" si="2"/>
        <v>1</v>
      </c>
      <c r="H41">
        <v>4.8</v>
      </c>
      <c r="I41" t="s">
        <v>77</v>
      </c>
      <c r="L41">
        <v>0</v>
      </c>
      <c r="M41">
        <v>1.3333333333333333E-3</v>
      </c>
      <c r="N41">
        <v>0</v>
      </c>
      <c r="O41">
        <f t="shared" si="1"/>
        <v>331625.13242009131</v>
      </c>
      <c r="Q41">
        <v>0</v>
      </c>
      <c r="S41" s="4">
        <v>0.01</v>
      </c>
      <c r="U41">
        <v>0</v>
      </c>
    </row>
    <row r="42" spans="1:21" x14ac:dyDescent="0.3">
      <c r="A42" t="s">
        <v>40</v>
      </c>
      <c r="B42">
        <v>0</v>
      </c>
      <c r="C42">
        <v>0</v>
      </c>
      <c r="D42">
        <v>0</v>
      </c>
      <c r="E42">
        <v>0</v>
      </c>
      <c r="F42" s="3">
        <f t="shared" si="2"/>
        <v>0</v>
      </c>
      <c r="H42">
        <v>1</v>
      </c>
      <c r="L42">
        <v>0</v>
      </c>
      <c r="M42">
        <v>0</v>
      </c>
      <c r="N42">
        <v>0</v>
      </c>
      <c r="O42">
        <f t="shared" si="1"/>
        <v>0</v>
      </c>
      <c r="Q42">
        <v>0</v>
      </c>
      <c r="S42" s="4">
        <v>0</v>
      </c>
      <c r="U42">
        <v>0</v>
      </c>
    </row>
    <row r="43" spans="1:21" x14ac:dyDescent="0.3">
      <c r="A43" t="s">
        <v>41</v>
      </c>
      <c r="B43">
        <v>0</v>
      </c>
      <c r="C43">
        <v>0</v>
      </c>
      <c r="D43">
        <v>0</v>
      </c>
      <c r="E43">
        <v>0</v>
      </c>
      <c r="F43" s="3">
        <f t="shared" si="2"/>
        <v>0</v>
      </c>
      <c r="H43">
        <v>1</v>
      </c>
      <c r="L43">
        <v>0</v>
      </c>
      <c r="M43">
        <v>0</v>
      </c>
      <c r="N43">
        <v>0</v>
      </c>
      <c r="O43">
        <f t="shared" si="1"/>
        <v>0</v>
      </c>
      <c r="Q43">
        <v>0</v>
      </c>
      <c r="S43" s="4">
        <v>0</v>
      </c>
      <c r="U43">
        <v>0</v>
      </c>
    </row>
    <row r="44" spans="1:21" x14ac:dyDescent="0.3">
      <c r="A44" t="s">
        <v>42</v>
      </c>
      <c r="B44">
        <v>0</v>
      </c>
      <c r="C44">
        <v>0</v>
      </c>
      <c r="D44">
        <v>0</v>
      </c>
      <c r="E44">
        <v>0</v>
      </c>
      <c r="F44" s="3">
        <f t="shared" si="2"/>
        <v>0</v>
      </c>
      <c r="H44">
        <v>1</v>
      </c>
      <c r="L44">
        <v>0</v>
      </c>
      <c r="M44">
        <v>0</v>
      </c>
      <c r="N44">
        <v>0</v>
      </c>
      <c r="O44">
        <f t="shared" si="1"/>
        <v>0</v>
      </c>
      <c r="Q44">
        <v>0</v>
      </c>
      <c r="S44" s="4">
        <v>0</v>
      </c>
      <c r="U44">
        <v>0</v>
      </c>
    </row>
    <row r="45" spans="1:21" x14ac:dyDescent="0.3">
      <c r="A45" t="s">
        <v>43</v>
      </c>
      <c r="B45">
        <v>0</v>
      </c>
      <c r="C45">
        <v>0</v>
      </c>
      <c r="D45">
        <v>0</v>
      </c>
      <c r="E45">
        <v>0</v>
      </c>
      <c r="F45" s="3">
        <f t="shared" si="2"/>
        <v>0</v>
      </c>
      <c r="H45">
        <v>1</v>
      </c>
      <c r="L45">
        <v>0</v>
      </c>
      <c r="M45">
        <v>0</v>
      </c>
      <c r="N45">
        <v>0</v>
      </c>
      <c r="O45">
        <f t="shared" si="1"/>
        <v>0</v>
      </c>
      <c r="Q45">
        <v>0</v>
      </c>
      <c r="S45" s="4">
        <v>0</v>
      </c>
      <c r="U45">
        <v>0</v>
      </c>
    </row>
    <row r="46" spans="1:21" x14ac:dyDescent="0.3">
      <c r="A46" t="s">
        <v>44</v>
      </c>
      <c r="B46">
        <v>4.37E-4</v>
      </c>
      <c r="C46">
        <v>0</v>
      </c>
      <c r="D46">
        <v>0</v>
      </c>
      <c r="E46">
        <v>0</v>
      </c>
      <c r="F46" s="3">
        <f t="shared" si="2"/>
        <v>1</v>
      </c>
      <c r="H46">
        <v>4.8</v>
      </c>
      <c r="I46" t="s">
        <v>78</v>
      </c>
      <c r="L46">
        <v>0</v>
      </c>
      <c r="M46">
        <v>5.0000000000000001E-4</v>
      </c>
      <c r="N46">
        <v>0</v>
      </c>
      <c r="O46">
        <f t="shared" si="1"/>
        <v>124359.42465753425</v>
      </c>
      <c r="Q46">
        <v>0</v>
      </c>
      <c r="S46" s="4">
        <v>0</v>
      </c>
      <c r="U46">
        <v>0</v>
      </c>
    </row>
    <row r="47" spans="1:21" x14ac:dyDescent="0.3">
      <c r="A47" t="s">
        <v>45</v>
      </c>
      <c r="B47">
        <v>0</v>
      </c>
      <c r="C47">
        <v>0</v>
      </c>
      <c r="D47">
        <v>0</v>
      </c>
      <c r="E47">
        <v>0</v>
      </c>
      <c r="F47" s="3">
        <f t="shared" si="2"/>
        <v>0</v>
      </c>
      <c r="H47">
        <v>1</v>
      </c>
      <c r="L47">
        <v>0</v>
      </c>
      <c r="M47">
        <v>0</v>
      </c>
      <c r="N47">
        <v>0</v>
      </c>
      <c r="O47">
        <f t="shared" si="1"/>
        <v>0</v>
      </c>
      <c r="Q47">
        <v>0</v>
      </c>
      <c r="S47" s="4">
        <v>0</v>
      </c>
      <c r="U47">
        <v>0</v>
      </c>
    </row>
    <row r="48" spans="1:21" x14ac:dyDescent="0.3">
      <c r="A48" t="s">
        <v>46</v>
      </c>
      <c r="B48">
        <v>0</v>
      </c>
      <c r="C48">
        <v>0</v>
      </c>
      <c r="D48">
        <v>0</v>
      </c>
      <c r="E48">
        <v>0</v>
      </c>
      <c r="F48" s="3">
        <f t="shared" si="2"/>
        <v>0</v>
      </c>
      <c r="H48">
        <v>1</v>
      </c>
      <c r="L48">
        <v>0</v>
      </c>
      <c r="M48">
        <v>0</v>
      </c>
      <c r="N48">
        <v>0</v>
      </c>
      <c r="O48">
        <f t="shared" si="1"/>
        <v>0</v>
      </c>
      <c r="Q48">
        <v>0</v>
      </c>
      <c r="S48" s="4">
        <v>0</v>
      </c>
      <c r="U48">
        <v>0</v>
      </c>
    </row>
    <row r="49" spans="1:21" x14ac:dyDescent="0.3">
      <c r="A49" t="s">
        <v>47</v>
      </c>
      <c r="B49">
        <v>0</v>
      </c>
      <c r="C49">
        <v>0.1</v>
      </c>
      <c r="D49">
        <v>0.2</v>
      </c>
      <c r="E49">
        <v>0</v>
      </c>
      <c r="F49" s="3">
        <f t="shared" si="2"/>
        <v>1</v>
      </c>
      <c r="H49">
        <v>1</v>
      </c>
      <c r="L49">
        <v>0</v>
      </c>
      <c r="M49">
        <v>0</v>
      </c>
      <c r="N49">
        <v>0</v>
      </c>
      <c r="O49">
        <f t="shared" si="1"/>
        <v>0</v>
      </c>
      <c r="Q49">
        <v>0.1</v>
      </c>
      <c r="S49" s="4">
        <v>0.2</v>
      </c>
      <c r="U49">
        <v>0</v>
      </c>
    </row>
    <row r="50" spans="1:21" x14ac:dyDescent="0.3">
      <c r="A50" t="s">
        <v>48</v>
      </c>
      <c r="B50">
        <v>0</v>
      </c>
      <c r="C50">
        <v>0</v>
      </c>
      <c r="D50">
        <v>0</v>
      </c>
      <c r="E50">
        <v>0</v>
      </c>
      <c r="F50" s="3">
        <f t="shared" si="2"/>
        <v>0</v>
      </c>
      <c r="H50">
        <v>1</v>
      </c>
      <c r="L50">
        <v>0</v>
      </c>
      <c r="M50">
        <v>0</v>
      </c>
      <c r="N50">
        <v>0</v>
      </c>
      <c r="O50">
        <f t="shared" si="1"/>
        <v>0</v>
      </c>
      <c r="Q50">
        <v>0</v>
      </c>
      <c r="S50" s="4">
        <v>0</v>
      </c>
      <c r="U50">
        <v>0</v>
      </c>
    </row>
    <row r="51" spans="1:21" x14ac:dyDescent="0.3">
      <c r="A51" t="s">
        <v>49</v>
      </c>
      <c r="B51">
        <v>0</v>
      </c>
      <c r="C51">
        <v>0</v>
      </c>
      <c r="D51">
        <v>0</v>
      </c>
      <c r="E51">
        <v>0</v>
      </c>
      <c r="F51" s="3">
        <f t="shared" si="2"/>
        <v>0</v>
      </c>
      <c r="H51">
        <v>1</v>
      </c>
      <c r="L51">
        <v>0</v>
      </c>
      <c r="M51">
        <v>0</v>
      </c>
      <c r="N51">
        <v>0</v>
      </c>
      <c r="O51">
        <f t="shared" si="1"/>
        <v>0</v>
      </c>
      <c r="Q51">
        <v>0</v>
      </c>
      <c r="U51">
        <v>0</v>
      </c>
    </row>
    <row r="52" spans="1:21" x14ac:dyDescent="0.3">
      <c r="A52" t="s">
        <v>50</v>
      </c>
      <c r="B52">
        <v>1</v>
      </c>
      <c r="C52">
        <v>1</v>
      </c>
      <c r="D52">
        <v>0.99999990000000005</v>
      </c>
      <c r="E52">
        <v>1</v>
      </c>
      <c r="F52" s="3">
        <f t="shared" si="2"/>
        <v>1</v>
      </c>
      <c r="H52">
        <v>1</v>
      </c>
      <c r="M52">
        <v>0.99999999999999989</v>
      </c>
      <c r="N52">
        <v>1</v>
      </c>
      <c r="O52">
        <f t="shared" si="1"/>
        <v>284575342.46575344</v>
      </c>
      <c r="Q52">
        <v>0.79</v>
      </c>
    </row>
    <row r="53" spans="1:21" x14ac:dyDescent="0.3">
      <c r="A53" t="s">
        <v>51</v>
      </c>
      <c r="B53">
        <v>0</v>
      </c>
      <c r="C53">
        <v>0</v>
      </c>
      <c r="D53" s="1">
        <v>5.9604640000000001E-8</v>
      </c>
      <c r="E53">
        <v>0</v>
      </c>
      <c r="F53" s="3">
        <f t="shared" si="2"/>
        <v>1</v>
      </c>
      <c r="H53">
        <v>1</v>
      </c>
      <c r="M53">
        <v>0</v>
      </c>
      <c r="O53">
        <f t="shared" si="1"/>
        <v>0</v>
      </c>
      <c r="Q53">
        <v>0.20999999999999996</v>
      </c>
    </row>
    <row r="54" spans="1:21" x14ac:dyDescent="0.3">
      <c r="O54">
        <f>SUM(O3:O53)</f>
        <v>568866109.58904099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8B1B-D320-4F41-A895-DCE28C260A8E}">
  <dimension ref="A1:L27"/>
  <sheetViews>
    <sheetView tabSelected="1" workbookViewId="0">
      <selection activeCell="E7" sqref="E7"/>
    </sheetView>
  </sheetViews>
  <sheetFormatPr defaultRowHeight="14.4" x14ac:dyDescent="0.3"/>
  <cols>
    <col min="1" max="1" width="21.77734375" bestFit="1" customWidth="1"/>
    <col min="2" max="2" width="18.77734375" bestFit="1" customWidth="1"/>
    <col min="3" max="3" width="18.77734375" customWidth="1"/>
    <col min="4" max="4" width="14" bestFit="1" customWidth="1"/>
    <col min="5" max="5" width="14" customWidth="1"/>
    <col min="6" max="6" width="26.77734375" bestFit="1" customWidth="1"/>
    <col min="7" max="7" width="28.5546875" customWidth="1"/>
    <col min="8" max="8" width="32.88671875" bestFit="1" customWidth="1"/>
    <col min="9" max="9" width="21.21875" bestFit="1" customWidth="1"/>
    <col min="10" max="10" width="10.5546875" bestFit="1" customWidth="1"/>
    <col min="11" max="11" width="16.88671875" bestFit="1" customWidth="1"/>
    <col min="12" max="12" width="16.88671875" customWidth="1"/>
  </cols>
  <sheetData>
    <row r="1" spans="1:12" x14ac:dyDescent="0.3">
      <c r="A1" t="s">
        <v>54</v>
      </c>
      <c r="B1" t="s">
        <v>68</v>
      </c>
      <c r="C1" t="s">
        <v>83</v>
      </c>
      <c r="D1" t="s">
        <v>70</v>
      </c>
      <c r="E1" t="s">
        <v>84</v>
      </c>
      <c r="F1" t="s">
        <v>73</v>
      </c>
      <c r="G1" t="s">
        <v>69</v>
      </c>
      <c r="H1" t="s">
        <v>71</v>
      </c>
      <c r="I1" t="s">
        <v>72</v>
      </c>
      <c r="J1" t="s">
        <v>67</v>
      </c>
      <c r="K1" t="s">
        <v>64</v>
      </c>
      <c r="L1" t="s">
        <v>55</v>
      </c>
    </row>
    <row r="2" spans="1:12" x14ac:dyDescent="0.3">
      <c r="A2" t="s">
        <v>0</v>
      </c>
      <c r="B2">
        <f>AVERAGE(7011,6121)</f>
        <v>6566</v>
      </c>
      <c r="C2">
        <f>B2*1000</f>
        <v>6566000</v>
      </c>
      <c r="D2">
        <v>654</v>
      </c>
      <c r="F2">
        <f>0.1*B2^0.8</f>
        <v>113.19850799829931</v>
      </c>
      <c r="G2">
        <f>F2*365</f>
        <v>41317.45541937925</v>
      </c>
      <c r="H2">
        <f>G2*D2</f>
        <v>27021615.844274029</v>
      </c>
      <c r="I2">
        <f>D2*B2</f>
        <v>4294164</v>
      </c>
      <c r="J2" s="2">
        <f>H2/I2</f>
        <v>6.292637133624619</v>
      </c>
      <c r="K2">
        <v>586000</v>
      </c>
      <c r="L2" t="s">
        <v>65</v>
      </c>
    </row>
    <row r="3" spans="1:12" x14ac:dyDescent="0.3">
      <c r="A3" t="s">
        <v>1</v>
      </c>
      <c r="B3">
        <f>AVERAGE(32.6,29.5)</f>
        <v>31.05</v>
      </c>
      <c r="C3">
        <f t="shared" ref="C3:C14" si="0">B3*1000</f>
        <v>31050</v>
      </c>
      <c r="D3">
        <v>37553</v>
      </c>
      <c r="F3">
        <f>0.1*B3^0.8</f>
        <v>1.5618858255531789</v>
      </c>
      <c r="G3">
        <f t="shared" ref="G3:G6" si="1">F3*365</f>
        <v>570.08832632691031</v>
      </c>
      <c r="H3">
        <f>G3*D3</f>
        <v>21408526.918554462</v>
      </c>
      <c r="I3">
        <f>D3*B3</f>
        <v>1166020.6500000001</v>
      </c>
      <c r="J3" s="2">
        <f t="shared" ref="J3:J6" si="2">H3/I3</f>
        <v>18.360332570914984</v>
      </c>
      <c r="K3">
        <f>17.4*1000</f>
        <v>17400</v>
      </c>
      <c r="L3" t="s">
        <v>66</v>
      </c>
    </row>
    <row r="4" spans="1:12" x14ac:dyDescent="0.3">
      <c r="A4" t="s">
        <v>2</v>
      </c>
      <c r="B4">
        <f>AVERAGE(136,147)</f>
        <v>141.5</v>
      </c>
      <c r="C4">
        <f t="shared" si="0"/>
        <v>141500</v>
      </c>
      <c r="D4">
        <v>29791</v>
      </c>
      <c r="F4">
        <f>0.1*B4^0.8</f>
        <v>5.2553924388387738</v>
      </c>
      <c r="G4">
        <f t="shared" si="1"/>
        <v>1918.2182401761524</v>
      </c>
      <c r="H4">
        <f>G4*D4</f>
        <v>57145639.593087755</v>
      </c>
      <c r="I4">
        <f>D4*B4</f>
        <v>4215426.5</v>
      </c>
      <c r="J4" s="2">
        <f t="shared" si="2"/>
        <v>13.556312651421571</v>
      </c>
    </row>
    <row r="5" spans="1:12" x14ac:dyDescent="0.3">
      <c r="A5" t="s">
        <v>3</v>
      </c>
      <c r="B5">
        <f>AVERAGE(152,168)</f>
        <v>160</v>
      </c>
      <c r="C5">
        <f t="shared" si="0"/>
        <v>160000</v>
      </c>
      <c r="D5">
        <v>7040</v>
      </c>
      <c r="F5">
        <f>0.1*B5^0.8</f>
        <v>5.7982373094215625</v>
      </c>
      <c r="G5">
        <f t="shared" si="1"/>
        <v>2116.3566179388704</v>
      </c>
      <c r="H5">
        <f>G5*D5</f>
        <v>14899150.590289647</v>
      </c>
      <c r="I5">
        <f>D5*B5</f>
        <v>1126400</v>
      </c>
      <c r="J5" s="2">
        <f t="shared" si="2"/>
        <v>13.22722886211794</v>
      </c>
    </row>
    <row r="6" spans="1:12" x14ac:dyDescent="0.3">
      <c r="A6" t="s">
        <v>4</v>
      </c>
      <c r="B6">
        <f>AVERAGE(58.4,68.8)</f>
        <v>63.599999999999994</v>
      </c>
      <c r="C6">
        <f t="shared" si="0"/>
        <v>63599.999999999993</v>
      </c>
      <c r="D6">
        <v>8890</v>
      </c>
      <c r="F6">
        <f>0.1*B6^0.8</f>
        <v>2.7718242661903489</v>
      </c>
      <c r="G6">
        <f t="shared" si="1"/>
        <v>1011.7158571594773</v>
      </c>
      <c r="H6">
        <f>G6*D6</f>
        <v>8994153.9701477531</v>
      </c>
      <c r="I6">
        <f>D6*B6</f>
        <v>565404</v>
      </c>
      <c r="J6" s="2">
        <f t="shared" si="2"/>
        <v>15.907482030809392</v>
      </c>
      <c r="K6">
        <v>18000</v>
      </c>
      <c r="L6" t="s">
        <v>66</v>
      </c>
    </row>
    <row r="7" spans="1:12" x14ac:dyDescent="0.3">
      <c r="A7" t="s">
        <v>56</v>
      </c>
      <c r="B7">
        <f>39/1000</f>
        <v>3.9E-2</v>
      </c>
      <c r="C7">
        <f t="shared" si="0"/>
        <v>39</v>
      </c>
      <c r="D7">
        <v>34064</v>
      </c>
      <c r="E7">
        <f>2.3*C7^0.774</f>
        <v>39.193300910013129</v>
      </c>
      <c r="F7">
        <f>E7/10000</f>
        <v>3.9193300910013128E-3</v>
      </c>
      <c r="G7">
        <f t="shared" ref="G7:G14" si="3">F7*365</f>
        <v>1.4305554832154792</v>
      </c>
      <c r="H7">
        <f t="shared" ref="H7:H14" si="4">G7*D7</f>
        <v>48730.441980252086</v>
      </c>
      <c r="I7">
        <f t="shared" ref="I7:I14" si="5">D7*B7</f>
        <v>1328.4960000000001</v>
      </c>
      <c r="J7" s="2">
        <f t="shared" ref="J7:J14" si="6">H7/I7</f>
        <v>36.680909826037926</v>
      </c>
    </row>
    <row r="8" spans="1:12" x14ac:dyDescent="0.3">
      <c r="A8" t="s">
        <v>57</v>
      </c>
      <c r="B8">
        <f>AVERAGE(320,440)/1000</f>
        <v>0.38</v>
      </c>
      <c r="C8">
        <f t="shared" si="0"/>
        <v>380</v>
      </c>
      <c r="D8">
        <v>391160</v>
      </c>
      <c r="E8">
        <f t="shared" ref="E8:E14" si="7">2.3*C8^0.774</f>
        <v>228.2865578645812</v>
      </c>
      <c r="F8">
        <f t="shared" ref="F8:F14" si="8">E8/10000</f>
        <v>2.2828655786458121E-2</v>
      </c>
      <c r="G8">
        <f t="shared" si="3"/>
        <v>8.3324593620572145</v>
      </c>
      <c r="H8">
        <f t="shared" si="4"/>
        <v>3259324.8040622999</v>
      </c>
      <c r="I8">
        <f t="shared" si="5"/>
        <v>148640.79999999999</v>
      </c>
      <c r="J8" s="2">
        <f t="shared" si="6"/>
        <v>21.927524636992672</v>
      </c>
    </row>
    <row r="9" spans="1:12" x14ac:dyDescent="0.3">
      <c r="A9" t="s">
        <v>58</v>
      </c>
      <c r="B9">
        <f>523/1000</f>
        <v>0.52300000000000002</v>
      </c>
      <c r="C9">
        <f t="shared" si="0"/>
        <v>523</v>
      </c>
      <c r="D9">
        <v>53750</v>
      </c>
      <c r="E9">
        <f t="shared" si="7"/>
        <v>292.3130088098842</v>
      </c>
      <c r="F9">
        <f t="shared" si="8"/>
        <v>2.9231300880988419E-2</v>
      </c>
      <c r="G9">
        <f t="shared" si="3"/>
        <v>10.669424821560773</v>
      </c>
      <c r="H9">
        <f t="shared" si="4"/>
        <v>573481.58415889158</v>
      </c>
      <c r="I9">
        <f t="shared" si="5"/>
        <v>28111.25</v>
      </c>
      <c r="J9" s="2">
        <f t="shared" si="6"/>
        <v>20.400429869141057</v>
      </c>
    </row>
    <row r="10" spans="1:12" x14ac:dyDescent="0.3">
      <c r="A10" t="s">
        <v>59</v>
      </c>
      <c r="B10">
        <f>AVERAGE(649,577)/1000</f>
        <v>0.61299999999999999</v>
      </c>
      <c r="C10">
        <f t="shared" si="0"/>
        <v>613</v>
      </c>
      <c r="D10">
        <v>323534</v>
      </c>
      <c r="E10">
        <f t="shared" si="7"/>
        <v>330.53864566042563</v>
      </c>
      <c r="F10">
        <f t="shared" si="8"/>
        <v>3.3053864566042562E-2</v>
      </c>
      <c r="G10">
        <f t="shared" si="3"/>
        <v>12.064660566605536</v>
      </c>
      <c r="H10">
        <f t="shared" si="4"/>
        <v>3903327.8917561555</v>
      </c>
      <c r="I10">
        <f t="shared" si="5"/>
        <v>198326.342</v>
      </c>
      <c r="J10" s="2">
        <f t="shared" si="6"/>
        <v>19.681338607839372</v>
      </c>
      <c r="K10">
        <v>1116.3</v>
      </c>
      <c r="L10" t="s">
        <v>65</v>
      </c>
    </row>
    <row r="11" spans="1:12" x14ac:dyDescent="0.3">
      <c r="A11" t="s">
        <v>60</v>
      </c>
      <c r="B11">
        <f>AVERAGE(2932,3067)/1000</f>
        <v>2.9994999999999998</v>
      </c>
      <c r="C11">
        <f t="shared" si="0"/>
        <v>2999.5</v>
      </c>
      <c r="D11">
        <v>60642</v>
      </c>
      <c r="E11">
        <f t="shared" si="7"/>
        <v>1129.7013780228144</v>
      </c>
      <c r="F11">
        <f t="shared" si="8"/>
        <v>0.11297013780228145</v>
      </c>
      <c r="G11">
        <f t="shared" si="3"/>
        <v>41.234100297832725</v>
      </c>
      <c r="H11">
        <f t="shared" si="4"/>
        <v>2500518.3102611722</v>
      </c>
      <c r="I11">
        <f t="shared" si="5"/>
        <v>181895.679</v>
      </c>
      <c r="J11" s="2">
        <f t="shared" si="6"/>
        <v>13.746991264488324</v>
      </c>
    </row>
    <row r="12" spans="1:12" x14ac:dyDescent="0.3">
      <c r="A12" t="s">
        <v>61</v>
      </c>
      <c r="B12">
        <f>AVERAGE(421,394)/1000</f>
        <v>0.40749999999999997</v>
      </c>
      <c r="C12">
        <f t="shared" si="0"/>
        <v>407.5</v>
      </c>
      <c r="D12">
        <v>207079</v>
      </c>
      <c r="E12">
        <f t="shared" si="7"/>
        <v>240.97201461779844</v>
      </c>
      <c r="F12">
        <f t="shared" si="8"/>
        <v>2.4097201461779842E-2</v>
      </c>
      <c r="G12">
        <f t="shared" si="3"/>
        <v>8.7954785335496428</v>
      </c>
      <c r="H12">
        <f t="shared" si="4"/>
        <v>1821358.8992489264</v>
      </c>
      <c r="I12">
        <f t="shared" si="5"/>
        <v>84384.69249999999</v>
      </c>
      <c r="J12" s="2">
        <f t="shared" si="6"/>
        <v>21.58399640134882</v>
      </c>
      <c r="K12">
        <v>904</v>
      </c>
      <c r="L12" t="s">
        <v>65</v>
      </c>
    </row>
    <row r="13" spans="1:12" x14ac:dyDescent="0.3">
      <c r="A13" t="s">
        <v>62</v>
      </c>
      <c r="B13">
        <f>AVERAGE(1147,1023)/1000</f>
        <v>1.085</v>
      </c>
      <c r="C13">
        <f t="shared" si="0"/>
        <v>1085</v>
      </c>
      <c r="D13">
        <v>113827</v>
      </c>
      <c r="E13">
        <f t="shared" si="7"/>
        <v>514.22176344470688</v>
      </c>
      <c r="F13">
        <f t="shared" si="8"/>
        <v>5.1422176344470688E-2</v>
      </c>
      <c r="G13">
        <f t="shared" si="3"/>
        <v>18.769094365731799</v>
      </c>
      <c r="H13">
        <f t="shared" si="4"/>
        <v>2136429.7043681536</v>
      </c>
      <c r="I13">
        <f t="shared" si="5"/>
        <v>123502.295</v>
      </c>
      <c r="J13" s="2">
        <f t="shared" si="6"/>
        <v>17.298704484545439</v>
      </c>
      <c r="K13">
        <v>1905.4</v>
      </c>
      <c r="L13" t="s">
        <v>65</v>
      </c>
    </row>
    <row r="14" spans="1:12" x14ac:dyDescent="0.3">
      <c r="A14" t="s">
        <v>63</v>
      </c>
      <c r="B14">
        <f>AVERAGE(880,755)/1000</f>
        <v>0.8175</v>
      </c>
      <c r="C14">
        <f t="shared" si="0"/>
        <v>817.5</v>
      </c>
      <c r="D14">
        <v>39034</v>
      </c>
      <c r="E14">
        <f t="shared" si="7"/>
        <v>413.04119001488493</v>
      </c>
      <c r="F14">
        <f t="shared" si="8"/>
        <v>4.130411900148849E-2</v>
      </c>
      <c r="G14">
        <f t="shared" si="3"/>
        <v>15.076003435543299</v>
      </c>
      <c r="H14">
        <f t="shared" si="4"/>
        <v>588476.71810299717</v>
      </c>
      <c r="I14">
        <f t="shared" si="5"/>
        <v>31910.295000000002</v>
      </c>
      <c r="J14" s="2">
        <f t="shared" si="6"/>
        <v>18.441594416566726</v>
      </c>
    </row>
    <row r="20" spans="3:4" x14ac:dyDescent="0.3">
      <c r="C20">
        <f>16.69*C7^0.651</f>
        <v>181.23388316354726</v>
      </c>
      <c r="D20">
        <f>2.3*C7^0.774</f>
        <v>39.193300910013129</v>
      </c>
    </row>
    <row r="21" spans="3:4" x14ac:dyDescent="0.3">
      <c r="C21">
        <f t="shared" ref="C21:C27" si="9">16.69*C8^0.651</f>
        <v>797.80261975886071</v>
      </c>
      <c r="D21">
        <f t="shared" ref="D21:D28" si="10">2.3*C8^0.774</f>
        <v>228.2865578645812</v>
      </c>
    </row>
    <row r="22" spans="3:4" x14ac:dyDescent="0.3">
      <c r="C22">
        <f t="shared" si="9"/>
        <v>982.2022759317889</v>
      </c>
      <c r="D22">
        <f t="shared" si="10"/>
        <v>292.3130088098842</v>
      </c>
    </row>
    <row r="23" spans="3:4" x14ac:dyDescent="0.3">
      <c r="C23">
        <f t="shared" si="9"/>
        <v>1089.1635670529949</v>
      </c>
      <c r="D23">
        <f t="shared" si="10"/>
        <v>330.53864566042563</v>
      </c>
    </row>
    <row r="24" spans="3:4" x14ac:dyDescent="0.3">
      <c r="C24">
        <f t="shared" si="9"/>
        <v>3062.0702398820054</v>
      </c>
      <c r="D24">
        <f t="shared" si="10"/>
        <v>1129.7013780228144</v>
      </c>
    </row>
    <row r="25" spans="3:4" x14ac:dyDescent="0.3">
      <c r="C25">
        <f t="shared" si="9"/>
        <v>834.92874413899938</v>
      </c>
      <c r="D25">
        <f t="shared" si="10"/>
        <v>240.97201461779844</v>
      </c>
    </row>
    <row r="26" spans="3:4" x14ac:dyDescent="0.3">
      <c r="C26">
        <f t="shared" si="9"/>
        <v>1579.5053317392553</v>
      </c>
      <c r="D26">
        <f t="shared" si="10"/>
        <v>514.22176344470688</v>
      </c>
    </row>
    <row r="27" spans="3:4" x14ac:dyDescent="0.3">
      <c r="C27">
        <f t="shared" si="9"/>
        <v>1313.6687512616334</v>
      </c>
      <c r="D27">
        <f t="shared" si="10"/>
        <v>413.04119001488493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Woodstock</dc:creator>
  <cp:lastModifiedBy>Matthew Woodstock</cp:lastModifiedBy>
  <dcterms:created xsi:type="dcterms:W3CDTF">2022-03-10T20:40:37Z</dcterms:created>
  <dcterms:modified xsi:type="dcterms:W3CDTF">2022-03-17T14:05:39Z</dcterms:modified>
</cp:coreProperties>
</file>