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 Sea Ecosystem Model\1990 Start Time\"/>
    </mc:Choice>
  </mc:AlternateContent>
  <xr:revisionPtr revIDLastSave="0" documentId="13_ncr:1_{8B82C23D-15E8-4DD6-9459-7CF2B8A434B0}" xr6:coauthVersionLast="47" xr6:coauthVersionMax="47" xr10:uidLastSave="{00000000-0000-0000-0000-000000000000}"/>
  <bookViews>
    <workbookView xWindow="-108" yWindow="-108" windowWidth="23256" windowHeight="12576" xr2:uid="{E88329AD-A6D5-43E6-A37D-D6E3800134EC}"/>
  </bookViews>
  <sheets>
    <sheet name="Gray Seal" sheetId="1" r:id="rId1"/>
    <sheet name="Harbour S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26" i="1"/>
  <c r="F24" i="1"/>
  <c r="E4" i="2"/>
  <c r="B27" i="2" l="1"/>
  <c r="B26" i="2"/>
  <c r="B25" i="2"/>
  <c r="B24" i="2"/>
  <c r="H24" i="2" s="1"/>
  <c r="B23" i="2"/>
  <c r="B10" i="2"/>
  <c r="B11" i="2"/>
  <c r="B12" i="2"/>
  <c r="H12" i="2" s="1"/>
  <c r="B9" i="2"/>
  <c r="B14" i="2"/>
  <c r="B15" i="2"/>
  <c r="B16" i="2"/>
  <c r="H16" i="2" s="1"/>
  <c r="B17" i="2"/>
  <c r="B18" i="2"/>
  <c r="B19" i="2"/>
  <c r="B13" i="2"/>
  <c r="H13" i="2" s="1"/>
  <c r="B21" i="2"/>
  <c r="B20" i="2"/>
  <c r="B22" i="2"/>
  <c r="O16" i="1"/>
  <c r="E16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O7" i="1"/>
  <c r="U7" i="1" s="1"/>
  <c r="W13" i="1"/>
  <c r="Y17" i="1" s="1"/>
  <c r="Y18" i="1" s="1"/>
  <c r="U4" i="1"/>
  <c r="U5" i="1"/>
  <c r="U6" i="1"/>
  <c r="U8" i="1"/>
  <c r="U9" i="1"/>
  <c r="U10" i="1"/>
  <c r="U11" i="1"/>
  <c r="U12" i="1"/>
  <c r="U13" i="1"/>
  <c r="U14" i="1"/>
  <c r="U15" i="1"/>
  <c r="U3" i="1"/>
  <c r="D4" i="1"/>
  <c r="E4" i="1"/>
  <c r="D5" i="1"/>
  <c r="E5" i="1"/>
  <c r="D6" i="1"/>
  <c r="E6" i="1"/>
  <c r="D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D17" i="1"/>
  <c r="D18" i="1"/>
  <c r="D19" i="1"/>
  <c r="D20" i="1"/>
  <c r="D21" i="1"/>
  <c r="D22" i="1"/>
  <c r="D23" i="1"/>
  <c r="D24" i="1"/>
  <c r="D25" i="1"/>
  <c r="D26" i="1"/>
  <c r="D27" i="1"/>
  <c r="E3" i="1"/>
  <c r="D3" i="1"/>
  <c r="C4" i="2"/>
  <c r="D4" i="2"/>
  <c r="C5" i="2"/>
  <c r="H5" i="2" s="1"/>
  <c r="D5" i="2"/>
  <c r="C6" i="2"/>
  <c r="D6" i="2"/>
  <c r="C7" i="2"/>
  <c r="H7" i="2" s="1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D3" i="2"/>
  <c r="C3" i="2"/>
  <c r="H3" i="2" s="1"/>
  <c r="H10" i="2" l="1"/>
  <c r="H11" i="2"/>
  <c r="H6" i="2"/>
  <c r="H18" i="2"/>
  <c r="H17" i="2"/>
  <c r="H23" i="2"/>
  <c r="H25" i="2"/>
  <c r="H19" i="2"/>
  <c r="H22" i="2"/>
  <c r="H8" i="2"/>
  <c r="H4" i="2"/>
  <c r="H20" i="2"/>
  <c r="H14" i="2"/>
  <c r="H26" i="2"/>
  <c r="H15" i="2"/>
  <c r="H21" i="2"/>
  <c r="H9" i="2"/>
  <c r="H27" i="2"/>
  <c r="E7" i="1"/>
  <c r="U16" i="1"/>
  <c r="O17" i="1"/>
  <c r="E17" i="1"/>
  <c r="X17" i="1"/>
  <c r="X18" i="1" s="1"/>
  <c r="W17" i="1"/>
  <c r="W18" i="1" s="1"/>
  <c r="O18" i="1" l="1"/>
  <c r="U17" i="1"/>
  <c r="O19" i="1" l="1"/>
  <c r="E18" i="1"/>
  <c r="U18" i="1"/>
  <c r="U19" i="1" l="1"/>
  <c r="O20" i="1"/>
  <c r="E19" i="1"/>
  <c r="O21" i="1" l="1"/>
  <c r="U20" i="1"/>
  <c r="E20" i="1"/>
  <c r="E21" i="1" l="1"/>
  <c r="U21" i="1"/>
  <c r="O22" i="1"/>
  <c r="E22" i="1" l="1"/>
  <c r="U22" i="1"/>
  <c r="O23" i="1"/>
  <c r="U23" i="1" l="1"/>
  <c r="O24" i="1"/>
  <c r="E23" i="1"/>
  <c r="E24" i="1" l="1"/>
  <c r="U24" i="1"/>
  <c r="O25" i="1"/>
  <c r="E25" i="1" l="1"/>
  <c r="U25" i="1"/>
  <c r="O26" i="1"/>
  <c r="O27" i="1" l="1"/>
  <c r="U26" i="1"/>
  <c r="E26" i="1"/>
  <c r="E27" i="1" l="1"/>
  <c r="U27" i="1"/>
</calcChain>
</file>

<file path=xl/sharedStrings.xml><?xml version="1.0" encoding="utf-8"?>
<sst xmlns="http://schemas.openxmlformats.org/spreadsheetml/2006/main" count="47" uniqueCount="30">
  <si>
    <t>Year</t>
  </si>
  <si>
    <t>Isle of May</t>
  </si>
  <si>
    <t>Farne Islands</t>
  </si>
  <si>
    <t>Donna Nook</t>
  </si>
  <si>
    <t>Blakeney Point</t>
  </si>
  <si>
    <t>Wadden Sea</t>
  </si>
  <si>
    <t>East Scotland</t>
  </si>
  <si>
    <t>NE England</t>
  </si>
  <si>
    <t>SE England</t>
  </si>
  <si>
    <t>Limfjorden</t>
  </si>
  <si>
    <t>CV</t>
  </si>
  <si>
    <t>Northeast England</t>
  </si>
  <si>
    <t>Southeast England</t>
  </si>
  <si>
    <t>N'umber-land</t>
  </si>
  <si>
    <t>The Tees</t>
  </si>
  <si>
    <t>Other sites</t>
  </si>
  <si>
    <t>The Wash</t>
  </si>
  <si>
    <t>Horsey</t>
  </si>
  <si>
    <t>Scroby Sands</t>
  </si>
  <si>
    <t>Essex &amp; Kent</t>
  </si>
  <si>
    <t>SE total</t>
  </si>
  <si>
    <t>Northeast England SMU</t>
  </si>
  <si>
    <t>Southeast England SMU</t>
  </si>
  <si>
    <t>Ratio:</t>
  </si>
  <si>
    <t>Pup Production</t>
  </si>
  <si>
    <t>Females</t>
  </si>
  <si>
    <t>Farne</t>
  </si>
  <si>
    <t>French North Sea</t>
  </si>
  <si>
    <t>Total Seals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</si>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</sst>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,??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/>
    <xf numFmtId="1" fontId="1" fillId="0" borderId="2" xfId="0" applyNumberFormat="1" applyFont="1" applyBorder="1" applyAlignment="1"/>
    <xf numFmtId="1" fontId="1" fillId="0" borderId="3" xfId="0" applyNumberFormat="1" applyFont="1" applyBorder="1" applyAlignment="1"/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5C3E-3C2D-4230-B429-14EAAFF5416F}">
  <dimension ref="A1:Y27"/>
  <sheetViews>
    <sheetView tabSelected="1" zoomScale="70" zoomScaleNormal="70" workbookViewId="0">
      <selection sqref="A1:G27"/>
    </sheetView>
  </sheetViews>
  <sheetFormatPr defaultRowHeight="14.4" x14ac:dyDescent="0.3"/>
  <cols>
    <col min="6" max="6" width="11.88671875" bestFit="1" customWidth="1"/>
    <col min="11" max="11" width="11.5546875" bestFit="1" customWidth="1"/>
    <col min="12" max="12" width="14.88671875" customWidth="1"/>
    <col min="25" max="27" width="13.33203125" bestFit="1" customWidth="1"/>
  </cols>
  <sheetData>
    <row r="1" spans="1:25" x14ac:dyDescent="0.3">
      <c r="A1" t="s">
        <v>0</v>
      </c>
      <c r="B1" s="2" t="s">
        <v>6</v>
      </c>
      <c r="C1" s="2"/>
      <c r="D1" s="3"/>
      <c r="F1" s="3"/>
      <c r="G1" s="3"/>
      <c r="H1" s="3"/>
      <c r="I1" s="3"/>
      <c r="J1" s="3"/>
      <c r="L1" s="1" t="s">
        <v>10</v>
      </c>
      <c r="N1" s="5" t="s">
        <v>21</v>
      </c>
      <c r="O1" s="6"/>
      <c r="P1" s="7"/>
      <c r="Q1" s="5" t="s">
        <v>22</v>
      </c>
      <c r="R1" s="6"/>
      <c r="S1" s="6"/>
      <c r="T1" s="6"/>
      <c r="U1" s="6"/>
      <c r="V1" s="6"/>
      <c r="W1" s="7"/>
    </row>
    <row r="2" spans="1:25" x14ac:dyDescent="0.3">
      <c r="B2" t="s">
        <v>1</v>
      </c>
      <c r="C2" t="s">
        <v>2</v>
      </c>
      <c r="D2" s="3" t="s">
        <v>7</v>
      </c>
      <c r="E2" s="3" t="s">
        <v>8</v>
      </c>
      <c r="F2" t="s">
        <v>5</v>
      </c>
      <c r="G2" t="s">
        <v>28</v>
      </c>
      <c r="L2" s="4" t="s">
        <v>13</v>
      </c>
      <c r="M2" s="8" t="s">
        <v>14</v>
      </c>
      <c r="N2" s="9" t="s">
        <v>15</v>
      </c>
      <c r="O2" s="4" t="s">
        <v>3</v>
      </c>
      <c r="P2" s="8" t="s">
        <v>16</v>
      </c>
      <c r="Q2" s="8" t="s">
        <v>4</v>
      </c>
      <c r="R2" s="8" t="s">
        <v>17</v>
      </c>
      <c r="S2" s="8" t="s">
        <v>18</v>
      </c>
      <c r="T2" s="9" t="s">
        <v>19</v>
      </c>
      <c r="U2" s="9" t="s">
        <v>20</v>
      </c>
    </row>
    <row r="3" spans="1:25" x14ac:dyDescent="0.3">
      <c r="A3">
        <v>1990</v>
      </c>
      <c r="B3">
        <v>3500</v>
      </c>
      <c r="C3">
        <v>3000</v>
      </c>
      <c r="D3" s="18">
        <f>SUM(L3:N3)</f>
        <v>9</v>
      </c>
      <c r="E3" s="18">
        <f>SUM(O3:T3)</f>
        <v>460</v>
      </c>
      <c r="F3">
        <v>200</v>
      </c>
      <c r="G3">
        <f>SUM(B3:F3)</f>
        <v>7169</v>
      </c>
      <c r="J3">
        <v>0.2</v>
      </c>
      <c r="K3" s="10">
        <v>1990</v>
      </c>
      <c r="L3" s="11"/>
      <c r="M3" s="12">
        <v>9</v>
      </c>
      <c r="N3" s="13"/>
      <c r="O3" s="12">
        <v>450</v>
      </c>
      <c r="P3" s="12">
        <v>10</v>
      </c>
      <c r="Q3" s="14"/>
      <c r="R3" s="14"/>
      <c r="S3" s="14"/>
      <c r="T3" s="13"/>
      <c r="U3" s="15">
        <f>SUM(O3:T3)</f>
        <v>460</v>
      </c>
    </row>
    <row r="4" spans="1:25" x14ac:dyDescent="0.3">
      <c r="A4">
        <v>1991</v>
      </c>
      <c r="B4">
        <v>3800</v>
      </c>
      <c r="C4">
        <v>2800</v>
      </c>
      <c r="D4" s="18">
        <f t="shared" ref="D4:D27" si="0">SUM(L4:N4)</f>
        <v>8</v>
      </c>
      <c r="E4" s="18">
        <f t="shared" ref="E4:E27" si="1">SUM(O4:T4)</f>
        <v>698</v>
      </c>
      <c r="F4">
        <v>200</v>
      </c>
      <c r="G4">
        <f t="shared" ref="G4:G27" si="2">SUM(B4:F4)</f>
        <v>7506</v>
      </c>
      <c r="J4">
        <v>0.2</v>
      </c>
      <c r="K4" s="10">
        <v>1991</v>
      </c>
      <c r="L4" s="11"/>
      <c r="M4" s="12">
        <v>8</v>
      </c>
      <c r="N4" s="13"/>
      <c r="O4" s="11">
        <v>650</v>
      </c>
      <c r="P4" s="12">
        <v>48</v>
      </c>
      <c r="Q4" s="14"/>
      <c r="R4" s="14"/>
      <c r="S4" s="14"/>
      <c r="T4" s="13"/>
      <c r="U4" s="15">
        <f t="shared" ref="U4:U27" si="3">SUM(O4:T4)</f>
        <v>698</v>
      </c>
    </row>
    <row r="5" spans="1:25" x14ac:dyDescent="0.3">
      <c r="A5">
        <v>1992</v>
      </c>
      <c r="B5">
        <v>4100</v>
      </c>
      <c r="C5">
        <v>3500</v>
      </c>
      <c r="D5" s="18">
        <f t="shared" si="0"/>
        <v>9</v>
      </c>
      <c r="E5" s="18">
        <f t="shared" si="1"/>
        <v>591</v>
      </c>
      <c r="F5">
        <v>200</v>
      </c>
      <c r="G5">
        <f t="shared" si="2"/>
        <v>8400</v>
      </c>
      <c r="J5">
        <v>0.1</v>
      </c>
      <c r="K5" s="10">
        <v>1992</v>
      </c>
      <c r="L5" s="11"/>
      <c r="M5" s="12">
        <v>9</v>
      </c>
      <c r="N5" s="13"/>
      <c r="O5" s="12">
        <v>550</v>
      </c>
      <c r="P5" s="12">
        <v>35</v>
      </c>
      <c r="Q5" s="12">
        <v>6</v>
      </c>
      <c r="R5" s="14"/>
      <c r="S5" s="14"/>
      <c r="T5" s="13"/>
      <c r="U5" s="15">
        <f t="shared" si="3"/>
        <v>591</v>
      </c>
    </row>
    <row r="6" spans="1:25" x14ac:dyDescent="0.3">
      <c r="A6">
        <v>1993</v>
      </c>
      <c r="B6">
        <v>5100</v>
      </c>
      <c r="C6">
        <v>3600</v>
      </c>
      <c r="D6" s="18">
        <f t="shared" si="0"/>
        <v>9</v>
      </c>
      <c r="E6" s="18">
        <f t="shared" si="1"/>
        <v>771</v>
      </c>
      <c r="F6">
        <v>200</v>
      </c>
      <c r="G6">
        <f t="shared" si="2"/>
        <v>9680</v>
      </c>
      <c r="J6">
        <v>0.1</v>
      </c>
      <c r="K6" s="10">
        <v>1993</v>
      </c>
      <c r="L6" s="11"/>
      <c r="M6" s="12">
        <v>9</v>
      </c>
      <c r="N6" s="13"/>
      <c r="O6" s="12">
        <v>700</v>
      </c>
      <c r="P6" s="12">
        <v>64</v>
      </c>
      <c r="Q6" s="12">
        <v>7</v>
      </c>
      <c r="R6" s="14"/>
      <c r="S6" s="14"/>
      <c r="T6" s="13"/>
      <c r="U6" s="15">
        <f t="shared" si="3"/>
        <v>771</v>
      </c>
    </row>
    <row r="7" spans="1:25" x14ac:dyDescent="0.3">
      <c r="A7">
        <v>1994</v>
      </c>
      <c r="B7">
        <v>4600</v>
      </c>
      <c r="C7">
        <v>3400</v>
      </c>
      <c r="D7" s="18">
        <f t="shared" si="0"/>
        <v>106</v>
      </c>
      <c r="E7" s="18">
        <f t="shared" si="1"/>
        <v>1067</v>
      </c>
      <c r="F7">
        <v>200</v>
      </c>
      <c r="G7">
        <f t="shared" si="2"/>
        <v>9373</v>
      </c>
      <c r="J7">
        <v>0.14000000000000001</v>
      </c>
      <c r="K7" s="10">
        <v>1994</v>
      </c>
      <c r="L7" s="16">
        <v>100</v>
      </c>
      <c r="M7" s="12">
        <v>6</v>
      </c>
      <c r="N7" s="13"/>
      <c r="O7" s="12">
        <f>1000-(1000*0.11)</f>
        <v>890</v>
      </c>
      <c r="P7" s="12">
        <v>94</v>
      </c>
      <c r="Q7" s="12">
        <v>40</v>
      </c>
      <c r="R7" s="14"/>
      <c r="S7" s="12">
        <v>43</v>
      </c>
      <c r="T7" s="13"/>
      <c r="U7" s="15">
        <f t="shared" si="3"/>
        <v>1067</v>
      </c>
    </row>
    <row r="8" spans="1:25" x14ac:dyDescent="0.3">
      <c r="A8">
        <v>1995</v>
      </c>
      <c r="B8">
        <v>4100</v>
      </c>
      <c r="C8">
        <v>3200</v>
      </c>
      <c r="D8" s="18">
        <f t="shared" si="0"/>
        <v>10</v>
      </c>
      <c r="E8" s="18">
        <f t="shared" si="1"/>
        <v>1116</v>
      </c>
      <c r="F8">
        <v>200</v>
      </c>
      <c r="G8">
        <f t="shared" si="2"/>
        <v>8626</v>
      </c>
      <c r="J8">
        <v>0.1</v>
      </c>
      <c r="K8" s="10">
        <v>1995</v>
      </c>
      <c r="L8" s="11"/>
      <c r="M8" s="12">
        <v>10</v>
      </c>
      <c r="N8" s="13"/>
      <c r="O8" s="12">
        <v>1000</v>
      </c>
      <c r="P8" s="12">
        <v>66</v>
      </c>
      <c r="Q8" s="12">
        <v>18</v>
      </c>
      <c r="R8" s="14"/>
      <c r="S8" s="12">
        <v>32</v>
      </c>
      <c r="T8" s="13"/>
      <c r="U8" s="15">
        <f t="shared" si="3"/>
        <v>1116</v>
      </c>
    </row>
    <row r="9" spans="1:25" x14ac:dyDescent="0.3">
      <c r="A9">
        <v>1996</v>
      </c>
      <c r="B9">
        <v>4700</v>
      </c>
      <c r="C9">
        <v>3200</v>
      </c>
      <c r="D9" s="18">
        <f t="shared" si="0"/>
        <v>11</v>
      </c>
      <c r="E9" s="18">
        <f t="shared" si="1"/>
        <v>1017</v>
      </c>
      <c r="F9">
        <v>200</v>
      </c>
      <c r="G9">
        <f t="shared" si="2"/>
        <v>9128</v>
      </c>
      <c r="J9">
        <v>0.09</v>
      </c>
      <c r="K9" s="10">
        <v>1996</v>
      </c>
      <c r="L9" s="11"/>
      <c r="M9" s="12">
        <v>11</v>
      </c>
      <c r="N9" s="13"/>
      <c r="O9" s="12">
        <v>900</v>
      </c>
      <c r="P9" s="12">
        <v>60</v>
      </c>
      <c r="Q9" s="12">
        <v>11</v>
      </c>
      <c r="R9" s="14"/>
      <c r="S9" s="12">
        <v>46</v>
      </c>
      <c r="T9" s="13"/>
      <c r="U9" s="15">
        <f t="shared" si="3"/>
        <v>1017</v>
      </c>
    </row>
    <row r="10" spans="1:25" x14ac:dyDescent="0.3">
      <c r="A10">
        <v>1997</v>
      </c>
      <c r="B10">
        <v>6000</v>
      </c>
      <c r="C10">
        <v>3800</v>
      </c>
      <c r="D10" s="18">
        <f t="shared" si="0"/>
        <v>613</v>
      </c>
      <c r="E10" s="18">
        <f t="shared" si="1"/>
        <v>1228</v>
      </c>
      <c r="F10">
        <v>250</v>
      </c>
      <c r="G10">
        <f t="shared" si="2"/>
        <v>11891</v>
      </c>
      <c r="K10" s="10">
        <v>1997</v>
      </c>
      <c r="L10" s="16">
        <v>603</v>
      </c>
      <c r="M10" s="12">
        <v>10</v>
      </c>
      <c r="N10" s="13"/>
      <c r="O10" s="12">
        <v>1100</v>
      </c>
      <c r="P10" s="12">
        <v>49</v>
      </c>
      <c r="Q10" s="12">
        <v>45</v>
      </c>
      <c r="R10" s="14"/>
      <c r="S10" s="12">
        <v>34</v>
      </c>
      <c r="T10" s="13"/>
      <c r="U10" s="15">
        <f t="shared" si="3"/>
        <v>1228</v>
      </c>
    </row>
    <row r="11" spans="1:25" x14ac:dyDescent="0.3">
      <c r="A11">
        <v>1998</v>
      </c>
      <c r="B11">
        <v>6700</v>
      </c>
      <c r="C11">
        <v>3900</v>
      </c>
      <c r="D11" s="18">
        <f t="shared" si="0"/>
        <v>11</v>
      </c>
      <c r="E11" s="18">
        <f t="shared" si="1"/>
        <v>1409</v>
      </c>
      <c r="F11">
        <v>300</v>
      </c>
      <c r="G11">
        <f t="shared" si="2"/>
        <v>12320</v>
      </c>
      <c r="J11">
        <v>0.17</v>
      </c>
      <c r="K11" s="10">
        <v>1998</v>
      </c>
      <c r="L11" s="11"/>
      <c r="M11" s="12">
        <v>11</v>
      </c>
      <c r="N11" s="13"/>
      <c r="O11" s="12">
        <v>1300</v>
      </c>
      <c r="P11" s="12">
        <v>53</v>
      </c>
      <c r="Q11" s="12">
        <v>33</v>
      </c>
      <c r="R11" s="14"/>
      <c r="S11" s="12">
        <v>23</v>
      </c>
      <c r="T11" s="13"/>
      <c r="U11" s="15">
        <f t="shared" si="3"/>
        <v>1409</v>
      </c>
    </row>
    <row r="12" spans="1:25" x14ac:dyDescent="0.3">
      <c r="A12">
        <v>1999</v>
      </c>
      <c r="B12">
        <v>6700</v>
      </c>
      <c r="C12">
        <v>2800</v>
      </c>
      <c r="D12" s="18">
        <f t="shared" si="0"/>
        <v>12</v>
      </c>
      <c r="E12" s="18">
        <f t="shared" si="1"/>
        <v>1860</v>
      </c>
      <c r="F12">
        <v>400</v>
      </c>
      <c r="G12">
        <f t="shared" si="2"/>
        <v>11772</v>
      </c>
      <c r="J12">
        <v>0.16</v>
      </c>
      <c r="K12" s="10">
        <v>1999</v>
      </c>
      <c r="L12" s="11"/>
      <c r="M12" s="12">
        <v>12</v>
      </c>
      <c r="N12" s="13"/>
      <c r="O12" s="12">
        <v>1700</v>
      </c>
      <c r="P12" s="12">
        <v>57</v>
      </c>
      <c r="Q12" s="12">
        <v>14</v>
      </c>
      <c r="R12" s="14"/>
      <c r="S12" s="12">
        <v>89</v>
      </c>
      <c r="T12" s="13"/>
      <c r="U12" s="15">
        <f t="shared" si="3"/>
        <v>1860</v>
      </c>
    </row>
    <row r="13" spans="1:25" x14ac:dyDescent="0.3">
      <c r="A13">
        <v>2000</v>
      </c>
      <c r="B13">
        <v>7500</v>
      </c>
      <c r="C13">
        <v>3500</v>
      </c>
      <c r="D13" s="18">
        <f t="shared" si="0"/>
        <v>579</v>
      </c>
      <c r="E13" s="18">
        <f t="shared" si="1"/>
        <v>1997</v>
      </c>
      <c r="F13">
        <v>500</v>
      </c>
      <c r="G13">
        <f t="shared" si="2"/>
        <v>14076</v>
      </c>
      <c r="J13">
        <v>0.18</v>
      </c>
      <c r="K13" s="10">
        <v>2000</v>
      </c>
      <c r="L13" s="16">
        <v>568</v>
      </c>
      <c r="M13" s="12">
        <v>11</v>
      </c>
      <c r="N13" s="13"/>
      <c r="O13" s="12">
        <v>1900</v>
      </c>
      <c r="P13" s="12">
        <v>40</v>
      </c>
      <c r="Q13" s="12">
        <v>17</v>
      </c>
      <c r="R13" s="14"/>
      <c r="S13" s="12">
        <v>40</v>
      </c>
      <c r="T13" s="13"/>
      <c r="U13" s="15">
        <f t="shared" si="3"/>
        <v>1997</v>
      </c>
      <c r="V13" t="s">
        <v>23</v>
      </c>
      <c r="W13">
        <f>(1.07/0.95)^(5-1)*(1/0.94)</f>
        <v>1.7120357767979466</v>
      </c>
    </row>
    <row r="14" spans="1:25" x14ac:dyDescent="0.3">
      <c r="A14">
        <v>2001</v>
      </c>
      <c r="B14">
        <v>7000</v>
      </c>
      <c r="C14">
        <v>4000</v>
      </c>
      <c r="D14" s="18">
        <f t="shared" si="0"/>
        <v>11</v>
      </c>
      <c r="E14" s="18">
        <f t="shared" si="1"/>
        <v>2211</v>
      </c>
      <c r="F14">
        <v>400</v>
      </c>
      <c r="G14">
        <f t="shared" si="2"/>
        <v>13622</v>
      </c>
      <c r="J14">
        <v>0.14000000000000001</v>
      </c>
      <c r="K14" s="10">
        <v>2001</v>
      </c>
      <c r="L14" s="11"/>
      <c r="M14" s="12">
        <v>11</v>
      </c>
      <c r="N14" s="13"/>
      <c r="O14" s="12">
        <v>2000</v>
      </c>
      <c r="P14" s="12">
        <v>111</v>
      </c>
      <c r="Q14" s="12">
        <v>30</v>
      </c>
      <c r="R14" s="14"/>
      <c r="S14" s="12">
        <v>70</v>
      </c>
      <c r="T14" s="13"/>
      <c r="U14" s="15">
        <f t="shared" si="3"/>
        <v>2211</v>
      </c>
    </row>
    <row r="15" spans="1:25" x14ac:dyDescent="0.3">
      <c r="A15">
        <v>2002</v>
      </c>
      <c r="B15">
        <v>8000</v>
      </c>
      <c r="C15">
        <v>3800</v>
      </c>
      <c r="D15" s="18">
        <f t="shared" si="0"/>
        <v>12</v>
      </c>
      <c r="E15" s="18">
        <f t="shared" si="1"/>
        <v>2386</v>
      </c>
      <c r="F15">
        <v>300</v>
      </c>
      <c r="G15">
        <f t="shared" si="2"/>
        <v>14498</v>
      </c>
      <c r="K15" s="10">
        <v>2002</v>
      </c>
      <c r="L15" s="11"/>
      <c r="M15" s="12">
        <v>12</v>
      </c>
      <c r="N15" s="13"/>
      <c r="O15" s="12">
        <v>2300</v>
      </c>
      <c r="P15" s="12">
        <v>75</v>
      </c>
      <c r="Q15" s="12">
        <v>11</v>
      </c>
      <c r="R15" s="14"/>
      <c r="S15" s="14"/>
      <c r="T15" s="13"/>
      <c r="U15" s="15">
        <f t="shared" si="3"/>
        <v>2386</v>
      </c>
      <c r="W15" t="s">
        <v>26</v>
      </c>
      <c r="X15" t="s">
        <v>1</v>
      </c>
      <c r="Y15" t="s">
        <v>3</v>
      </c>
    </row>
    <row r="16" spans="1:25" x14ac:dyDescent="0.3">
      <c r="A16">
        <v>2003</v>
      </c>
      <c r="B16">
        <f>B15+(B15*0.036)</f>
        <v>8288</v>
      </c>
      <c r="C16">
        <f>C15+(C15*0.055)</f>
        <v>4009</v>
      </c>
      <c r="D16" s="18">
        <f t="shared" si="0"/>
        <v>11</v>
      </c>
      <c r="E16" s="18">
        <f t="shared" si="1"/>
        <v>2777.1</v>
      </c>
      <c r="F16">
        <v>250</v>
      </c>
      <c r="G16">
        <f t="shared" si="2"/>
        <v>15335.1</v>
      </c>
      <c r="K16" s="10">
        <v>2003</v>
      </c>
      <c r="L16" s="11"/>
      <c r="M16" s="12">
        <v>11</v>
      </c>
      <c r="N16" s="13"/>
      <c r="O16" s="12">
        <f>O15+(O15*0.117)</f>
        <v>2569.1</v>
      </c>
      <c r="P16" s="12">
        <v>58</v>
      </c>
      <c r="Q16" s="12">
        <v>18</v>
      </c>
      <c r="R16" s="14"/>
      <c r="S16" s="12">
        <v>36</v>
      </c>
      <c r="T16" s="17">
        <v>96</v>
      </c>
      <c r="U16" s="15">
        <f t="shared" si="3"/>
        <v>2777.1</v>
      </c>
      <c r="V16" t="s">
        <v>24</v>
      </c>
      <c r="W16">
        <v>927</v>
      </c>
      <c r="X16">
        <v>1218</v>
      </c>
      <c r="Y16">
        <v>152</v>
      </c>
    </row>
    <row r="17" spans="1:25" x14ac:dyDescent="0.3">
      <c r="A17">
        <v>2004</v>
      </c>
      <c r="B17">
        <f>B16+(B16*0.005)</f>
        <v>8329.44</v>
      </c>
      <c r="C17">
        <f>C16+(C16*-0.105)</f>
        <v>3588.0549999999998</v>
      </c>
      <c r="D17" s="18">
        <f t="shared" si="0"/>
        <v>13</v>
      </c>
      <c r="E17" s="18">
        <f t="shared" si="1"/>
        <v>3629.5450999999998</v>
      </c>
      <c r="F17">
        <v>200</v>
      </c>
      <c r="G17">
        <f t="shared" si="2"/>
        <v>15760.0401</v>
      </c>
      <c r="K17" s="10">
        <v>2004</v>
      </c>
      <c r="L17" s="11"/>
      <c r="M17" s="12">
        <v>13</v>
      </c>
      <c r="N17" s="13"/>
      <c r="O17" s="12">
        <f>O16+(O16*0.361)</f>
        <v>3496.5450999999998</v>
      </c>
      <c r="P17" s="12">
        <v>30</v>
      </c>
      <c r="Q17" s="12">
        <v>10</v>
      </c>
      <c r="R17" s="14"/>
      <c r="S17" s="12">
        <v>93</v>
      </c>
      <c r="T17" s="13"/>
      <c r="U17" s="15">
        <f t="shared" si="3"/>
        <v>3629.5450999999998</v>
      </c>
      <c r="V17" t="s">
        <v>25</v>
      </c>
      <c r="W17">
        <f>W16/(1/$W$13)</f>
        <v>1587.0571650916966</v>
      </c>
      <c r="X17">
        <f t="shared" ref="X17:Y17" si="4">X16/(1/$W$13)</f>
        <v>2085.2595761398993</v>
      </c>
      <c r="Y17">
        <f t="shared" si="4"/>
        <v>260.22943807328789</v>
      </c>
    </row>
    <row r="18" spans="1:25" x14ac:dyDescent="0.3">
      <c r="A18">
        <v>2005</v>
      </c>
      <c r="B18">
        <f>B17+(B17*0.041)</f>
        <v>8670.9470400000009</v>
      </c>
      <c r="C18">
        <f>C17+(C17*0.004)</f>
        <v>3602.4072200000001</v>
      </c>
      <c r="D18" s="18">
        <f t="shared" si="0"/>
        <v>1104</v>
      </c>
      <c r="E18" s="18">
        <f t="shared" si="1"/>
        <v>4380.9093984000001</v>
      </c>
      <c r="F18">
        <v>250</v>
      </c>
      <c r="G18">
        <f t="shared" si="2"/>
        <v>18008.263658399999</v>
      </c>
      <c r="K18" s="10">
        <v>2005</v>
      </c>
      <c r="L18" s="16">
        <v>1092</v>
      </c>
      <c r="M18" s="12">
        <v>12</v>
      </c>
      <c r="N18" s="13"/>
      <c r="O18" s="12">
        <f>O17+(O17*0.184)</f>
        <v>4139.9093984000001</v>
      </c>
      <c r="P18" s="12">
        <v>49</v>
      </c>
      <c r="Q18" s="12">
        <v>86</v>
      </c>
      <c r="R18" s="14"/>
      <c r="S18" s="12">
        <v>106</v>
      </c>
      <c r="T18" s="13"/>
      <c r="U18" s="15">
        <f t="shared" si="3"/>
        <v>4380.9093984000001</v>
      </c>
      <c r="W18">
        <f>W17+(0.6*W17)</f>
        <v>2539.2914641467146</v>
      </c>
      <c r="X18">
        <f>X17+(0.6*X17)</f>
        <v>3336.4153218238389</v>
      </c>
      <c r="Y18">
        <f>Y17+(0.6*Y17)</f>
        <v>416.36710091726059</v>
      </c>
    </row>
    <row r="19" spans="1:25" x14ac:dyDescent="0.3">
      <c r="A19">
        <v>2006</v>
      </c>
      <c r="B19">
        <f>B18+(B18*-0.032)</f>
        <v>8393.4767347200013</v>
      </c>
      <c r="C19">
        <f>C18+(C18*0.102)</f>
        <v>3969.8527564400001</v>
      </c>
      <c r="D19" s="18">
        <f t="shared" si="0"/>
        <v>8</v>
      </c>
      <c r="E19" s="18">
        <f t="shared" si="1"/>
        <v>5042.5379825984</v>
      </c>
      <c r="F19">
        <v>300</v>
      </c>
      <c r="G19">
        <f t="shared" si="2"/>
        <v>17713.867473758401</v>
      </c>
      <c r="K19" s="10">
        <v>2006</v>
      </c>
      <c r="L19" s="11"/>
      <c r="M19" s="12">
        <v>8</v>
      </c>
      <c r="N19" s="13"/>
      <c r="O19" s="12">
        <f>O18+(O18*0.126)</f>
        <v>4661.5379825984</v>
      </c>
      <c r="P19" s="12">
        <v>52</v>
      </c>
      <c r="Q19" s="12">
        <v>142</v>
      </c>
      <c r="R19" s="14"/>
      <c r="S19" s="12">
        <v>187</v>
      </c>
      <c r="T19" s="13"/>
      <c r="U19" s="15">
        <f t="shared" si="3"/>
        <v>5042.5379825984</v>
      </c>
    </row>
    <row r="20" spans="1:25" x14ac:dyDescent="0.3">
      <c r="A20">
        <v>2007</v>
      </c>
      <c r="B20">
        <f>B19+(B19*0.048)</f>
        <v>8796.3636179865607</v>
      </c>
      <c r="C20">
        <f>C19+(C19*-0.072)</f>
        <v>3684.0233579763203</v>
      </c>
      <c r="D20" s="18">
        <f t="shared" si="0"/>
        <v>1915</v>
      </c>
      <c r="E20" s="18">
        <f t="shared" si="1"/>
        <v>5360.8148381447745</v>
      </c>
      <c r="F20">
        <v>350</v>
      </c>
      <c r="G20">
        <f t="shared" si="2"/>
        <v>20106.201814107655</v>
      </c>
      <c r="K20" s="10">
        <v>2007</v>
      </c>
      <c r="L20" s="16">
        <v>1907</v>
      </c>
      <c r="M20" s="12">
        <v>8</v>
      </c>
      <c r="N20" s="13"/>
      <c r="O20" s="12">
        <f>O19+(O19*0.141)</f>
        <v>5318.8148381447745</v>
      </c>
      <c r="P20" s="12">
        <v>42</v>
      </c>
      <c r="Q20" s="14"/>
      <c r="R20" s="14"/>
      <c r="S20" s="14"/>
      <c r="T20" s="13"/>
      <c r="U20" s="15">
        <f t="shared" si="3"/>
        <v>5360.8148381447745</v>
      </c>
    </row>
    <row r="21" spans="1:25" x14ac:dyDescent="0.3">
      <c r="A21">
        <v>2008</v>
      </c>
      <c r="B21">
        <f>B20+(B20*0.214)</f>
        <v>10678.785432235685</v>
      </c>
      <c r="C21">
        <f>C20+(C20*0.132)</f>
        <v>4170.3144412291949</v>
      </c>
      <c r="D21" s="18">
        <f t="shared" si="0"/>
        <v>2350</v>
      </c>
      <c r="E21" s="18">
        <f t="shared" si="1"/>
        <v>7074.7084722304262</v>
      </c>
      <c r="F21">
        <v>400</v>
      </c>
      <c r="G21">
        <f t="shared" si="2"/>
        <v>24673.80834569531</v>
      </c>
      <c r="K21" s="10">
        <v>2008</v>
      </c>
      <c r="L21" s="16">
        <v>2338</v>
      </c>
      <c r="M21" s="12">
        <v>12</v>
      </c>
      <c r="N21" s="13"/>
      <c r="O21" s="12">
        <f>O20+(O20*0.191)</f>
        <v>6334.7084722304262</v>
      </c>
      <c r="P21" s="12">
        <v>68</v>
      </c>
      <c r="Q21" s="12">
        <v>375</v>
      </c>
      <c r="R21" s="14"/>
      <c r="S21" s="12">
        <v>137</v>
      </c>
      <c r="T21" s="17">
        <v>160</v>
      </c>
      <c r="U21" s="15">
        <f t="shared" si="3"/>
        <v>7074.7084722304262</v>
      </c>
    </row>
    <row r="22" spans="1:25" x14ac:dyDescent="0.3">
      <c r="A22">
        <v>2009</v>
      </c>
      <c r="B22">
        <f>B21+(B21*0.21)</f>
        <v>12921.330373005179</v>
      </c>
      <c r="C22">
        <f>C21+(C21*0.023)</f>
        <v>4266.231673377466</v>
      </c>
      <c r="D22" s="18">
        <f t="shared" si="0"/>
        <v>12</v>
      </c>
      <c r="E22" s="18">
        <f t="shared" si="1"/>
        <v>7575.5800345927601</v>
      </c>
      <c r="F22">
        <v>450</v>
      </c>
      <c r="G22">
        <f t="shared" si="2"/>
        <v>25225.142080975405</v>
      </c>
      <c r="K22" s="10">
        <v>2009</v>
      </c>
      <c r="L22" s="11"/>
      <c r="M22" s="12">
        <v>12</v>
      </c>
      <c r="N22" s="13"/>
      <c r="O22" s="12">
        <f>O21+(O21*0.149)</f>
        <v>7278.5800345927601</v>
      </c>
      <c r="P22" s="12">
        <v>118</v>
      </c>
      <c r="Q22" s="12">
        <v>22</v>
      </c>
      <c r="R22" s="14"/>
      <c r="S22" s="12">
        <v>157</v>
      </c>
      <c r="T22" s="13"/>
      <c r="U22" s="15">
        <f t="shared" si="3"/>
        <v>7575.5800345927601</v>
      </c>
    </row>
    <row r="23" spans="1:25" x14ac:dyDescent="0.3">
      <c r="A23">
        <v>2010</v>
      </c>
      <c r="B23">
        <f>B22+(B22*0.05)</f>
        <v>13567.396891655439</v>
      </c>
      <c r="C23">
        <f>C22+(C22*0.114)</f>
        <v>4752.5820841424975</v>
      </c>
      <c r="D23" s="18">
        <f t="shared" si="0"/>
        <v>14</v>
      </c>
      <c r="E23" s="18">
        <f t="shared" si="1"/>
        <v>9300.6955595741165</v>
      </c>
      <c r="F23">
        <v>500</v>
      </c>
      <c r="G23">
        <f t="shared" si="2"/>
        <v>28134.674535372054</v>
      </c>
      <c r="K23" s="10">
        <v>2010</v>
      </c>
      <c r="L23" s="11"/>
      <c r="M23" s="12">
        <v>14</v>
      </c>
      <c r="N23" s="13"/>
      <c r="O23" s="12">
        <f>O22+(O22*0.144)</f>
        <v>8326.6955595741165</v>
      </c>
      <c r="P23" s="12">
        <v>240</v>
      </c>
      <c r="Q23" s="12">
        <v>49</v>
      </c>
      <c r="R23" s="14"/>
      <c r="S23" s="12">
        <v>292</v>
      </c>
      <c r="T23" s="17">
        <v>393</v>
      </c>
      <c r="U23" s="15">
        <f t="shared" si="3"/>
        <v>9300.6955595741165</v>
      </c>
    </row>
    <row r="24" spans="1:25" x14ac:dyDescent="0.3">
      <c r="A24">
        <v>2011</v>
      </c>
      <c r="B24">
        <f>B23+(B23*0.05)</f>
        <v>14245.766736238211</v>
      </c>
      <c r="C24">
        <f>C23+(C23*0.069)</f>
        <v>5080.5102479483303</v>
      </c>
      <c r="D24" s="18">
        <f t="shared" si="0"/>
        <v>14</v>
      </c>
      <c r="E24" s="18">
        <f t="shared" si="1"/>
        <v>11614.684314125074</v>
      </c>
      <c r="F24">
        <f>AVERAGE(F23,F25)</f>
        <v>465</v>
      </c>
      <c r="G24">
        <f t="shared" si="2"/>
        <v>31419.961298311617</v>
      </c>
      <c r="K24" s="10">
        <v>2011</v>
      </c>
      <c r="L24" s="11"/>
      <c r="M24" s="12">
        <v>14</v>
      </c>
      <c r="N24" s="13"/>
      <c r="O24" s="12">
        <f>O23+(O23*0.303)</f>
        <v>10849.684314125074</v>
      </c>
      <c r="P24" s="12">
        <v>142</v>
      </c>
      <c r="Q24" s="12">
        <v>300</v>
      </c>
      <c r="R24" s="14"/>
      <c r="S24" s="12">
        <v>323</v>
      </c>
      <c r="T24" s="13"/>
      <c r="U24" s="15">
        <f t="shared" si="3"/>
        <v>11614.684314125074</v>
      </c>
    </row>
    <row r="25" spans="1:25" x14ac:dyDescent="0.3">
      <c r="A25">
        <v>2012</v>
      </c>
      <c r="B25">
        <f>B24+(B24*0.1)</f>
        <v>15670.343409862031</v>
      </c>
      <c r="C25">
        <f>C24+(C24*0.034)</f>
        <v>5253.2475963785737</v>
      </c>
      <c r="D25" s="18">
        <f t="shared" si="0"/>
        <v>18</v>
      </c>
      <c r="E25" s="18">
        <f t="shared" si="1"/>
        <v>12861.038855359084</v>
      </c>
      <c r="F25">
        <v>430</v>
      </c>
      <c r="G25">
        <f t="shared" si="2"/>
        <v>34232.629861599686</v>
      </c>
      <c r="K25" s="10">
        <v>2012</v>
      </c>
      <c r="L25" s="11"/>
      <c r="M25" s="12">
        <v>18</v>
      </c>
      <c r="N25" s="13"/>
      <c r="O25" s="12">
        <f>O24+(O24*0.144)</f>
        <v>12412.038855359084</v>
      </c>
      <c r="P25" s="12">
        <v>258</v>
      </c>
      <c r="Q25" s="12">
        <v>65</v>
      </c>
      <c r="R25" s="14"/>
      <c r="S25" s="12">
        <v>126</v>
      </c>
      <c r="T25" s="13"/>
      <c r="U25" s="15">
        <f t="shared" si="3"/>
        <v>12861.038855359084</v>
      </c>
    </row>
    <row r="26" spans="1:25" x14ac:dyDescent="0.3">
      <c r="A26">
        <v>2013</v>
      </c>
      <c r="B26">
        <f>B25+(B25*0.103)</f>
        <v>17284.388781077821</v>
      </c>
      <c r="C26">
        <f>C25+(C25*0.034)</f>
        <v>5431.858014655445</v>
      </c>
      <c r="D26" s="18">
        <f t="shared" si="0"/>
        <v>16</v>
      </c>
      <c r="E26" s="18">
        <f t="shared" si="1"/>
        <v>14903.372450530791</v>
      </c>
      <c r="F26">
        <f>AVERAGE(F25,F27)</f>
        <v>515</v>
      </c>
      <c r="G26">
        <f t="shared" si="2"/>
        <v>38150.619246264061</v>
      </c>
      <c r="K26" s="10">
        <v>2013</v>
      </c>
      <c r="L26" s="11"/>
      <c r="M26" s="12">
        <v>16</v>
      </c>
      <c r="N26" s="13"/>
      <c r="O26" s="12">
        <f>O25+(O25*0.144)</f>
        <v>14199.372450530791</v>
      </c>
      <c r="P26" s="12">
        <v>219</v>
      </c>
      <c r="Q26" s="12">
        <v>63</v>
      </c>
      <c r="R26" s="14"/>
      <c r="S26" s="12">
        <v>219</v>
      </c>
      <c r="T26" s="17">
        <v>203</v>
      </c>
      <c r="U26" s="15">
        <f t="shared" si="3"/>
        <v>14903.372450530791</v>
      </c>
    </row>
    <row r="27" spans="1:25" x14ac:dyDescent="0.3">
      <c r="A27">
        <v>2014</v>
      </c>
      <c r="B27">
        <f>B26+(B26*0.103)</f>
        <v>19064.680825528838</v>
      </c>
      <c r="C27">
        <f>C26+(C26*0.034)</f>
        <v>5616.5411871537299</v>
      </c>
      <c r="D27" s="18">
        <f t="shared" si="0"/>
        <v>16</v>
      </c>
      <c r="E27" s="18">
        <f t="shared" si="1"/>
        <v>17870.082083407226</v>
      </c>
      <c r="F27">
        <v>600</v>
      </c>
      <c r="G27">
        <f t="shared" si="2"/>
        <v>43167.304096089792</v>
      </c>
      <c r="K27" s="10">
        <v>2014</v>
      </c>
      <c r="L27" s="11"/>
      <c r="M27" s="12">
        <v>16</v>
      </c>
      <c r="N27" s="13"/>
      <c r="O27" s="12">
        <f>O26+(O26*0.144)</f>
        <v>16244.082083407226</v>
      </c>
      <c r="P27" s="12">
        <v>223</v>
      </c>
      <c r="Q27" s="12">
        <v>445</v>
      </c>
      <c r="R27" s="14"/>
      <c r="S27" s="12">
        <v>509</v>
      </c>
      <c r="T27" s="17">
        <v>449</v>
      </c>
      <c r="U27" s="15">
        <f t="shared" si="3"/>
        <v>17870.082083407226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376D-7E69-4CE9-844F-144F315D19BD}">
  <dimension ref="A1:T27"/>
  <sheetViews>
    <sheetView workbookViewId="0">
      <selection activeCell="A2" sqref="A2:H27"/>
    </sheetView>
  </sheetViews>
  <sheetFormatPr defaultRowHeight="14.4" x14ac:dyDescent="0.3"/>
  <cols>
    <col min="2" max="2" width="12.109375" bestFit="1" customWidth="1"/>
    <col min="3" max="3" width="10.44140625" bestFit="1" customWidth="1"/>
    <col min="4" max="4" width="10" bestFit="1" customWidth="1"/>
    <col min="5" max="5" width="11.5546875" bestFit="1" customWidth="1"/>
    <col min="6" max="6" width="15.109375" bestFit="1" customWidth="1"/>
    <col min="7" max="7" width="10" bestFit="1" customWidth="1"/>
    <col min="8" max="8" width="14.88671875" bestFit="1" customWidth="1"/>
    <col min="9" max="9" width="14.88671875" customWidth="1"/>
    <col min="11" max="11" width="15.44140625" bestFit="1" customWidth="1"/>
  </cols>
  <sheetData>
    <row r="1" spans="1:20" x14ac:dyDescent="0.3">
      <c r="K1" s="5" t="s">
        <v>11</v>
      </c>
      <c r="L1" s="6"/>
      <c r="M1" s="7"/>
      <c r="N1" s="5" t="s">
        <v>12</v>
      </c>
      <c r="O1" s="6"/>
      <c r="P1" s="6"/>
      <c r="Q1" s="6"/>
      <c r="R1" s="6"/>
      <c r="S1" s="6"/>
      <c r="T1" s="7"/>
    </row>
    <row r="2" spans="1:20" x14ac:dyDescent="0.3">
      <c r="A2" t="s">
        <v>0</v>
      </c>
      <c r="B2" s="3" t="s">
        <v>6</v>
      </c>
      <c r="C2" s="3" t="s">
        <v>7</v>
      </c>
      <c r="D2" s="3" t="s">
        <v>8</v>
      </c>
      <c r="E2" s="3" t="s">
        <v>5</v>
      </c>
      <c r="F2" s="3" t="s">
        <v>27</v>
      </c>
      <c r="G2" s="3" t="s">
        <v>9</v>
      </c>
      <c r="H2" s="3" t="s">
        <v>29</v>
      </c>
      <c r="I2" s="3"/>
      <c r="K2" s="4" t="s">
        <v>13</v>
      </c>
      <c r="L2" s="8" t="s">
        <v>14</v>
      </c>
      <c r="M2" s="9" t="s">
        <v>15</v>
      </c>
      <c r="N2" s="4" t="s">
        <v>3</v>
      </c>
      <c r="O2" s="8" t="s">
        <v>16</v>
      </c>
      <c r="P2" s="8" t="s">
        <v>4</v>
      </c>
      <c r="Q2" s="8" t="s">
        <v>17</v>
      </c>
      <c r="R2" s="8" t="s">
        <v>18</v>
      </c>
      <c r="S2" s="9" t="s">
        <v>19</v>
      </c>
      <c r="T2" s="9" t="s">
        <v>20</v>
      </c>
    </row>
    <row r="3" spans="1:20" x14ac:dyDescent="0.3">
      <c r="A3">
        <v>1990</v>
      </c>
      <c r="B3">
        <v>1000</v>
      </c>
      <c r="C3" s="18">
        <f>SUM(K3:M3)</f>
        <v>23</v>
      </c>
      <c r="D3" s="18">
        <f>SUM(N3:S3)</f>
        <v>1662</v>
      </c>
      <c r="E3">
        <v>4200</v>
      </c>
      <c r="F3">
        <v>17</v>
      </c>
      <c r="G3">
        <v>517</v>
      </c>
      <c r="H3">
        <f>SUM(B3:G3)</f>
        <v>7419</v>
      </c>
      <c r="J3" s="10">
        <v>1990</v>
      </c>
      <c r="K3" s="11"/>
      <c r="L3" s="12">
        <v>23</v>
      </c>
      <c r="M3" s="13"/>
      <c r="N3" s="12">
        <v>57</v>
      </c>
      <c r="O3" s="12">
        <v>1532</v>
      </c>
      <c r="P3" s="14">
        <v>73</v>
      </c>
      <c r="Q3" s="14"/>
      <c r="R3" s="14"/>
      <c r="S3" s="13"/>
      <c r="T3" s="15"/>
    </row>
    <row r="4" spans="1:20" x14ac:dyDescent="0.3">
      <c r="A4">
        <v>1991</v>
      </c>
      <c r="B4">
        <v>1000</v>
      </c>
      <c r="C4" s="18">
        <f t="shared" ref="C4:C27" si="0">SUM(K4:M4)</f>
        <v>24</v>
      </c>
      <c r="D4" s="18">
        <f t="shared" ref="D4:D27" si="1">SUM(N4:S4)</f>
        <v>1551</v>
      </c>
      <c r="E4">
        <f>AVERAGE(E3,E5)</f>
        <v>5722</v>
      </c>
      <c r="F4">
        <v>17</v>
      </c>
      <c r="G4">
        <v>682</v>
      </c>
      <c r="H4">
        <f t="shared" ref="H4:H27" si="2">SUM(B4:G4)</f>
        <v>8996</v>
      </c>
      <c r="J4" s="10">
        <v>1991</v>
      </c>
      <c r="K4" s="11"/>
      <c r="L4" s="12">
        <v>24</v>
      </c>
      <c r="M4" s="13"/>
      <c r="N4" s="11"/>
      <c r="O4" s="12">
        <v>1551</v>
      </c>
      <c r="P4" s="14">
        <v>0</v>
      </c>
      <c r="Q4" s="14"/>
      <c r="R4" s="14"/>
      <c r="S4" s="13"/>
      <c r="T4" s="15"/>
    </row>
    <row r="5" spans="1:20" x14ac:dyDescent="0.3">
      <c r="A5">
        <v>1992</v>
      </c>
      <c r="B5">
        <v>1000</v>
      </c>
      <c r="C5" s="18">
        <f t="shared" si="0"/>
        <v>27</v>
      </c>
      <c r="D5" s="18">
        <f t="shared" si="1"/>
        <v>1959</v>
      </c>
      <c r="E5">
        <v>7244</v>
      </c>
      <c r="F5">
        <v>17</v>
      </c>
      <c r="G5">
        <v>750</v>
      </c>
      <c r="H5">
        <f t="shared" si="2"/>
        <v>10997</v>
      </c>
      <c r="J5" s="10">
        <v>1992</v>
      </c>
      <c r="K5" s="11"/>
      <c r="L5" s="12">
        <v>27</v>
      </c>
      <c r="M5" s="13"/>
      <c r="N5" s="12">
        <v>18</v>
      </c>
      <c r="O5" s="12">
        <v>1724</v>
      </c>
      <c r="P5" s="12">
        <v>217</v>
      </c>
      <c r="Q5" s="14"/>
      <c r="R5" s="14"/>
      <c r="S5" s="13"/>
      <c r="T5" s="15"/>
    </row>
    <row r="6" spans="1:20" x14ac:dyDescent="0.3">
      <c r="A6">
        <v>1993</v>
      </c>
      <c r="B6">
        <v>1887</v>
      </c>
      <c r="C6" s="18">
        <f t="shared" si="0"/>
        <v>30</v>
      </c>
      <c r="D6" s="18">
        <f t="shared" si="1"/>
        <v>2114</v>
      </c>
      <c r="E6">
        <v>8107</v>
      </c>
      <c r="F6">
        <v>19</v>
      </c>
      <c r="G6">
        <v>650</v>
      </c>
      <c r="H6">
        <f t="shared" si="2"/>
        <v>12807</v>
      </c>
      <c r="J6" s="10">
        <v>1993</v>
      </c>
      <c r="K6" s="11"/>
      <c r="L6" s="12">
        <v>30</v>
      </c>
      <c r="M6" s="13"/>
      <c r="N6" s="12">
        <v>88</v>
      </c>
      <c r="O6" s="12">
        <v>1759</v>
      </c>
      <c r="P6" s="12">
        <v>267</v>
      </c>
      <c r="Q6" s="14"/>
      <c r="R6" s="14"/>
      <c r="S6" s="13"/>
      <c r="T6" s="15"/>
    </row>
    <row r="7" spans="1:20" x14ac:dyDescent="0.3">
      <c r="A7">
        <v>1994</v>
      </c>
      <c r="B7">
        <v>1694</v>
      </c>
      <c r="C7" s="18">
        <f t="shared" si="0"/>
        <v>48</v>
      </c>
      <c r="D7" s="18">
        <f t="shared" si="1"/>
        <v>2680</v>
      </c>
      <c r="E7">
        <v>8934</v>
      </c>
      <c r="F7">
        <v>30</v>
      </c>
      <c r="G7">
        <v>650</v>
      </c>
      <c r="H7">
        <f t="shared" si="2"/>
        <v>14036</v>
      </c>
      <c r="J7" s="10">
        <v>1994</v>
      </c>
      <c r="K7" s="16">
        <v>13</v>
      </c>
      <c r="L7" s="12">
        <v>35</v>
      </c>
      <c r="M7" s="13"/>
      <c r="N7" s="12">
        <v>146</v>
      </c>
      <c r="O7" s="12">
        <v>2277</v>
      </c>
      <c r="P7" s="12">
        <v>196</v>
      </c>
      <c r="Q7" s="14"/>
      <c r="R7" s="12">
        <v>61</v>
      </c>
      <c r="S7" s="13"/>
      <c r="T7" s="15"/>
    </row>
    <row r="8" spans="1:20" x14ac:dyDescent="0.3">
      <c r="A8">
        <v>1995</v>
      </c>
      <c r="B8">
        <v>1707</v>
      </c>
      <c r="C8" s="18">
        <f t="shared" si="0"/>
        <v>33</v>
      </c>
      <c r="D8" s="18">
        <f t="shared" si="1"/>
        <v>2958</v>
      </c>
      <c r="E8">
        <v>9761</v>
      </c>
      <c r="F8">
        <v>36</v>
      </c>
      <c r="G8">
        <v>500</v>
      </c>
      <c r="H8">
        <f t="shared" si="2"/>
        <v>14995</v>
      </c>
      <c r="J8" s="10">
        <v>1995</v>
      </c>
      <c r="K8" s="11"/>
      <c r="L8" s="12">
        <v>33</v>
      </c>
      <c r="M8" s="13"/>
      <c r="N8" s="12">
        <v>115</v>
      </c>
      <c r="O8" s="12">
        <v>2266</v>
      </c>
      <c r="P8" s="12">
        <v>438</v>
      </c>
      <c r="Q8" s="14"/>
      <c r="R8" s="12">
        <v>49</v>
      </c>
      <c r="S8" s="17">
        <v>90</v>
      </c>
      <c r="T8" s="17">
        <v>2793</v>
      </c>
    </row>
    <row r="9" spans="1:20" x14ac:dyDescent="0.3">
      <c r="A9">
        <v>1996</v>
      </c>
      <c r="B9">
        <f>SUM(116,648,1429)</f>
        <v>2193</v>
      </c>
      <c r="C9" s="18">
        <f t="shared" si="0"/>
        <v>42</v>
      </c>
      <c r="D9" s="18">
        <f t="shared" si="1"/>
        <v>2736</v>
      </c>
      <c r="E9">
        <v>11024</v>
      </c>
      <c r="F9">
        <v>47</v>
      </c>
      <c r="G9">
        <v>500</v>
      </c>
      <c r="H9">
        <f t="shared" si="2"/>
        <v>16542</v>
      </c>
      <c r="J9" s="10">
        <v>1996</v>
      </c>
      <c r="K9" s="11"/>
      <c r="L9" s="12">
        <v>42</v>
      </c>
      <c r="M9" s="13"/>
      <c r="N9" s="12">
        <v>162</v>
      </c>
      <c r="O9" s="12">
        <v>2151</v>
      </c>
      <c r="P9" s="12">
        <v>372</v>
      </c>
      <c r="Q9" s="14"/>
      <c r="R9" s="12">
        <v>51</v>
      </c>
      <c r="S9" s="13"/>
      <c r="T9" s="15"/>
    </row>
    <row r="10" spans="1:20" x14ac:dyDescent="0.3">
      <c r="A10">
        <v>1997</v>
      </c>
      <c r="B10">
        <f t="shared" ref="B10:B12" si="3">SUM(116,648,1429)</f>
        <v>2193</v>
      </c>
      <c r="C10" s="18">
        <f t="shared" si="0"/>
        <v>54</v>
      </c>
      <c r="D10" s="18">
        <f t="shared" si="1"/>
        <v>3266</v>
      </c>
      <c r="E10">
        <v>12927</v>
      </c>
      <c r="F10">
        <v>67</v>
      </c>
      <c r="G10">
        <v>956</v>
      </c>
      <c r="H10">
        <f t="shared" si="2"/>
        <v>19463</v>
      </c>
      <c r="J10" s="10">
        <v>1997</v>
      </c>
      <c r="K10" s="16">
        <v>12</v>
      </c>
      <c r="L10" s="12">
        <v>42</v>
      </c>
      <c r="M10" s="13"/>
      <c r="N10" s="12">
        <v>262</v>
      </c>
      <c r="O10" s="12">
        <v>2561</v>
      </c>
      <c r="P10" s="12">
        <v>371</v>
      </c>
      <c r="Q10" s="14"/>
      <c r="R10" s="12">
        <v>72</v>
      </c>
      <c r="S10" s="13"/>
      <c r="T10" s="15"/>
    </row>
    <row r="11" spans="1:20" x14ac:dyDescent="0.3">
      <c r="A11">
        <v>1998</v>
      </c>
      <c r="B11">
        <f t="shared" si="3"/>
        <v>2193</v>
      </c>
      <c r="C11" s="18">
        <f t="shared" si="0"/>
        <v>41</v>
      </c>
      <c r="D11" s="18">
        <f t="shared" si="1"/>
        <v>3465</v>
      </c>
      <c r="E11">
        <v>14446</v>
      </c>
      <c r="F11">
        <v>82</v>
      </c>
      <c r="G11">
        <v>1050</v>
      </c>
      <c r="H11">
        <f t="shared" si="2"/>
        <v>21277</v>
      </c>
      <c r="J11" s="10">
        <v>1998</v>
      </c>
      <c r="K11" s="11"/>
      <c r="L11" s="12">
        <v>41</v>
      </c>
      <c r="M11" s="13"/>
      <c r="N11" s="12">
        <v>294</v>
      </c>
      <c r="O11" s="12">
        <v>2381</v>
      </c>
      <c r="P11" s="12">
        <v>738</v>
      </c>
      <c r="Q11" s="14"/>
      <c r="R11" s="12">
        <v>52</v>
      </c>
      <c r="S11" s="13"/>
      <c r="T11" s="15"/>
    </row>
    <row r="12" spans="1:20" x14ac:dyDescent="0.3">
      <c r="A12">
        <v>1999</v>
      </c>
      <c r="B12">
        <f t="shared" si="3"/>
        <v>2193</v>
      </c>
      <c r="C12" s="18">
        <f t="shared" si="0"/>
        <v>36</v>
      </c>
      <c r="D12" s="18">
        <f t="shared" si="1"/>
        <v>3584</v>
      </c>
      <c r="E12">
        <v>15244</v>
      </c>
      <c r="F12">
        <v>100</v>
      </c>
      <c r="G12">
        <v>1444</v>
      </c>
      <c r="H12">
        <f t="shared" si="2"/>
        <v>22601</v>
      </c>
      <c r="J12" s="10">
        <v>1999</v>
      </c>
      <c r="K12" s="11"/>
      <c r="L12" s="12">
        <v>36</v>
      </c>
      <c r="M12" s="13"/>
      <c r="N12" s="12">
        <v>321</v>
      </c>
      <c r="O12" s="12">
        <v>2474</v>
      </c>
      <c r="P12" s="12">
        <v>715</v>
      </c>
      <c r="Q12" s="14"/>
      <c r="R12" s="12">
        <v>74</v>
      </c>
      <c r="S12" s="13"/>
      <c r="T12" s="15"/>
    </row>
    <row r="13" spans="1:20" x14ac:dyDescent="0.3">
      <c r="A13">
        <v>2000</v>
      </c>
      <c r="B13">
        <f>SUM(280,406,959)</f>
        <v>1645</v>
      </c>
      <c r="C13" s="18">
        <f t="shared" si="0"/>
        <v>69</v>
      </c>
      <c r="D13" s="18">
        <f t="shared" si="1"/>
        <v>4443</v>
      </c>
      <c r="E13">
        <v>17008</v>
      </c>
      <c r="F13">
        <v>104</v>
      </c>
      <c r="G13">
        <v>1000</v>
      </c>
      <c r="H13">
        <f t="shared" si="2"/>
        <v>24269</v>
      </c>
      <c r="J13" s="10">
        <v>2000</v>
      </c>
      <c r="K13" s="16">
        <v>10</v>
      </c>
      <c r="L13" s="12">
        <v>59</v>
      </c>
      <c r="M13" s="13"/>
      <c r="N13" s="12">
        <v>435</v>
      </c>
      <c r="O13" s="12">
        <v>3029</v>
      </c>
      <c r="P13" s="12">
        <v>895</v>
      </c>
      <c r="Q13" s="14"/>
      <c r="R13" s="12">
        <v>84</v>
      </c>
      <c r="S13" s="13"/>
      <c r="T13" s="15"/>
    </row>
    <row r="14" spans="1:20" x14ac:dyDescent="0.3">
      <c r="A14">
        <v>2001</v>
      </c>
      <c r="B14">
        <f t="shared" ref="B14:B19" si="4">SUM(280,406,959)</f>
        <v>1645</v>
      </c>
      <c r="C14" s="18">
        <f t="shared" si="0"/>
        <v>59</v>
      </c>
      <c r="D14" s="18">
        <f t="shared" si="1"/>
        <v>4274</v>
      </c>
      <c r="E14">
        <v>19383</v>
      </c>
      <c r="F14">
        <v>105</v>
      </c>
      <c r="G14">
        <v>850</v>
      </c>
      <c r="H14">
        <f t="shared" si="2"/>
        <v>26316</v>
      </c>
      <c r="J14" s="10">
        <v>2001</v>
      </c>
      <c r="K14" s="11"/>
      <c r="L14" s="12">
        <v>59</v>
      </c>
      <c r="M14" s="13"/>
      <c r="N14" s="12">
        <v>233</v>
      </c>
      <c r="O14" s="12">
        <v>3194</v>
      </c>
      <c r="P14" s="12">
        <v>772</v>
      </c>
      <c r="Q14" s="14"/>
      <c r="R14" s="12">
        <v>75</v>
      </c>
      <c r="S14" s="13"/>
      <c r="T14" s="15"/>
    </row>
    <row r="15" spans="1:20" x14ac:dyDescent="0.3">
      <c r="A15">
        <v>2002</v>
      </c>
      <c r="B15">
        <f t="shared" si="4"/>
        <v>1645</v>
      </c>
      <c r="C15" s="18">
        <f t="shared" si="0"/>
        <v>52</v>
      </c>
      <c r="D15" s="18">
        <f t="shared" si="1"/>
        <v>3806</v>
      </c>
      <c r="E15">
        <v>20975</v>
      </c>
      <c r="F15">
        <v>167</v>
      </c>
      <c r="G15">
        <v>1186</v>
      </c>
      <c r="H15">
        <f t="shared" si="2"/>
        <v>27831</v>
      </c>
      <c r="J15" s="10">
        <v>2002</v>
      </c>
      <c r="K15" s="11"/>
      <c r="L15" s="12">
        <v>52</v>
      </c>
      <c r="M15" s="13"/>
      <c r="N15" s="12">
        <v>341</v>
      </c>
      <c r="O15" s="12">
        <v>2976</v>
      </c>
      <c r="P15" s="12">
        <v>489</v>
      </c>
      <c r="Q15" s="14"/>
      <c r="R15" s="14"/>
      <c r="S15" s="13"/>
      <c r="T15" s="15"/>
    </row>
    <row r="16" spans="1:20" x14ac:dyDescent="0.3">
      <c r="A16">
        <v>2003</v>
      </c>
      <c r="B16">
        <f t="shared" si="4"/>
        <v>1645</v>
      </c>
      <c r="C16" s="18">
        <f t="shared" si="0"/>
        <v>38</v>
      </c>
      <c r="D16" s="18">
        <f t="shared" si="1"/>
        <v>3361</v>
      </c>
      <c r="E16">
        <v>10817</v>
      </c>
      <c r="F16">
        <v>170</v>
      </c>
      <c r="G16">
        <v>1400</v>
      </c>
      <c r="H16">
        <f t="shared" si="2"/>
        <v>17431</v>
      </c>
      <c r="J16" s="10">
        <v>2003</v>
      </c>
      <c r="K16" s="11"/>
      <c r="L16" s="12">
        <v>38</v>
      </c>
      <c r="M16" s="13"/>
      <c r="N16" s="12">
        <v>231</v>
      </c>
      <c r="O16" s="12">
        <v>2513</v>
      </c>
      <c r="P16" s="12">
        <v>399</v>
      </c>
      <c r="Q16" s="14"/>
      <c r="R16" s="12">
        <v>38</v>
      </c>
      <c r="S16" s="17">
        <v>180</v>
      </c>
      <c r="T16" s="17">
        <v>3361</v>
      </c>
    </row>
    <row r="17" spans="1:20" x14ac:dyDescent="0.3">
      <c r="A17">
        <v>2004</v>
      </c>
      <c r="B17">
        <f t="shared" si="4"/>
        <v>1645</v>
      </c>
      <c r="C17" s="18">
        <f t="shared" si="0"/>
        <v>40</v>
      </c>
      <c r="D17" s="18">
        <f t="shared" si="1"/>
        <v>3144</v>
      </c>
      <c r="E17">
        <v>12803</v>
      </c>
      <c r="F17">
        <v>194</v>
      </c>
      <c r="G17">
        <v>780</v>
      </c>
      <c r="H17">
        <f t="shared" si="2"/>
        <v>18606</v>
      </c>
      <c r="J17" s="10">
        <v>2004</v>
      </c>
      <c r="K17" s="11"/>
      <c r="L17" s="12">
        <v>40</v>
      </c>
      <c r="M17" s="13"/>
      <c r="N17" s="12">
        <v>294</v>
      </c>
      <c r="O17" s="12">
        <v>2147</v>
      </c>
      <c r="P17" s="12">
        <v>646</v>
      </c>
      <c r="Q17" s="14"/>
      <c r="R17" s="12">
        <v>57</v>
      </c>
      <c r="S17" s="13"/>
      <c r="T17" s="15"/>
    </row>
    <row r="18" spans="1:20" x14ac:dyDescent="0.3">
      <c r="A18">
        <v>2005</v>
      </c>
      <c r="B18">
        <f t="shared" si="4"/>
        <v>1645</v>
      </c>
      <c r="C18" s="18">
        <f t="shared" si="0"/>
        <v>67</v>
      </c>
      <c r="D18" s="18">
        <f t="shared" si="1"/>
        <v>3132</v>
      </c>
      <c r="E18">
        <v>14275</v>
      </c>
      <c r="F18">
        <v>230</v>
      </c>
      <c r="G18">
        <v>870</v>
      </c>
      <c r="H18">
        <f t="shared" si="2"/>
        <v>20219</v>
      </c>
      <c r="J18" s="10">
        <v>2005</v>
      </c>
      <c r="K18" s="16">
        <v>17</v>
      </c>
      <c r="L18" s="12">
        <v>50</v>
      </c>
      <c r="M18" s="13"/>
      <c r="N18" s="12">
        <v>421</v>
      </c>
      <c r="O18" s="12">
        <v>1946</v>
      </c>
      <c r="P18" s="12">
        <v>709</v>
      </c>
      <c r="Q18" s="14"/>
      <c r="R18" s="12">
        <v>56</v>
      </c>
      <c r="S18" s="13"/>
      <c r="T18" s="15"/>
    </row>
    <row r="19" spans="1:20" x14ac:dyDescent="0.3">
      <c r="A19">
        <v>2006</v>
      </c>
      <c r="B19">
        <f t="shared" si="4"/>
        <v>1645</v>
      </c>
      <c r="C19" s="18">
        <f t="shared" si="0"/>
        <v>45</v>
      </c>
      <c r="D19" s="18">
        <f t="shared" si="1"/>
        <v>2784</v>
      </c>
      <c r="E19">
        <v>15426</v>
      </c>
      <c r="F19">
        <v>262</v>
      </c>
      <c r="G19">
        <v>1400</v>
      </c>
      <c r="H19">
        <f t="shared" si="2"/>
        <v>21562</v>
      </c>
      <c r="J19" s="10">
        <v>2006</v>
      </c>
      <c r="K19" s="11"/>
      <c r="L19" s="12">
        <v>45</v>
      </c>
      <c r="M19" s="13"/>
      <c r="N19" s="12">
        <v>299</v>
      </c>
      <c r="O19" s="12">
        <v>1695</v>
      </c>
      <c r="P19" s="12">
        <v>719</v>
      </c>
      <c r="Q19" s="14"/>
      <c r="R19" s="12">
        <v>71</v>
      </c>
      <c r="S19" s="13"/>
      <c r="T19" s="15"/>
    </row>
    <row r="20" spans="1:20" x14ac:dyDescent="0.3">
      <c r="A20">
        <v>2007</v>
      </c>
      <c r="B20">
        <f t="shared" ref="B20:B21" si="5">SUM(148,228,871)</f>
        <v>1247</v>
      </c>
      <c r="C20" s="18">
        <f t="shared" si="0"/>
        <v>50</v>
      </c>
      <c r="D20" s="18">
        <f t="shared" si="1"/>
        <v>2926</v>
      </c>
      <c r="E20">
        <v>17641</v>
      </c>
      <c r="F20">
        <v>288</v>
      </c>
      <c r="G20">
        <v>772</v>
      </c>
      <c r="H20">
        <f t="shared" si="2"/>
        <v>22924</v>
      </c>
      <c r="J20" s="10">
        <v>2007</v>
      </c>
      <c r="K20" s="16">
        <v>7</v>
      </c>
      <c r="L20" s="12">
        <v>43</v>
      </c>
      <c r="M20" s="13"/>
      <c r="N20" s="12">
        <v>214</v>
      </c>
      <c r="O20" s="12">
        <v>2162</v>
      </c>
      <c r="P20" s="12">
        <v>550</v>
      </c>
      <c r="Q20" s="14"/>
      <c r="R20" s="14"/>
      <c r="S20" s="13"/>
      <c r="T20" s="15"/>
    </row>
    <row r="21" spans="1:20" x14ac:dyDescent="0.3">
      <c r="A21">
        <v>2008</v>
      </c>
      <c r="B21">
        <f t="shared" si="5"/>
        <v>1247</v>
      </c>
      <c r="C21" s="18">
        <f t="shared" si="0"/>
        <v>50</v>
      </c>
      <c r="D21" s="18">
        <f t="shared" si="1"/>
        <v>3183</v>
      </c>
      <c r="E21">
        <v>20254</v>
      </c>
      <c r="F21">
        <v>305</v>
      </c>
      <c r="G21">
        <v>1050</v>
      </c>
      <c r="H21">
        <f t="shared" si="2"/>
        <v>26089</v>
      </c>
      <c r="J21" s="10">
        <v>2008</v>
      </c>
      <c r="K21" s="16">
        <v>9</v>
      </c>
      <c r="L21" s="12">
        <v>41</v>
      </c>
      <c r="M21" s="13"/>
      <c r="N21" s="12">
        <v>191</v>
      </c>
      <c r="O21" s="12">
        <v>2011</v>
      </c>
      <c r="P21" s="12">
        <v>581</v>
      </c>
      <c r="Q21" s="14"/>
      <c r="R21" s="12">
        <v>81</v>
      </c>
      <c r="S21" s="17">
        <v>319</v>
      </c>
      <c r="T21" s="17">
        <v>3182</v>
      </c>
    </row>
    <row r="22" spans="1:20" x14ac:dyDescent="0.3">
      <c r="A22">
        <v>2009</v>
      </c>
      <c r="B22">
        <f>SUM(148,228,871)</f>
        <v>1247</v>
      </c>
      <c r="C22" s="18">
        <f t="shared" si="0"/>
        <v>49</v>
      </c>
      <c r="D22" s="18">
        <f t="shared" si="1"/>
        <v>3633</v>
      </c>
      <c r="E22">
        <v>21571</v>
      </c>
      <c r="F22">
        <v>409</v>
      </c>
      <c r="G22">
        <v>1172</v>
      </c>
      <c r="H22">
        <f t="shared" si="2"/>
        <v>28081</v>
      </c>
      <c r="J22" s="10">
        <v>2009</v>
      </c>
      <c r="K22" s="11"/>
      <c r="L22" s="12">
        <v>49</v>
      </c>
      <c r="M22" s="13"/>
      <c r="N22" s="12">
        <v>267</v>
      </c>
      <c r="O22" s="12">
        <v>2829</v>
      </c>
      <c r="P22" s="12">
        <v>372</v>
      </c>
      <c r="Q22" s="14"/>
      <c r="R22" s="12">
        <v>165</v>
      </c>
      <c r="S22" s="13"/>
      <c r="T22" s="15"/>
    </row>
    <row r="23" spans="1:20" x14ac:dyDescent="0.3">
      <c r="A23">
        <v>2010</v>
      </c>
      <c r="B23">
        <f>SUM(148,241,1114)</f>
        <v>1503</v>
      </c>
      <c r="C23" s="18">
        <f t="shared" si="0"/>
        <v>53</v>
      </c>
      <c r="D23" s="18">
        <f t="shared" si="1"/>
        <v>3733</v>
      </c>
      <c r="E23">
        <v>22175</v>
      </c>
      <c r="F23">
        <v>432</v>
      </c>
      <c r="G23">
        <v>868</v>
      </c>
      <c r="H23">
        <f t="shared" si="2"/>
        <v>28764</v>
      </c>
      <c r="J23" s="10">
        <v>2010</v>
      </c>
      <c r="K23" s="11"/>
      <c r="L23" s="12">
        <v>53</v>
      </c>
      <c r="M23" s="13"/>
      <c r="N23" s="12">
        <v>176</v>
      </c>
      <c r="O23" s="12">
        <v>2586</v>
      </c>
      <c r="P23" s="12">
        <v>391</v>
      </c>
      <c r="Q23" s="14"/>
      <c r="R23" s="12">
        <v>201</v>
      </c>
      <c r="S23" s="17">
        <v>379</v>
      </c>
      <c r="T23" s="17">
        <v>3733</v>
      </c>
    </row>
    <row r="24" spans="1:20" x14ac:dyDescent="0.3">
      <c r="A24">
        <v>2011</v>
      </c>
      <c r="B24">
        <f>SUM(148,167,954)</f>
        <v>1269</v>
      </c>
      <c r="C24" s="18">
        <f t="shared" si="0"/>
        <v>57</v>
      </c>
      <c r="D24" s="18">
        <f t="shared" si="1"/>
        <v>3567</v>
      </c>
      <c r="E24">
        <v>23611</v>
      </c>
      <c r="F24">
        <v>458</v>
      </c>
      <c r="G24">
        <v>1200</v>
      </c>
      <c r="H24">
        <f t="shared" si="2"/>
        <v>30162</v>
      </c>
      <c r="J24" s="10">
        <v>2011</v>
      </c>
      <c r="K24" s="11"/>
      <c r="L24" s="12">
        <v>57</v>
      </c>
      <c r="M24" s="13"/>
      <c r="N24" s="12">
        <v>205</v>
      </c>
      <c r="O24" s="12">
        <v>2894</v>
      </c>
      <c r="P24" s="12">
        <v>349</v>
      </c>
      <c r="Q24" s="14"/>
      <c r="R24" s="12">
        <v>119</v>
      </c>
      <c r="S24" s="13"/>
      <c r="T24" s="15"/>
    </row>
    <row r="25" spans="1:20" x14ac:dyDescent="0.3">
      <c r="A25">
        <v>2012</v>
      </c>
      <c r="B25">
        <f>SUM(326,972)</f>
        <v>1298</v>
      </c>
      <c r="C25" s="18">
        <f t="shared" si="0"/>
        <v>63</v>
      </c>
      <c r="D25" s="18">
        <f t="shared" si="1"/>
        <v>4134</v>
      </c>
      <c r="E25">
        <v>26220</v>
      </c>
      <c r="F25">
        <v>605</v>
      </c>
      <c r="G25">
        <v>1537</v>
      </c>
      <c r="H25">
        <f t="shared" si="2"/>
        <v>33857</v>
      </c>
      <c r="J25" s="10">
        <v>2012</v>
      </c>
      <c r="K25" s="11"/>
      <c r="L25" s="12">
        <v>63</v>
      </c>
      <c r="M25" s="13"/>
      <c r="N25" s="12">
        <v>192</v>
      </c>
      <c r="O25" s="12">
        <v>3372</v>
      </c>
      <c r="P25" s="12">
        <v>409</v>
      </c>
      <c r="Q25" s="14"/>
      <c r="R25" s="12">
        <v>161</v>
      </c>
      <c r="S25" s="13"/>
      <c r="T25" s="15"/>
    </row>
    <row r="26" spans="1:20" x14ac:dyDescent="0.3">
      <c r="A26">
        <v>2013</v>
      </c>
      <c r="B26">
        <f>SUM(898,215)</f>
        <v>1113</v>
      </c>
      <c r="C26" s="18">
        <f t="shared" si="0"/>
        <v>74</v>
      </c>
      <c r="D26" s="18">
        <f t="shared" si="1"/>
        <v>4504</v>
      </c>
      <c r="E26">
        <v>26794</v>
      </c>
      <c r="F26">
        <v>665</v>
      </c>
      <c r="G26">
        <v>1400</v>
      </c>
      <c r="H26">
        <f t="shared" si="2"/>
        <v>34550</v>
      </c>
      <c r="J26" s="10">
        <v>2013</v>
      </c>
      <c r="K26" s="11"/>
      <c r="L26" s="12">
        <v>74</v>
      </c>
      <c r="M26" s="13"/>
      <c r="N26" s="12">
        <v>396</v>
      </c>
      <c r="O26" s="12">
        <v>3174</v>
      </c>
      <c r="P26" s="12">
        <v>304</v>
      </c>
      <c r="Q26" s="14"/>
      <c r="R26" s="12">
        <v>148</v>
      </c>
      <c r="S26" s="17">
        <v>482</v>
      </c>
      <c r="T26" s="17">
        <v>4504</v>
      </c>
    </row>
    <row r="27" spans="1:20" x14ac:dyDescent="0.3">
      <c r="A27">
        <v>2014</v>
      </c>
      <c r="B27">
        <f>SUM(733,194)</f>
        <v>927</v>
      </c>
      <c r="C27" s="18">
        <f t="shared" si="0"/>
        <v>81</v>
      </c>
      <c r="D27" s="18">
        <f t="shared" si="1"/>
        <v>4681</v>
      </c>
      <c r="E27">
        <v>26576</v>
      </c>
      <c r="F27">
        <v>688</v>
      </c>
      <c r="G27">
        <v>1000</v>
      </c>
      <c r="H27">
        <f t="shared" si="2"/>
        <v>33953</v>
      </c>
      <c r="J27" s="10">
        <v>2014</v>
      </c>
      <c r="K27" s="11"/>
      <c r="L27" s="12">
        <v>81</v>
      </c>
      <c r="M27" s="13"/>
      <c r="N27" s="12">
        <v>353</v>
      </c>
      <c r="O27" s="12">
        <v>3086</v>
      </c>
      <c r="P27" s="12">
        <v>468</v>
      </c>
      <c r="Q27" s="14"/>
      <c r="R27" s="12">
        <v>285</v>
      </c>
      <c r="S27" s="17">
        <v>489</v>
      </c>
      <c r="T27" s="17">
        <v>4681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Gray Seal</vt:lpstr>
      <vt:lpstr>Harbour Seal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Woodstock</dc:creator>
  <cp:lastModifiedBy>Matthew Woodstock</cp:lastModifiedBy>
  <dcterms:created xsi:type="dcterms:W3CDTF">2021-10-28T15:22:45Z</dcterms:created>
  <dcterms:modified xsi:type="dcterms:W3CDTF">2021-11-02T14:57:12Z</dcterms:modified>
</cp:coreProperties>
</file>