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 (BIWS)\M&amp;I\Course-Revisions\Fundamentals-2014-Revision\08-Discounted-Cash-Flow\08-17-Share-Price-Sensitivity-Tables\"/>
    </mc:Choice>
  </mc:AlternateContent>
  <bookViews>
    <workbookView xWindow="0" yWindow="0" windowWidth="20256" windowHeight="14028"/>
  </bookViews>
  <sheets>
    <sheet name="JAZZ-Model-DCF" sheetId="1" r:id="rId1"/>
    <sheet name="Q1-Stub" sheetId="7" r:id="rId2"/>
    <sheet name="WACC" sheetId="6" r:id="rId3"/>
    <sheet name="Public Comps" sheetId="3" r:id="rId4"/>
    <sheet name="M&amp;A-Comps" sheetId="5" r:id="rId5"/>
    <sheet name="Public-Comps-Data" sheetId="4" r:id="rId6"/>
    <sheet name="Inputs" sheetId="2" r:id="rId7"/>
  </sheets>
  <definedNames>
    <definedName name="Basic_Shares">'Public-Comps-Data'!$AP$46</definedName>
    <definedName name="Company_Name">'JAZZ-Model-DCF'!$D$7</definedName>
    <definedName name="Comps_Range">'Public-Comps-Data'!$D$2:$AP$104</definedName>
    <definedName name="Cost_of_Debt">WACC!$F$8</definedName>
    <definedName name="Cost_of_Preferred">WACC!$F$9</definedName>
    <definedName name="Defiteleo_Market_Penetration_Toggle">'JAZZ-Model-DCF'!$D$25</definedName>
    <definedName name="Defiteleo_Price_Increase_Toggle">'JAZZ-Model-DCF'!$D$26</definedName>
    <definedName name="Discount_Rate">'JAZZ-Model-DCF'!$D$322</definedName>
    <definedName name="Equity_Risk_Premium">WACC!$F$7</definedName>
    <definedName name="Forward_Year_1">Inputs!$E$7</definedName>
    <definedName name="Forward_Year_2">Inputs!$E$8</definedName>
    <definedName name="Forward_Year_3">Inputs!$E$9</definedName>
    <definedName name="FYear_1_Name" localSheetId="6">Inputs!$B$7</definedName>
    <definedName name="FYear_2_Name" localSheetId="6">Inputs!$B$8</definedName>
    <definedName name="FYear_3_Name" localSheetId="6">Inputs!$B$9</definedName>
    <definedName name="Generics_Year">'JAZZ-Model-DCF'!$D$20</definedName>
    <definedName name="Hist_Year">'JAZZ-Model-DCF'!$D$11</definedName>
    <definedName name="JZP110_Market_Penetration_Toggle">'JAZZ-Model-DCF'!$D$28</definedName>
    <definedName name="JZP110_Risk_Adjustment_Factor">'JAZZ-Model-DCF'!$D$29</definedName>
    <definedName name="LTM">Inputs!$E$6</definedName>
    <definedName name="LTM_Name">Inputs!$B$6</definedName>
    <definedName name="Multiples_Method">'JAZZ-Model-DCF'!$I$322</definedName>
    <definedName name="Next_Year">'JAZZ-Model-DCF'!$D$12</definedName>
    <definedName name="_xlnm.Print_Area" localSheetId="6">Inputs!$A$1:$N$39</definedName>
    <definedName name="_xlnm.Print_Area" localSheetId="0">'JAZZ-Model-DCF'!$A$1:$S$514</definedName>
    <definedName name="_xlnm.Print_Area" localSheetId="4">'M&amp;A-Comps'!$A$1:$L$34</definedName>
    <definedName name="_xlnm.Print_Area" localSheetId="3">'Public Comps'!$A$1:$U$44</definedName>
    <definedName name="_xlnm.Print_Area" localSheetId="5">'Public-Comps-Data'!$A$1:$AQ$105</definedName>
    <definedName name="_xlnm.Print_Area" localSheetId="1">'Q1-Stub'!$A$1:$J$42</definedName>
    <definedName name="_xlnm.Print_Area" localSheetId="2">WACC!$A$1:$M$44</definedName>
    <definedName name="Risk_Free_Rate">WACC!$F$6</definedName>
    <definedName name="Share_Price">'JAZZ-Model-DCF'!$D$16</definedName>
    <definedName name="Stub_Period">'JAZZ-Model-DCF'!$D$324</definedName>
    <definedName name="Tax_Rate">'JAZZ-Model-DCF'!$J$7</definedName>
    <definedName name="Terminal_Growth_Rate">'JAZZ-Model-DCF'!$D$330</definedName>
    <definedName name="Terminal_Multiple">'JAZZ-Model-DCF'!$D$326</definedName>
    <definedName name="Ticker">'JAZZ-Model-DCF'!$D$8</definedName>
    <definedName name="Units">'JAZZ-Model-DCF'!$D$9</definedName>
    <definedName name="Valuation_Date">'JAZZ-Model-DCF'!$D$14</definedName>
    <definedName name="WACC">WACC!$L$43</definedName>
    <definedName name="Xyrem_Generics_Price">'JAZZ-Model-DCF'!$D$21</definedName>
    <definedName name="Xyrem_Market_Penetration_Toggle">'JAZZ-Model-DCF'!$D$22</definedName>
    <definedName name="Xyrem_Price_Increase_Toggle">'JAZZ-Model-DCF'!$D$23</definedName>
    <definedName name="Year_Remaining_Pct">'JAZZ-Model-DCF'!$D$323</definedName>
  </definedNames>
  <calcPr calcId="152511" calcMode="autoNoTable" iterate="1"/>
</workbook>
</file>

<file path=xl/calcChain.xml><?xml version="1.0" encoding="utf-8"?>
<calcChain xmlns="http://schemas.openxmlformats.org/spreadsheetml/2006/main">
  <c r="D322" i="1" l="1"/>
  <c r="I352" i="1" l="1"/>
  <c r="G352" i="1"/>
  <c r="H351" i="1"/>
  <c r="G351" i="1"/>
  <c r="H350" i="1"/>
  <c r="G350" i="1"/>
  <c r="H349" i="1"/>
  <c r="G349" i="1"/>
  <c r="I339" i="1"/>
  <c r="I338" i="1"/>
  <c r="I337" i="1"/>
  <c r="I336" i="1"/>
  <c r="I335" i="1"/>
  <c r="I334" i="1"/>
  <c r="I333" i="1"/>
  <c r="I332" i="1"/>
  <c r="I331" i="1"/>
  <c r="I330" i="1"/>
  <c r="E463" i="1" a="1"/>
  <c r="E464" i="1" s="1"/>
  <c r="E507" i="1"/>
  <c r="E508" i="1" s="1"/>
  <c r="E509" i="1" s="1"/>
  <c r="E510" i="1" s="1"/>
  <c r="E511" i="1" s="1"/>
  <c r="E512" i="1" s="1"/>
  <c r="E513" i="1" s="1"/>
  <c r="E506" i="1"/>
  <c r="H504" i="1"/>
  <c r="I504" i="1" s="1"/>
  <c r="J504" i="1" s="1"/>
  <c r="K504" i="1" s="1"/>
  <c r="L504" i="1" s="1"/>
  <c r="M504" i="1" s="1"/>
  <c r="N504" i="1" s="1"/>
  <c r="G504" i="1"/>
  <c r="E492" i="1"/>
  <c r="E493" i="1" s="1"/>
  <c r="E494" i="1" s="1"/>
  <c r="E495" i="1" s="1"/>
  <c r="E496" i="1" s="1"/>
  <c r="E497" i="1" s="1"/>
  <c r="E498" i="1" s="1"/>
  <c r="E499" i="1" s="1"/>
  <c r="G490" i="1"/>
  <c r="H490" i="1" s="1"/>
  <c r="I490" i="1" s="1"/>
  <c r="J490" i="1" s="1"/>
  <c r="K490" i="1" s="1"/>
  <c r="L490" i="1" s="1"/>
  <c r="M490" i="1" s="1"/>
  <c r="N490" i="1" s="1"/>
  <c r="G476" i="1"/>
  <c r="H476" i="1" s="1"/>
  <c r="I476" i="1" s="1"/>
  <c r="J476" i="1" s="1"/>
  <c r="K476" i="1" s="1"/>
  <c r="L476" i="1" s="1"/>
  <c r="M476" i="1" s="1"/>
  <c r="N476" i="1" s="1"/>
  <c r="G462" i="1"/>
  <c r="H462" i="1" s="1"/>
  <c r="I462" i="1" s="1"/>
  <c r="J462" i="1" s="1"/>
  <c r="K462" i="1" s="1"/>
  <c r="L462" i="1" s="1"/>
  <c r="M462" i="1" s="1"/>
  <c r="N462" i="1" s="1"/>
  <c r="E450" i="1"/>
  <c r="E451" i="1" s="1"/>
  <c r="E452" i="1" s="1"/>
  <c r="E453" i="1" s="1"/>
  <c r="E454" i="1" s="1"/>
  <c r="E455" i="1" s="1"/>
  <c r="E456" i="1" s="1"/>
  <c r="E457" i="1" s="1"/>
  <c r="G448" i="1"/>
  <c r="H448" i="1" s="1"/>
  <c r="I448" i="1" s="1"/>
  <c r="J448" i="1" s="1"/>
  <c r="K448" i="1" s="1"/>
  <c r="L448" i="1" s="1"/>
  <c r="M448" i="1" s="1"/>
  <c r="N448" i="1" s="1"/>
  <c r="E437" i="1"/>
  <c r="E438" i="1" s="1"/>
  <c r="E439" i="1" s="1"/>
  <c r="E440" i="1" s="1"/>
  <c r="E441" i="1" s="1"/>
  <c r="E442" i="1" s="1"/>
  <c r="E443" i="1" s="1"/>
  <c r="E436" i="1"/>
  <c r="H434" i="1"/>
  <c r="I434" i="1" s="1"/>
  <c r="J434" i="1" s="1"/>
  <c r="K434" i="1" s="1"/>
  <c r="L434" i="1" s="1"/>
  <c r="M434" i="1" s="1"/>
  <c r="N434" i="1" s="1"/>
  <c r="G434" i="1"/>
  <c r="E422" i="1"/>
  <c r="E423" i="1" s="1"/>
  <c r="E424" i="1" s="1"/>
  <c r="E425" i="1" s="1"/>
  <c r="E426" i="1" s="1"/>
  <c r="E427" i="1" s="1"/>
  <c r="E428" i="1" s="1"/>
  <c r="E429" i="1" s="1"/>
  <c r="G420" i="1"/>
  <c r="H420" i="1" s="1"/>
  <c r="I420" i="1" s="1"/>
  <c r="J420" i="1" s="1"/>
  <c r="K420" i="1" s="1"/>
  <c r="L420" i="1" s="1"/>
  <c r="M420" i="1" s="1"/>
  <c r="N420" i="1" s="1"/>
  <c r="E470" i="1" l="1"/>
  <c r="E484" i="1" s="1"/>
  <c r="E469" i="1"/>
  <c r="E468" i="1"/>
  <c r="E482" i="1" s="1"/>
  <c r="E467" i="1"/>
  <c r="E481" i="1" s="1"/>
  <c r="E471" i="1"/>
  <c r="E485" i="1" s="1"/>
  <c r="E466" i="1"/>
  <c r="E463" i="1"/>
  <c r="E465" i="1"/>
  <c r="E479" i="1" s="1"/>
  <c r="E477" i="1"/>
  <c r="E483" i="1"/>
  <c r="E478" i="1"/>
  <c r="E480" i="1"/>
  <c r="C31" i="6" l="1"/>
  <c r="C30" i="6"/>
  <c r="C25" i="6" l="1"/>
  <c r="K11" i="6" l="1"/>
  <c r="I11" i="6"/>
  <c r="G11" i="6"/>
  <c r="E11" i="6"/>
  <c r="D11" i="6"/>
  <c r="B11" i="6"/>
  <c r="B3" i="6"/>
  <c r="B27" i="6"/>
  <c r="B2" i="6"/>
  <c r="I15" i="6" l="1"/>
  <c r="I18" i="6"/>
  <c r="I21" i="6"/>
  <c r="I17" i="6"/>
  <c r="I20" i="6"/>
  <c r="I19" i="6"/>
  <c r="I16" i="6"/>
  <c r="D21" i="6"/>
  <c r="D17" i="6"/>
  <c r="D16" i="6"/>
  <c r="D20" i="6"/>
  <c r="D15" i="6"/>
  <c r="D19" i="6"/>
  <c r="D18" i="6"/>
  <c r="K16" i="6"/>
  <c r="K15" i="6"/>
  <c r="K18" i="6"/>
  <c r="K21" i="6"/>
  <c r="K19" i="6"/>
  <c r="K20" i="6"/>
  <c r="K17" i="6"/>
  <c r="E21" i="6"/>
  <c r="E17" i="6"/>
  <c r="E20" i="6"/>
  <c r="E16" i="6"/>
  <c r="E15" i="6"/>
  <c r="E19" i="6"/>
  <c r="E18" i="6"/>
  <c r="B19" i="6"/>
  <c r="B18" i="6"/>
  <c r="B15" i="6"/>
  <c r="B17" i="6"/>
  <c r="B16" i="6"/>
  <c r="B21" i="6"/>
  <c r="B20" i="6"/>
  <c r="G21" i="6"/>
  <c r="G20" i="6"/>
  <c r="G19" i="6"/>
  <c r="G16" i="6"/>
  <c r="G18" i="6"/>
  <c r="G15" i="6"/>
  <c r="G17" i="6"/>
  <c r="I12" i="7"/>
  <c r="I14" i="7" s="1"/>
  <c r="I41" i="7" s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2" i="1"/>
  <c r="G402" i="1"/>
  <c r="H402" i="1"/>
  <c r="E402" i="1"/>
  <c r="E399" i="1"/>
  <c r="E398" i="1"/>
  <c r="E397" i="1"/>
  <c r="E396" i="1"/>
  <c r="E395" i="1"/>
  <c r="E394" i="1"/>
  <c r="E393" i="1"/>
  <c r="E392" i="1"/>
  <c r="E391" i="1"/>
  <c r="E387" i="1"/>
  <c r="E386" i="1"/>
  <c r="E385" i="1"/>
  <c r="E384" i="1"/>
  <c r="E383" i="1"/>
  <c r="E382" i="1"/>
  <c r="E381" i="1"/>
  <c r="E380" i="1"/>
  <c r="H19" i="6" l="1"/>
  <c r="H21" i="6"/>
  <c r="H16" i="6"/>
  <c r="H17" i="6"/>
  <c r="H18" i="6"/>
  <c r="L19" i="6"/>
  <c r="J20" i="6"/>
  <c r="F18" i="6"/>
  <c r="J16" i="6"/>
  <c r="H15" i="6"/>
  <c r="G23" i="6"/>
  <c r="F19" i="6"/>
  <c r="L18" i="6"/>
  <c r="J19" i="6"/>
  <c r="F20" i="6"/>
  <c r="L20" i="6"/>
  <c r="J21" i="6"/>
  <c r="E23" i="6"/>
  <c r="F15" i="6"/>
  <c r="K23" i="6"/>
  <c r="L16" i="6"/>
  <c r="J18" i="6"/>
  <c r="J17" i="6"/>
  <c r="H20" i="6"/>
  <c r="F17" i="6"/>
  <c r="L17" i="6"/>
  <c r="J15" i="6"/>
  <c r="I23" i="6"/>
  <c r="F16" i="6"/>
  <c r="D23" i="6"/>
  <c r="L15" i="6"/>
  <c r="F21" i="6"/>
  <c r="L21" i="6"/>
  <c r="E388" i="1"/>
  <c r="E400" i="1"/>
  <c r="F388" i="1"/>
  <c r="H400" i="1"/>
  <c r="G388" i="1"/>
  <c r="F400" i="1"/>
  <c r="G400" i="1"/>
  <c r="H388" i="1"/>
  <c r="H23" i="6" l="1"/>
  <c r="H31" i="6" s="1"/>
  <c r="J23" i="6"/>
  <c r="J31" i="6" s="1"/>
  <c r="F23" i="6"/>
  <c r="F31" i="6" s="1"/>
  <c r="L23" i="6"/>
  <c r="B3" i="7"/>
  <c r="D31" i="6" l="1"/>
  <c r="D30" i="6"/>
  <c r="D368" i="1"/>
  <c r="B2" i="7" l="1"/>
  <c r="I37" i="7"/>
  <c r="I36" i="7"/>
  <c r="I24" i="7"/>
  <c r="I25" i="7" s="1"/>
  <c r="C399" i="1"/>
  <c r="C398" i="1"/>
  <c r="C397" i="1"/>
  <c r="C396" i="1"/>
  <c r="C395" i="1"/>
  <c r="C394" i="1"/>
  <c r="C393" i="1"/>
  <c r="C392" i="1"/>
  <c r="C391" i="1"/>
  <c r="C387" i="1"/>
  <c r="C386" i="1"/>
  <c r="C385" i="1"/>
  <c r="C384" i="1"/>
  <c r="C383" i="1"/>
  <c r="C382" i="1"/>
  <c r="C381" i="1"/>
  <c r="C380" i="1"/>
  <c r="I367" i="1"/>
  <c r="E367" i="1"/>
  <c r="F27" i="5" l="1"/>
  <c r="G27" i="5" s="1"/>
  <c r="I24" i="5"/>
  <c r="H24" i="5"/>
  <c r="F24" i="5"/>
  <c r="G24" i="5" s="1"/>
  <c r="I14" i="5"/>
  <c r="H14" i="5"/>
  <c r="G14" i="5"/>
  <c r="I12" i="5"/>
  <c r="H12" i="5"/>
  <c r="G12" i="5"/>
  <c r="F10" i="5"/>
  <c r="B3" i="3" l="1"/>
  <c r="B4" i="5"/>
  <c r="J27" i="5"/>
  <c r="K26" i="5"/>
  <c r="J26" i="5"/>
  <c r="K25" i="5"/>
  <c r="J25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3" i="5"/>
  <c r="J13" i="5"/>
  <c r="H32" i="5"/>
  <c r="K11" i="5"/>
  <c r="J11" i="5"/>
  <c r="K10" i="5"/>
  <c r="J10" i="5"/>
  <c r="B6" i="5"/>
  <c r="J14" i="5" l="1"/>
  <c r="G29" i="5"/>
  <c r="I33" i="5"/>
  <c r="K12" i="5"/>
  <c r="K14" i="5"/>
  <c r="G32" i="5"/>
  <c r="J24" i="5"/>
  <c r="G30" i="5"/>
  <c r="K24" i="5"/>
  <c r="I30" i="5"/>
  <c r="I29" i="5"/>
  <c r="G31" i="5"/>
  <c r="K27" i="5"/>
  <c r="I32" i="5"/>
  <c r="H31" i="5"/>
  <c r="H29" i="5"/>
  <c r="I31" i="5"/>
  <c r="G33" i="5"/>
  <c r="H33" i="5"/>
  <c r="H30" i="5"/>
  <c r="J12" i="5"/>
  <c r="J29" i="5" s="1"/>
  <c r="K31" i="5" l="1"/>
  <c r="K30" i="5"/>
  <c r="K32" i="5"/>
  <c r="K33" i="5"/>
  <c r="K29" i="5"/>
  <c r="J33" i="5"/>
  <c r="J31" i="5"/>
  <c r="J32" i="5"/>
  <c r="J30" i="5"/>
  <c r="G17" i="4" l="1"/>
  <c r="G16" i="4"/>
  <c r="G10" i="4"/>
  <c r="Z41" i="4" l="1"/>
  <c r="Y41" i="4"/>
  <c r="X41" i="4"/>
  <c r="P42" i="4" l="1"/>
  <c r="O42" i="4"/>
  <c r="N42" i="4"/>
  <c r="AP20" i="4"/>
  <c r="AK19" i="4" l="1"/>
  <c r="AF19" i="4"/>
  <c r="Z19" i="4"/>
  <c r="AA19" i="4" s="1"/>
  <c r="V19" i="4"/>
  <c r="AK18" i="4"/>
  <c r="AF18" i="4"/>
  <c r="AA18" i="4"/>
  <c r="V18" i="4"/>
  <c r="AK17" i="4"/>
  <c r="AF17" i="4"/>
  <c r="AA17" i="4"/>
  <c r="V17" i="4"/>
  <c r="AJ16" i="4"/>
  <c r="AK16" i="4" s="1"/>
  <c r="AI16" i="4"/>
  <c r="AH16" i="4"/>
  <c r="AE16" i="4"/>
  <c r="AD16" i="4"/>
  <c r="AF16" i="4" s="1"/>
  <c r="AC16" i="4"/>
  <c r="Z16" i="4"/>
  <c r="AA16" i="4" s="1"/>
  <c r="Y16" i="4"/>
  <c r="X16" i="4"/>
  <c r="U16" i="4"/>
  <c r="T16" i="4"/>
  <c r="V16" i="4" s="1"/>
  <c r="S16" i="4"/>
  <c r="AK14" i="4"/>
  <c r="AF14" i="4"/>
  <c r="AA14" i="4"/>
  <c r="V14" i="4"/>
  <c r="AK13" i="4"/>
  <c r="AF13" i="4"/>
  <c r="AA13" i="4"/>
  <c r="V13" i="4"/>
  <c r="AJ11" i="4"/>
  <c r="AK11" i="4" s="1"/>
  <c r="AI11" i="4"/>
  <c r="AH11" i="4"/>
  <c r="AE11" i="4"/>
  <c r="AD11" i="4"/>
  <c r="AF11" i="4" s="1"/>
  <c r="AC11" i="4"/>
  <c r="AA11" i="4"/>
  <c r="V11" i="4"/>
  <c r="AJ9" i="4"/>
  <c r="AK9" i="4" s="1"/>
  <c r="AI9" i="4"/>
  <c r="AH9" i="4"/>
  <c r="AF9" i="4"/>
  <c r="AE9" i="4"/>
  <c r="AD9" i="4"/>
  <c r="AC9" i="4"/>
  <c r="Z9" i="4"/>
  <c r="AA9" i="4" s="1"/>
  <c r="Y9" i="4"/>
  <c r="X9" i="4"/>
  <c r="V9" i="4"/>
  <c r="U9" i="4"/>
  <c r="T9" i="4"/>
  <c r="S9" i="4"/>
  <c r="AJ8" i="4"/>
  <c r="AJ10" i="4" s="1"/>
  <c r="AI8" i="4"/>
  <c r="AI10" i="4" s="1"/>
  <c r="AH8" i="4"/>
  <c r="AH10" i="4" s="1"/>
  <c r="AF8" i="4"/>
  <c r="AE8" i="4"/>
  <c r="AE10" i="4" s="1"/>
  <c r="AD8" i="4"/>
  <c r="AD10" i="4" s="1"/>
  <c r="AC8" i="4"/>
  <c r="AC10" i="4" s="1"/>
  <c r="Z8" i="4"/>
  <c r="AA8" i="4" s="1"/>
  <c r="Y8" i="4"/>
  <c r="Y10" i="4" s="1"/>
  <c r="X8" i="4"/>
  <c r="X10" i="4" s="1"/>
  <c r="V8" i="4"/>
  <c r="U8" i="4"/>
  <c r="U10" i="4" s="1"/>
  <c r="T8" i="4"/>
  <c r="T10" i="4" s="1"/>
  <c r="S8" i="4"/>
  <c r="S10" i="4" s="1"/>
  <c r="AK7" i="4"/>
  <c r="AF7" i="4"/>
  <c r="AA7" i="4"/>
  <c r="V7" i="4"/>
  <c r="AK6" i="4"/>
  <c r="AF6" i="4"/>
  <c r="AA6" i="4"/>
  <c r="V6" i="4"/>
  <c r="L19" i="4"/>
  <c r="L18" i="4"/>
  <c r="L17" i="4"/>
  <c r="L16" i="4"/>
  <c r="L14" i="4"/>
  <c r="L13" i="4"/>
  <c r="K11" i="4"/>
  <c r="L11" i="4" s="1"/>
  <c r="J11" i="4"/>
  <c r="I11" i="4"/>
  <c r="K10" i="4"/>
  <c r="K22" i="4" s="1"/>
  <c r="L9" i="4"/>
  <c r="K8" i="4"/>
  <c r="L8" i="4" s="1"/>
  <c r="J8" i="4"/>
  <c r="J10" i="4" s="1"/>
  <c r="I8" i="4"/>
  <c r="I10" i="4" s="1"/>
  <c r="L7" i="4"/>
  <c r="L6" i="4"/>
  <c r="Y22" i="4" l="1"/>
  <c r="Y12" i="4"/>
  <c r="Y15" i="4" s="1"/>
  <c r="AJ22" i="4"/>
  <c r="AJ12" i="4"/>
  <c r="AK10" i="4"/>
  <c r="AH22" i="4"/>
  <c r="AH12" i="4"/>
  <c r="AH15" i="4" s="1"/>
  <c r="X22" i="4"/>
  <c r="X12" i="4"/>
  <c r="X15" i="4" s="1"/>
  <c r="U12" i="4"/>
  <c r="V10" i="4"/>
  <c r="U22" i="4"/>
  <c r="AI22" i="4"/>
  <c r="AI12" i="4"/>
  <c r="AI15" i="4" s="1"/>
  <c r="AC12" i="4"/>
  <c r="AC15" i="4" s="1"/>
  <c r="AC22" i="4"/>
  <c r="S12" i="4"/>
  <c r="S15" i="4" s="1"/>
  <c r="S22" i="4"/>
  <c r="AD12" i="4"/>
  <c r="AD15" i="4" s="1"/>
  <c r="AD22" i="4"/>
  <c r="T12" i="4"/>
  <c r="T15" i="4" s="1"/>
  <c r="T22" i="4"/>
  <c r="AE12" i="4"/>
  <c r="AF10" i="4"/>
  <c r="AE22" i="4"/>
  <c r="AF22" i="4" s="1"/>
  <c r="AK8" i="4"/>
  <c r="Z10" i="4"/>
  <c r="I12" i="4"/>
  <c r="I15" i="4" s="1"/>
  <c r="I22" i="4"/>
  <c r="J12" i="4"/>
  <c r="J15" i="4" s="1"/>
  <c r="J22" i="4"/>
  <c r="L22" i="4" s="1"/>
  <c r="K12" i="4"/>
  <c r="L1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O22" i="4"/>
  <c r="N22" i="4"/>
  <c r="Q22" i="4" s="1"/>
  <c r="O15" i="4"/>
  <c r="N15" i="4"/>
  <c r="O12" i="4"/>
  <c r="N12" i="4"/>
  <c r="N11" i="4"/>
  <c r="O11" i="4"/>
  <c r="O10" i="4"/>
  <c r="N10" i="4"/>
  <c r="N9" i="4"/>
  <c r="O9" i="4"/>
  <c r="O8" i="4"/>
  <c r="N8" i="4"/>
  <c r="P22" i="4"/>
  <c r="P15" i="4"/>
  <c r="P12" i="4"/>
  <c r="P11" i="4"/>
  <c r="P10" i="4"/>
  <c r="P9" i="4"/>
  <c r="P8" i="4"/>
  <c r="AP22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N22" i="4"/>
  <c r="AM22" i="4"/>
  <c r="AN15" i="4"/>
  <c r="AM15" i="4"/>
  <c r="AO15" i="4"/>
  <c r="AN12" i="4"/>
  <c r="AM12" i="4"/>
  <c r="AM11" i="4"/>
  <c r="AN11" i="4"/>
  <c r="AN10" i="4"/>
  <c r="AM10" i="4"/>
  <c r="AM9" i="4"/>
  <c r="AN9" i="4"/>
  <c r="AN8" i="4"/>
  <c r="AM8" i="4"/>
  <c r="AO22" i="4"/>
  <c r="AO12" i="4"/>
  <c r="AO11" i="4"/>
  <c r="AO10" i="4"/>
  <c r="AO9" i="4"/>
  <c r="AO8" i="4"/>
  <c r="AF12" i="4" l="1"/>
  <c r="AE15" i="4"/>
  <c r="AF15" i="4" s="1"/>
  <c r="V22" i="4"/>
  <c r="AK12" i="4"/>
  <c r="AJ15" i="4"/>
  <c r="AK15" i="4" s="1"/>
  <c r="Z22" i="4"/>
  <c r="AA22" i="4" s="1"/>
  <c r="AA10" i="4"/>
  <c r="Z12" i="4"/>
  <c r="AK22" i="4"/>
  <c r="U15" i="4"/>
  <c r="V15" i="4" s="1"/>
  <c r="V12" i="4"/>
  <c r="L12" i="4"/>
  <c r="K15" i="4"/>
  <c r="L15" i="4" s="1"/>
  <c r="Q71" i="4"/>
  <c r="Q29" i="4"/>
  <c r="Q70" i="4"/>
  <c r="Q66" i="4"/>
  <c r="AP29" i="4"/>
  <c r="AP25" i="4"/>
  <c r="AA12" i="4" l="1"/>
  <c r="Z15" i="4"/>
  <c r="AA15" i="4" s="1"/>
  <c r="AP45" i="4"/>
  <c r="O25" i="3" l="1"/>
  <c r="N25" i="3"/>
  <c r="M25" i="3"/>
  <c r="L25" i="3"/>
  <c r="K25" i="3"/>
  <c r="J25" i="3"/>
  <c r="I25" i="3"/>
  <c r="H25" i="3"/>
  <c r="G25" i="3"/>
  <c r="F25" i="3"/>
  <c r="E25" i="3"/>
  <c r="D25" i="3"/>
  <c r="B25" i="3"/>
  <c r="O5" i="3"/>
  <c r="O12" i="3" s="1"/>
  <c r="N5" i="3"/>
  <c r="N14" i="3" s="1"/>
  <c r="M5" i="3"/>
  <c r="L5" i="3"/>
  <c r="L14" i="3" s="1"/>
  <c r="K5" i="3"/>
  <c r="K12" i="3" s="1"/>
  <c r="J5" i="3"/>
  <c r="I5" i="3"/>
  <c r="I9" i="3" s="1"/>
  <c r="H5" i="3"/>
  <c r="H10" i="3" s="1"/>
  <c r="G5" i="3"/>
  <c r="G11" i="3" s="1"/>
  <c r="F5" i="3"/>
  <c r="F9" i="3" s="1"/>
  <c r="E5" i="3"/>
  <c r="E13" i="3" s="1"/>
  <c r="D5" i="3"/>
  <c r="D15" i="3" s="1"/>
  <c r="B5" i="3"/>
  <c r="B13" i="3" s="1"/>
  <c r="AK92" i="4"/>
  <c r="AF92" i="4"/>
  <c r="AA92" i="4"/>
  <c r="V92" i="4"/>
  <c r="Q92" i="4"/>
  <c r="L92" i="4"/>
  <c r="G92" i="4"/>
  <c r="AK91" i="4"/>
  <c r="AF91" i="4"/>
  <c r="AA91" i="4"/>
  <c r="V91" i="4"/>
  <c r="Q91" i="4"/>
  <c r="L91" i="4"/>
  <c r="G91" i="4"/>
  <c r="AK90" i="4"/>
  <c r="AF90" i="4"/>
  <c r="AA90" i="4"/>
  <c r="V90" i="4"/>
  <c r="Q90" i="4"/>
  <c r="L90" i="4"/>
  <c r="G90" i="4"/>
  <c r="AK88" i="4"/>
  <c r="AF88" i="4"/>
  <c r="AA88" i="4"/>
  <c r="V88" i="4"/>
  <c r="Q88" i="4"/>
  <c r="L88" i="4"/>
  <c r="G88" i="4"/>
  <c r="AK87" i="4"/>
  <c r="AF87" i="4"/>
  <c r="V87" i="4"/>
  <c r="Q87" i="4"/>
  <c r="L87" i="4"/>
  <c r="G87" i="4"/>
  <c r="AK86" i="4"/>
  <c r="AF86" i="4"/>
  <c r="AA86" i="4"/>
  <c r="V86" i="4"/>
  <c r="Q86" i="4"/>
  <c r="L86" i="4"/>
  <c r="G86" i="4"/>
  <c r="AK84" i="4"/>
  <c r="AF84" i="4"/>
  <c r="AA84" i="4"/>
  <c r="V84" i="4"/>
  <c r="Q84" i="4"/>
  <c r="L84" i="4"/>
  <c r="G84" i="4"/>
  <c r="AK83" i="4"/>
  <c r="AF83" i="4"/>
  <c r="AA83" i="4"/>
  <c r="V83" i="4"/>
  <c r="Q83" i="4"/>
  <c r="L83" i="4"/>
  <c r="G83" i="4"/>
  <c r="AK82" i="4"/>
  <c r="AF82" i="4"/>
  <c r="AA82" i="4"/>
  <c r="V82" i="4"/>
  <c r="Q82" i="4"/>
  <c r="L82" i="4"/>
  <c r="G82" i="4"/>
  <c r="AF66" i="4"/>
  <c r="AF70" i="4" s="1"/>
  <c r="V66" i="4"/>
  <c r="V70" i="4" s="1"/>
  <c r="L66" i="4"/>
  <c r="L70" i="4" s="1"/>
  <c r="G66" i="4"/>
  <c r="G70" i="4" s="1"/>
  <c r="AP64" i="4"/>
  <c r="AK64" i="4"/>
  <c r="AF64" i="4"/>
  <c r="AE64" i="4"/>
  <c r="AA64" i="4"/>
  <c r="V64" i="4"/>
  <c r="Q64" i="4"/>
  <c r="L64" i="4"/>
  <c r="G64" i="4"/>
  <c r="AP61" i="4"/>
  <c r="AK61" i="4"/>
  <c r="AF61" i="4"/>
  <c r="AA61" i="4"/>
  <c r="AA29" i="4" s="1"/>
  <c r="V61" i="4"/>
  <c r="Q61" i="4"/>
  <c r="L61" i="4"/>
  <c r="G61" i="4"/>
  <c r="AP60" i="4"/>
  <c r="AK60" i="4"/>
  <c r="AF60" i="4"/>
  <c r="AC60" i="4"/>
  <c r="AA60" i="4"/>
  <c r="X60" i="4"/>
  <c r="V60" i="4"/>
  <c r="Q60" i="4"/>
  <c r="L60" i="4"/>
  <c r="G60" i="4"/>
  <c r="AP57" i="4"/>
  <c r="AK57" i="4"/>
  <c r="AF57" i="4"/>
  <c r="AA57" i="4"/>
  <c r="V57" i="4"/>
  <c r="Q57" i="4"/>
  <c r="L57" i="4"/>
  <c r="G57" i="4"/>
  <c r="AP56" i="4"/>
  <c r="AK56" i="4"/>
  <c r="AF56" i="4"/>
  <c r="AA56" i="4"/>
  <c r="V56" i="4"/>
  <c r="Q56" i="4"/>
  <c r="L56" i="4"/>
  <c r="G56" i="4"/>
  <c r="AP55" i="4"/>
  <c r="AK55" i="4"/>
  <c r="AF55" i="4"/>
  <c r="AA55" i="4"/>
  <c r="V55" i="4"/>
  <c r="Q55" i="4"/>
  <c r="L55" i="4"/>
  <c r="G55" i="4"/>
  <c r="AP54" i="4"/>
  <c r="AK54" i="4"/>
  <c r="AF54" i="4"/>
  <c r="AA54" i="4"/>
  <c r="V54" i="4"/>
  <c r="Q54" i="4"/>
  <c r="L54" i="4"/>
  <c r="G54" i="4"/>
  <c r="AP53" i="4"/>
  <c r="AK53" i="4"/>
  <c r="AF53" i="4"/>
  <c r="AA53" i="4"/>
  <c r="V53" i="4"/>
  <c r="Q53" i="4"/>
  <c r="L53" i="4"/>
  <c r="G53" i="4"/>
  <c r="AP52" i="4"/>
  <c r="AK52" i="4"/>
  <c r="AF52" i="4"/>
  <c r="AA52" i="4"/>
  <c r="V52" i="4"/>
  <c r="Q52" i="4"/>
  <c r="L52" i="4"/>
  <c r="G52" i="4"/>
  <c r="AP51" i="4"/>
  <c r="AK51" i="4"/>
  <c r="AF51" i="4"/>
  <c r="AA51" i="4"/>
  <c r="V51" i="4"/>
  <c r="Q51" i="4"/>
  <c r="L51" i="4"/>
  <c r="G51" i="4"/>
  <c r="AP50" i="4"/>
  <c r="AK50" i="4"/>
  <c r="AF50" i="4"/>
  <c r="AA50" i="4"/>
  <c r="V50" i="4"/>
  <c r="Q50" i="4"/>
  <c r="L50" i="4"/>
  <c r="G50" i="4"/>
  <c r="AP49" i="4"/>
  <c r="AK49" i="4"/>
  <c r="AK66" i="4" s="1"/>
  <c r="AK70" i="4" s="1"/>
  <c r="AK78" i="4" s="1"/>
  <c r="AF49" i="4"/>
  <c r="AA49" i="4"/>
  <c r="V49" i="4"/>
  <c r="Q49" i="4"/>
  <c r="L49" i="4"/>
  <c r="G49" i="4"/>
  <c r="AA87" i="4"/>
  <c r="G34" i="4"/>
  <c r="G33" i="4"/>
  <c r="AK29" i="4"/>
  <c r="AF29" i="4"/>
  <c r="V29" i="4"/>
  <c r="L29" i="4"/>
  <c r="AK25" i="4"/>
  <c r="AF25" i="4"/>
  <c r="AA25" i="4"/>
  <c r="V25" i="4"/>
  <c r="L25" i="4"/>
  <c r="G25" i="4"/>
  <c r="G19" i="4"/>
  <c r="F19" i="4"/>
  <c r="D19" i="4"/>
  <c r="D22" i="4" s="1"/>
  <c r="G18" i="4"/>
  <c r="G14" i="4"/>
  <c r="G13" i="4"/>
  <c r="F12" i="4"/>
  <c r="F15" i="4" s="1"/>
  <c r="D12" i="4"/>
  <c r="D15" i="4" s="1"/>
  <c r="G11" i="4"/>
  <c r="F11" i="4"/>
  <c r="E11" i="4"/>
  <c r="D11" i="4"/>
  <c r="F10" i="4"/>
  <c r="F22" i="4" s="1"/>
  <c r="D10" i="4"/>
  <c r="G9" i="4"/>
  <c r="F9" i="4"/>
  <c r="E9" i="4"/>
  <c r="D9" i="4"/>
  <c r="F8" i="4"/>
  <c r="E8" i="4"/>
  <c r="E10" i="4" s="1"/>
  <c r="D8" i="4"/>
  <c r="G7" i="4"/>
  <c r="G6" i="4"/>
  <c r="AP5" i="4"/>
  <c r="AM75" i="4" s="1"/>
  <c r="AK5" i="4"/>
  <c r="AH75" i="4" s="1"/>
  <c r="AF5" i="4"/>
  <c r="AC75" i="4" s="1"/>
  <c r="AA5" i="4"/>
  <c r="X75" i="4" s="1"/>
  <c r="V5" i="4"/>
  <c r="S75" i="4" s="1"/>
  <c r="Q5" i="4"/>
  <c r="N75" i="4" s="1"/>
  <c r="L5" i="4"/>
  <c r="I75" i="4" s="1"/>
  <c r="G5" i="4"/>
  <c r="D75" i="4" s="1"/>
  <c r="AP3" i="4"/>
  <c r="AP2" i="4"/>
  <c r="C43" i="3"/>
  <c r="C35" i="3"/>
  <c r="O35" i="3" s="1"/>
  <c r="C34" i="3"/>
  <c r="C33" i="3"/>
  <c r="C32" i="3"/>
  <c r="C31" i="3"/>
  <c r="C30" i="3"/>
  <c r="C29" i="3"/>
  <c r="M28" i="3"/>
  <c r="J28" i="3"/>
  <c r="G28" i="3"/>
  <c r="C23" i="3"/>
  <c r="D9" i="3"/>
  <c r="R8" i="3"/>
  <c r="M8" i="3"/>
  <c r="J8" i="3"/>
  <c r="G8" i="3"/>
  <c r="K31" i="6" l="1"/>
  <c r="E30" i="6"/>
  <c r="G30" i="6"/>
  <c r="B25" i="6"/>
  <c r="D25" i="6"/>
  <c r="L35" i="6" s="1"/>
  <c r="K30" i="6"/>
  <c r="B94" i="4"/>
  <c r="B96" i="4"/>
  <c r="AP66" i="4"/>
  <c r="AP70" i="4" s="1"/>
  <c r="AP71" i="4" s="1"/>
  <c r="F43" i="3" s="1"/>
  <c r="I35" i="3"/>
  <c r="B35" i="3"/>
  <c r="K35" i="3"/>
  <c r="D35" i="3"/>
  <c r="L35" i="3"/>
  <c r="E35" i="3"/>
  <c r="O32" i="3"/>
  <c r="G12" i="3"/>
  <c r="G10" i="3"/>
  <c r="O10" i="3"/>
  <c r="H11" i="3"/>
  <c r="E32" i="3"/>
  <c r="H9" i="3"/>
  <c r="P9" i="3" s="1"/>
  <c r="H13" i="3"/>
  <c r="D11" i="3"/>
  <c r="O11" i="3"/>
  <c r="H12" i="3"/>
  <c r="S12" i="3" s="1"/>
  <c r="B9" i="3"/>
  <c r="L9" i="3"/>
  <c r="T9" i="3" s="1"/>
  <c r="D32" i="3"/>
  <c r="D31" i="3"/>
  <c r="F10" i="3"/>
  <c r="F14" i="3"/>
  <c r="N10" i="3"/>
  <c r="F32" i="3"/>
  <c r="I32" i="3"/>
  <c r="N32" i="3"/>
  <c r="L32" i="3"/>
  <c r="V78" i="4"/>
  <c r="U78" i="4"/>
  <c r="V104" i="4" s="1"/>
  <c r="T78" i="4"/>
  <c r="V100" i="4" s="1"/>
  <c r="V71" i="4"/>
  <c r="J14" i="3"/>
  <c r="J13" i="3"/>
  <c r="I15" i="3"/>
  <c r="I14" i="3"/>
  <c r="I13" i="3"/>
  <c r="I12" i="3"/>
  <c r="L71" i="4"/>
  <c r="L78" i="4"/>
  <c r="K78" i="4"/>
  <c r="L104" i="4" s="1"/>
  <c r="J78" i="4"/>
  <c r="L100" i="4" s="1"/>
  <c r="Q78" i="4"/>
  <c r="H29" i="3"/>
  <c r="O29" i="3"/>
  <c r="G29" i="3"/>
  <c r="N29" i="3"/>
  <c r="F29" i="3"/>
  <c r="M29" i="3"/>
  <c r="E29" i="3"/>
  <c r="L29" i="3"/>
  <c r="D29" i="3"/>
  <c r="J29" i="3"/>
  <c r="B29" i="3"/>
  <c r="D13" i="3"/>
  <c r="D12" i="3"/>
  <c r="L13" i="3"/>
  <c r="L12" i="3"/>
  <c r="K9" i="3"/>
  <c r="I10" i="3"/>
  <c r="P10" i="3" s="1"/>
  <c r="F13" i="3"/>
  <c r="I29" i="3"/>
  <c r="K34" i="3"/>
  <c r="B43" i="3"/>
  <c r="D43" i="3"/>
  <c r="K14" i="3"/>
  <c r="Q14" i="3" s="1"/>
  <c r="K13" i="3"/>
  <c r="K15" i="3"/>
  <c r="K11" i="3"/>
  <c r="AI78" i="4"/>
  <c r="AK100" i="4" s="1"/>
  <c r="AK71" i="4"/>
  <c r="AJ78" i="4"/>
  <c r="AK104" i="4" s="1"/>
  <c r="E15" i="3"/>
  <c r="E14" i="3"/>
  <c r="I11" i="3"/>
  <c r="K29" i="3"/>
  <c r="G8" i="4"/>
  <c r="B14" i="3"/>
  <c r="B15" i="3"/>
  <c r="M13" i="3"/>
  <c r="M23" i="3"/>
  <c r="M15" i="3"/>
  <c r="M14" i="3"/>
  <c r="J10" i="3"/>
  <c r="B10" i="3"/>
  <c r="B12" i="3"/>
  <c r="J15" i="3"/>
  <c r="B30" i="3"/>
  <c r="I30" i="3"/>
  <c r="H30" i="3"/>
  <c r="O30" i="3"/>
  <c r="N30" i="3"/>
  <c r="F30" i="3"/>
  <c r="L30" i="3"/>
  <c r="D30" i="3"/>
  <c r="B34" i="3"/>
  <c r="I34" i="3"/>
  <c r="H34" i="3"/>
  <c r="O34" i="3"/>
  <c r="N34" i="3"/>
  <c r="F34" i="3"/>
  <c r="L34" i="3"/>
  <c r="D34" i="3"/>
  <c r="J9" i="3"/>
  <c r="J12" i="3"/>
  <c r="E34" i="3"/>
  <c r="E12" i="4"/>
  <c r="E22" i="4"/>
  <c r="G22" i="4" s="1"/>
  <c r="AF78" i="4"/>
  <c r="AE78" i="4"/>
  <c r="AF104" i="4" s="1"/>
  <c r="AD78" i="4"/>
  <c r="AF100" i="4" s="1"/>
  <c r="AF71" i="4"/>
  <c r="N12" i="3"/>
  <c r="N15" i="3"/>
  <c r="N11" i="3"/>
  <c r="M9" i="3"/>
  <c r="B23" i="3"/>
  <c r="N9" i="3"/>
  <c r="D10" i="3"/>
  <c r="L10" i="3"/>
  <c r="L11" i="3"/>
  <c r="E12" i="3"/>
  <c r="L15" i="3"/>
  <c r="E30" i="3"/>
  <c r="F33" i="3"/>
  <c r="E33" i="3"/>
  <c r="D33" i="3"/>
  <c r="B33" i="3"/>
  <c r="H35" i="3"/>
  <c r="H32" i="3"/>
  <c r="AA66" i="4"/>
  <c r="AA70" i="4" s="1"/>
  <c r="M12" i="3"/>
  <c r="F15" i="3"/>
  <c r="E9" i="3"/>
  <c r="K10" i="3"/>
  <c r="S10" i="3" s="1"/>
  <c r="J11" i="3"/>
  <c r="R11" i="3" s="1"/>
  <c r="N13" i="3"/>
  <c r="G23" i="3"/>
  <c r="G15" i="3"/>
  <c r="G14" i="3"/>
  <c r="G13" i="3"/>
  <c r="O15" i="3"/>
  <c r="O14" i="3"/>
  <c r="O13" i="3"/>
  <c r="H15" i="3"/>
  <c r="H14" i="3"/>
  <c r="G9" i="3"/>
  <c r="O9" i="3"/>
  <c r="E10" i="3"/>
  <c r="M10" i="3"/>
  <c r="B11" i="3"/>
  <c r="M11" i="3"/>
  <c r="F12" i="3"/>
  <c r="D14" i="3"/>
  <c r="D23" i="3"/>
  <c r="K30" i="3"/>
  <c r="E78" i="4"/>
  <c r="G100" i="4" s="1"/>
  <c r="G71" i="4"/>
  <c r="F78" i="4"/>
  <c r="G104" i="4" s="1"/>
  <c r="G78" i="4"/>
  <c r="F35" i="3"/>
  <c r="N35" i="3"/>
  <c r="B95" i="4"/>
  <c r="B32" i="3"/>
  <c r="I78" i="4"/>
  <c r="L96" i="4" s="1"/>
  <c r="M30" i="3" s="1"/>
  <c r="K32" i="3"/>
  <c r="B31" i="3"/>
  <c r="I30" i="6" l="1"/>
  <c r="J30" i="6" s="1"/>
  <c r="F23" i="3"/>
  <c r="E43" i="3"/>
  <c r="E23" i="3"/>
  <c r="R10" i="3"/>
  <c r="S11" i="3"/>
  <c r="P12" i="3"/>
  <c r="P11" i="3"/>
  <c r="R12" i="3"/>
  <c r="S13" i="3"/>
  <c r="P13" i="3"/>
  <c r="P78" i="4"/>
  <c r="Q104" i="4" s="1"/>
  <c r="O31" i="3" s="1"/>
  <c r="F31" i="3"/>
  <c r="F38" i="3" s="1"/>
  <c r="F11" i="3"/>
  <c r="F19" i="3" s="1"/>
  <c r="O78" i="4"/>
  <c r="Q100" i="4" s="1"/>
  <c r="N31" i="3" s="1"/>
  <c r="E31" i="3"/>
  <c r="E39" i="3" s="1"/>
  <c r="E11" i="3"/>
  <c r="E18" i="3" s="1"/>
  <c r="I20" i="3"/>
  <c r="H17" i="3"/>
  <c r="D21" i="3"/>
  <c r="L17" i="3"/>
  <c r="H18" i="3"/>
  <c r="L21" i="3"/>
  <c r="D17" i="3"/>
  <c r="H19" i="3"/>
  <c r="I18" i="3"/>
  <c r="R13" i="3"/>
  <c r="D18" i="3"/>
  <c r="G18" i="3"/>
  <c r="G17" i="3"/>
  <c r="G20" i="3"/>
  <c r="G21" i="3"/>
  <c r="G19" i="3"/>
  <c r="D19" i="3"/>
  <c r="I21" i="3"/>
  <c r="L19" i="3"/>
  <c r="AM76" i="4"/>
  <c r="AP94" i="4" s="1"/>
  <c r="G43" i="3" s="1"/>
  <c r="I17" i="3"/>
  <c r="H21" i="3"/>
  <c r="R14" i="3"/>
  <c r="V77" i="4"/>
  <c r="V76" i="4"/>
  <c r="U77" i="4"/>
  <c r="V103" i="4" s="1"/>
  <c r="U76" i="4"/>
  <c r="V102" i="4" s="1"/>
  <c r="T77" i="4"/>
  <c r="V99" i="4" s="1"/>
  <c r="T76" i="4"/>
  <c r="V98" i="4" s="1"/>
  <c r="S76" i="4"/>
  <c r="V94" i="4" s="1"/>
  <c r="G32" i="3" s="1"/>
  <c r="D20" i="3"/>
  <c r="H20" i="3"/>
  <c r="M20" i="3"/>
  <c r="M19" i="3"/>
  <c r="M18" i="3"/>
  <c r="M17" i="3"/>
  <c r="M21" i="3"/>
  <c r="L20" i="3"/>
  <c r="S15" i="3"/>
  <c r="I19" i="3"/>
  <c r="O18" i="3"/>
  <c r="O17" i="3"/>
  <c r="O20" i="3"/>
  <c r="O21" i="3"/>
  <c r="O19" i="3"/>
  <c r="O77" i="4"/>
  <c r="Q99" i="4" s="1"/>
  <c r="K31" i="3" s="1"/>
  <c r="O76" i="4"/>
  <c r="Q98" i="4" s="1"/>
  <c r="H31" i="3" s="1"/>
  <c r="N77" i="4"/>
  <c r="Q95" i="4" s="1"/>
  <c r="J31" i="3" s="1"/>
  <c r="N76" i="4"/>
  <c r="Q94" i="4" s="1"/>
  <c r="G31" i="3" s="1"/>
  <c r="P77" i="4"/>
  <c r="Q103" i="4" s="1"/>
  <c r="L31" i="3" s="1"/>
  <c r="P76" i="4"/>
  <c r="Q102" i="4" s="1"/>
  <c r="I31" i="3" s="1"/>
  <c r="Q77" i="4"/>
  <c r="Q76" i="4"/>
  <c r="E77" i="4"/>
  <c r="G99" i="4" s="1"/>
  <c r="E76" i="4"/>
  <c r="G98" i="4" s="1"/>
  <c r="D77" i="4"/>
  <c r="G95" i="4" s="1"/>
  <c r="D76" i="4"/>
  <c r="G94" i="4" s="1"/>
  <c r="F77" i="4"/>
  <c r="G103" i="4" s="1"/>
  <c r="F76" i="4"/>
  <c r="G102" i="4" s="1"/>
  <c r="G76" i="4"/>
  <c r="G77" i="4"/>
  <c r="Q15" i="3"/>
  <c r="T15" i="3"/>
  <c r="G12" i="4"/>
  <c r="E15" i="4"/>
  <c r="G15" i="4" s="1"/>
  <c r="D78" i="4" s="1"/>
  <c r="G96" i="4" s="1"/>
  <c r="S77" i="4"/>
  <c r="V95" i="4" s="1"/>
  <c r="J32" i="3" s="1"/>
  <c r="AH78" i="4"/>
  <c r="AK96" i="4" s="1"/>
  <c r="M35" i="3" s="1"/>
  <c r="L77" i="4"/>
  <c r="L76" i="4"/>
  <c r="K77" i="4"/>
  <c r="L103" i="4" s="1"/>
  <c r="K76" i="4"/>
  <c r="L102" i="4" s="1"/>
  <c r="J77" i="4"/>
  <c r="L99" i="4" s="1"/>
  <c r="J76" i="4"/>
  <c r="L98" i="4" s="1"/>
  <c r="I77" i="4"/>
  <c r="L95" i="4" s="1"/>
  <c r="J30" i="3" s="1"/>
  <c r="I76" i="4"/>
  <c r="L94" i="4" s="1"/>
  <c r="G30" i="3" s="1"/>
  <c r="Y78" i="4"/>
  <c r="AA100" i="4" s="1"/>
  <c r="N33" i="3" s="1"/>
  <c r="X78" i="4"/>
  <c r="AA96" i="4" s="1"/>
  <c r="M33" i="3" s="1"/>
  <c r="AA71" i="4"/>
  <c r="Z78" i="4"/>
  <c r="AA104" i="4" s="1"/>
  <c r="O33" i="3" s="1"/>
  <c r="AA78" i="4"/>
  <c r="R15" i="3"/>
  <c r="T13" i="3"/>
  <c r="Q13" i="3"/>
  <c r="L18" i="3"/>
  <c r="T11" i="3"/>
  <c r="Q11" i="3"/>
  <c r="AF77" i="4"/>
  <c r="AF76" i="4"/>
  <c r="AE77" i="4"/>
  <c r="AF103" i="4" s="1"/>
  <c r="AE76" i="4"/>
  <c r="AF102" i="4" s="1"/>
  <c r="AD77" i="4"/>
  <c r="AF99" i="4" s="1"/>
  <c r="AD76" i="4"/>
  <c r="AF98" i="4" s="1"/>
  <c r="AC77" i="4"/>
  <c r="AF95" i="4" s="1"/>
  <c r="J34" i="3" s="1"/>
  <c r="AC76" i="4"/>
  <c r="AF94" i="4" s="1"/>
  <c r="G34" i="3" s="1"/>
  <c r="AI77" i="4"/>
  <c r="AK99" i="4" s="1"/>
  <c r="AI76" i="4"/>
  <c r="AK98" i="4" s="1"/>
  <c r="AH77" i="4"/>
  <c r="AK95" i="4" s="1"/>
  <c r="J35" i="3" s="1"/>
  <c r="AH76" i="4"/>
  <c r="AK94" i="4" s="1"/>
  <c r="G35" i="3" s="1"/>
  <c r="AJ77" i="4"/>
  <c r="AK103" i="4" s="1"/>
  <c r="AJ76" i="4"/>
  <c r="AK102" i="4" s="1"/>
  <c r="AK77" i="4"/>
  <c r="AK76" i="4"/>
  <c r="S14" i="3"/>
  <c r="K21" i="3"/>
  <c r="K20" i="3"/>
  <c r="K19" i="3"/>
  <c r="K18" i="3"/>
  <c r="S9" i="3"/>
  <c r="K17" i="3"/>
  <c r="Q9" i="3"/>
  <c r="P14" i="3"/>
  <c r="N19" i="3"/>
  <c r="N18" i="3"/>
  <c r="N17" i="3"/>
  <c r="N21" i="3"/>
  <c r="N20" i="3"/>
  <c r="T10" i="3"/>
  <c r="Q10" i="3"/>
  <c r="J21" i="3"/>
  <c r="J20" i="3"/>
  <c r="J19" i="3"/>
  <c r="J17" i="3"/>
  <c r="J18" i="3"/>
  <c r="R9" i="3"/>
  <c r="N78" i="4"/>
  <c r="Q96" i="4" s="1"/>
  <c r="M31" i="3" s="1"/>
  <c r="T12" i="3"/>
  <c r="Q12" i="3"/>
  <c r="D40" i="3"/>
  <c r="D38" i="3"/>
  <c r="D41" i="3"/>
  <c r="D39" i="3"/>
  <c r="D37" i="3"/>
  <c r="P15" i="3"/>
  <c r="T14" i="3"/>
  <c r="L30" i="6" l="1"/>
  <c r="L33" i="6" s="1"/>
  <c r="E31" i="6"/>
  <c r="I31" i="6"/>
  <c r="G31" i="6"/>
  <c r="F30" i="6"/>
  <c r="H30" i="6"/>
  <c r="F17" i="3"/>
  <c r="F21" i="3"/>
  <c r="N41" i="3"/>
  <c r="O38" i="3"/>
  <c r="F39" i="3"/>
  <c r="F40" i="3"/>
  <c r="F37" i="3"/>
  <c r="F41" i="3"/>
  <c r="O40" i="3"/>
  <c r="F20" i="3"/>
  <c r="O37" i="3"/>
  <c r="O39" i="3"/>
  <c r="O41" i="3"/>
  <c r="N40" i="3"/>
  <c r="N38" i="3"/>
  <c r="N37" i="3"/>
  <c r="N39" i="3"/>
  <c r="E37" i="3"/>
  <c r="E40" i="3"/>
  <c r="E38" i="3"/>
  <c r="E41" i="3"/>
  <c r="F18" i="3"/>
  <c r="E19" i="3"/>
  <c r="E20" i="3"/>
  <c r="E21" i="3"/>
  <c r="E17" i="3"/>
  <c r="AM77" i="4"/>
  <c r="AP95" i="4" s="1"/>
  <c r="J43" i="3" s="1"/>
  <c r="J23" i="3"/>
  <c r="R23" i="3" s="1"/>
  <c r="T21" i="3"/>
  <c r="T19" i="3"/>
  <c r="T17" i="3"/>
  <c r="T18" i="3"/>
  <c r="T20" i="3"/>
  <c r="P17" i="3"/>
  <c r="P20" i="3"/>
  <c r="P18" i="3"/>
  <c r="AC78" i="4"/>
  <c r="AF96" i="4" s="1"/>
  <c r="M34" i="3" s="1"/>
  <c r="Q21" i="3"/>
  <c r="Q20" i="3"/>
  <c r="Q18" i="3"/>
  <c r="Q19" i="3"/>
  <c r="Q17" i="3"/>
  <c r="P19" i="3"/>
  <c r="P21" i="3"/>
  <c r="R21" i="3"/>
  <c r="R20" i="3"/>
  <c r="R19" i="3"/>
  <c r="R17" i="3"/>
  <c r="R18" i="3"/>
  <c r="S21" i="3"/>
  <c r="S20" i="3"/>
  <c r="S19" i="3"/>
  <c r="S18" i="3"/>
  <c r="S17" i="3"/>
  <c r="Y77" i="4"/>
  <c r="AA99" i="4" s="1"/>
  <c r="K33" i="3" s="1"/>
  <c r="K38" i="3" s="1"/>
  <c r="Y76" i="4"/>
  <c r="AA98" i="4" s="1"/>
  <c r="H33" i="3" s="1"/>
  <c r="H40" i="3" s="1"/>
  <c r="X77" i="4"/>
  <c r="AA95" i="4" s="1"/>
  <c r="J33" i="3" s="1"/>
  <c r="J37" i="3" s="1"/>
  <c r="X76" i="4"/>
  <c r="AA94" i="4" s="1"/>
  <c r="G33" i="3" s="1"/>
  <c r="G41" i="3" s="1"/>
  <c r="Z77" i="4"/>
  <c r="AA103" i="4" s="1"/>
  <c r="L33" i="3" s="1"/>
  <c r="L39" i="3" s="1"/>
  <c r="Z76" i="4"/>
  <c r="AA102" i="4" s="1"/>
  <c r="I33" i="3" s="1"/>
  <c r="I40" i="3" s="1"/>
  <c r="AA76" i="4"/>
  <c r="AA77" i="4"/>
  <c r="AM78" i="4"/>
  <c r="AP96" i="4" s="1"/>
  <c r="M43" i="3" s="1"/>
  <c r="S78" i="4"/>
  <c r="V96" i="4" s="1"/>
  <c r="M32" i="3" s="1"/>
  <c r="L40" i="6" l="1"/>
  <c r="L31" i="6"/>
  <c r="L34" i="6" s="1"/>
  <c r="L41" i="6" s="1"/>
  <c r="L39" i="6"/>
  <c r="K37" i="3"/>
  <c r="K39" i="3"/>
  <c r="K41" i="3"/>
  <c r="H38" i="3"/>
  <c r="L37" i="3"/>
  <c r="L38" i="3"/>
  <c r="L40" i="3"/>
  <c r="K40" i="3"/>
  <c r="L41" i="3"/>
  <c r="I37" i="3"/>
  <c r="H41" i="3"/>
  <c r="I41" i="3"/>
  <c r="H39" i="3"/>
  <c r="I38" i="3"/>
  <c r="I39" i="3"/>
  <c r="H37" i="3"/>
  <c r="M41" i="3"/>
  <c r="M37" i="3"/>
  <c r="G38" i="3"/>
  <c r="J40" i="3"/>
  <c r="J38" i="3"/>
  <c r="M40" i="3"/>
  <c r="J41" i="3"/>
  <c r="M38" i="3"/>
  <c r="G39" i="3"/>
  <c r="G37" i="3"/>
  <c r="J39" i="3"/>
  <c r="G40" i="3"/>
  <c r="M39" i="3"/>
  <c r="E7" i="2"/>
  <c r="L43" i="6" l="1"/>
  <c r="E8" i="2"/>
  <c r="N37" i="4"/>
  <c r="O75" i="4" s="1"/>
  <c r="K28" i="3"/>
  <c r="S8" i="3"/>
  <c r="AM37" i="4"/>
  <c r="AN75" i="4" s="1"/>
  <c r="X37" i="4"/>
  <c r="Y75" i="4" s="1"/>
  <c r="N8" i="3"/>
  <c r="B84" i="4"/>
  <c r="B83" i="4"/>
  <c r="B82" i="4"/>
  <c r="I37" i="4"/>
  <c r="J75" i="4" s="1"/>
  <c r="H28" i="3"/>
  <c r="AH37" i="4"/>
  <c r="AI75" i="4" s="1"/>
  <c r="H8" i="3"/>
  <c r="B100" i="4"/>
  <c r="S37" i="4"/>
  <c r="T75" i="4" s="1"/>
  <c r="N28" i="3"/>
  <c r="B98" i="4"/>
  <c r="B99" i="4"/>
  <c r="D37" i="4"/>
  <c r="E75" i="4" s="1"/>
  <c r="K8" i="3"/>
  <c r="AC37" i="4"/>
  <c r="AD75" i="4" s="1"/>
  <c r="J189" i="1"/>
  <c r="J277" i="1" s="1"/>
  <c r="J382" i="1" s="1"/>
  <c r="J190" i="1"/>
  <c r="J275" i="1" s="1"/>
  <c r="J380" i="1" s="1"/>
  <c r="K190" i="1"/>
  <c r="K275" i="1" s="1"/>
  <c r="K380" i="1" s="1"/>
  <c r="L190" i="1"/>
  <c r="L275" i="1" s="1"/>
  <c r="L380" i="1" s="1"/>
  <c r="M190" i="1"/>
  <c r="M275" i="1" s="1"/>
  <c r="M380" i="1" s="1"/>
  <c r="N197" i="1"/>
  <c r="O197" i="1"/>
  <c r="P197" i="1"/>
  <c r="Q197" i="1"/>
  <c r="R197" i="1"/>
  <c r="I206" i="1"/>
  <c r="I199" i="1"/>
  <c r="I281" i="1" s="1"/>
  <c r="I386" i="1" s="1"/>
  <c r="I198" i="1"/>
  <c r="I230" i="1" l="1"/>
  <c r="E9" i="2"/>
  <c r="AN37" i="4"/>
  <c r="AO75" i="4" s="1"/>
  <c r="I8" i="3"/>
  <c r="Y37" i="4"/>
  <c r="Z75" i="4" s="1"/>
  <c r="B104" i="4"/>
  <c r="B88" i="4"/>
  <c r="B87" i="4"/>
  <c r="J37" i="4"/>
  <c r="K75" i="4" s="1"/>
  <c r="I28" i="3"/>
  <c r="O8" i="3"/>
  <c r="O37" i="4"/>
  <c r="P75" i="4" s="1"/>
  <c r="T8" i="3"/>
  <c r="B103" i="4"/>
  <c r="B86" i="4"/>
  <c r="AI37" i="4"/>
  <c r="AJ75" i="4" s="1"/>
  <c r="B102" i="4"/>
  <c r="T37" i="4"/>
  <c r="U75" i="4" s="1"/>
  <c r="O28" i="3"/>
  <c r="E37" i="4"/>
  <c r="F75" i="4" s="1"/>
  <c r="L8" i="3"/>
  <c r="AD37" i="4"/>
  <c r="AE75" i="4" s="1"/>
  <c r="L28" i="3"/>
  <c r="I310" i="1"/>
  <c r="I309" i="1"/>
  <c r="I258" i="1" s="1"/>
  <c r="I308" i="1"/>
  <c r="J306" i="1"/>
  <c r="I306" i="1"/>
  <c r="J305" i="1"/>
  <c r="I305" i="1"/>
  <c r="I262" i="1" s="1"/>
  <c r="R304" i="1"/>
  <c r="Q304" i="1"/>
  <c r="P304" i="1"/>
  <c r="O304" i="1"/>
  <c r="N304" i="1"/>
  <c r="M304" i="1"/>
  <c r="L304" i="1"/>
  <c r="K304" i="1"/>
  <c r="J304" i="1"/>
  <c r="R303" i="1"/>
  <c r="Q303" i="1"/>
  <c r="P303" i="1"/>
  <c r="O303" i="1"/>
  <c r="N303" i="1"/>
  <c r="M303" i="1"/>
  <c r="L303" i="1"/>
  <c r="K303" i="1"/>
  <c r="J303" i="1"/>
  <c r="I303" i="1"/>
  <c r="J297" i="1"/>
  <c r="I296" i="1"/>
  <c r="I279" i="1"/>
  <c r="I384" i="1" s="1"/>
  <c r="I189" i="1"/>
  <c r="I277" i="1" s="1"/>
  <c r="I382" i="1" s="1"/>
  <c r="J165" i="1"/>
  <c r="K165" i="1" s="1"/>
  <c r="L165" i="1" s="1"/>
  <c r="M165" i="1" s="1"/>
  <c r="N165" i="1" s="1"/>
  <c r="O165" i="1" s="1"/>
  <c r="P165" i="1" s="1"/>
  <c r="Q165" i="1" s="1"/>
  <c r="R165" i="1" s="1"/>
  <c r="R310" i="1" s="1"/>
  <c r="J164" i="1"/>
  <c r="K164" i="1" s="1"/>
  <c r="L164" i="1" s="1"/>
  <c r="M164" i="1" s="1"/>
  <c r="N164" i="1" s="1"/>
  <c r="O164" i="1" s="1"/>
  <c r="P164" i="1" s="1"/>
  <c r="Q164" i="1" s="1"/>
  <c r="R164" i="1" s="1"/>
  <c r="R309" i="1" s="1"/>
  <c r="J163" i="1"/>
  <c r="K163" i="1" s="1"/>
  <c r="L163" i="1" s="1"/>
  <c r="M163" i="1" s="1"/>
  <c r="N163" i="1" s="1"/>
  <c r="O163" i="1" s="1"/>
  <c r="P163" i="1" s="1"/>
  <c r="Q163" i="1" s="1"/>
  <c r="R163" i="1" s="1"/>
  <c r="R308" i="1" s="1"/>
  <c r="H166" i="1"/>
  <c r="G166" i="1"/>
  <c r="F166" i="1"/>
  <c r="E166" i="1"/>
  <c r="H165" i="1"/>
  <c r="G165" i="1"/>
  <c r="F165" i="1"/>
  <c r="E165" i="1"/>
  <c r="H164" i="1"/>
  <c r="G164" i="1"/>
  <c r="F164" i="1"/>
  <c r="E164" i="1"/>
  <c r="H163" i="1"/>
  <c r="G163" i="1"/>
  <c r="F163" i="1"/>
  <c r="E163" i="1"/>
  <c r="K160" i="1"/>
  <c r="K306" i="1" s="1"/>
  <c r="K159" i="1"/>
  <c r="K305" i="1" s="1"/>
  <c r="H161" i="1"/>
  <c r="G161" i="1"/>
  <c r="F161" i="1"/>
  <c r="E161" i="1"/>
  <c r="H160" i="1"/>
  <c r="G160" i="1"/>
  <c r="F160" i="1"/>
  <c r="E160" i="1"/>
  <c r="H159" i="1"/>
  <c r="G159" i="1"/>
  <c r="F159" i="1"/>
  <c r="E159" i="1"/>
  <c r="H158" i="1"/>
  <c r="G158" i="1"/>
  <c r="F158" i="1"/>
  <c r="E158" i="1"/>
  <c r="H157" i="1"/>
  <c r="G157" i="1"/>
  <c r="F157" i="1"/>
  <c r="E157" i="1"/>
  <c r="K154" i="1"/>
  <c r="L154" i="1" s="1"/>
  <c r="M154" i="1" s="1"/>
  <c r="N154" i="1" s="1"/>
  <c r="O154" i="1" s="1"/>
  <c r="P154" i="1" s="1"/>
  <c r="Q154" i="1" s="1"/>
  <c r="R154" i="1" s="1"/>
  <c r="R297" i="1" s="1"/>
  <c r="I154" i="1"/>
  <c r="I297" i="1" s="1"/>
  <c r="J153" i="1"/>
  <c r="J296" i="1" s="1"/>
  <c r="J150" i="1"/>
  <c r="J279" i="1" s="1"/>
  <c r="J384" i="1" s="1"/>
  <c r="F150" i="1"/>
  <c r="G150" i="1"/>
  <c r="H150" i="1"/>
  <c r="F151" i="1"/>
  <c r="G151" i="1"/>
  <c r="H151" i="1"/>
  <c r="F153" i="1"/>
  <c r="G153" i="1"/>
  <c r="H153" i="1"/>
  <c r="F154" i="1"/>
  <c r="G154" i="1"/>
  <c r="H154" i="1"/>
  <c r="F155" i="1"/>
  <c r="G155" i="1"/>
  <c r="H155" i="1"/>
  <c r="E155" i="1"/>
  <c r="E154" i="1"/>
  <c r="E153" i="1"/>
  <c r="E151" i="1"/>
  <c r="E150" i="1"/>
  <c r="J142" i="1"/>
  <c r="K142" i="1" s="1"/>
  <c r="L142" i="1" s="1"/>
  <c r="M142" i="1" s="1"/>
  <c r="N142" i="1" s="1"/>
  <c r="O142" i="1" s="1"/>
  <c r="P142" i="1" s="1"/>
  <c r="Q142" i="1" s="1"/>
  <c r="R142" i="1" s="1"/>
  <c r="J141" i="1"/>
  <c r="K141" i="1" s="1"/>
  <c r="L141" i="1" s="1"/>
  <c r="M141" i="1" s="1"/>
  <c r="N141" i="1" s="1"/>
  <c r="O141" i="1" s="1"/>
  <c r="P141" i="1" s="1"/>
  <c r="Q141" i="1" s="1"/>
  <c r="R141" i="1" s="1"/>
  <c r="J140" i="1"/>
  <c r="K140" i="1" s="1"/>
  <c r="L140" i="1" s="1"/>
  <c r="M140" i="1" s="1"/>
  <c r="N140" i="1" s="1"/>
  <c r="O140" i="1" s="1"/>
  <c r="P140" i="1" s="1"/>
  <c r="Q140" i="1" s="1"/>
  <c r="R140" i="1" s="1"/>
  <c r="F142" i="1"/>
  <c r="G142" i="1"/>
  <c r="H142" i="1"/>
  <c r="F143" i="1"/>
  <c r="G143" i="1"/>
  <c r="H143" i="1"/>
  <c r="I143" i="1" s="1"/>
  <c r="I243" i="1" s="1"/>
  <c r="F144" i="1"/>
  <c r="G144" i="1"/>
  <c r="H144" i="1"/>
  <c r="I144" i="1" s="1"/>
  <c r="E144" i="1"/>
  <c r="E143" i="1"/>
  <c r="E142" i="1"/>
  <c r="F136" i="1"/>
  <c r="G136" i="1"/>
  <c r="H136" i="1"/>
  <c r="F138" i="1"/>
  <c r="G138" i="1"/>
  <c r="H138" i="1"/>
  <c r="I138" i="1" s="1"/>
  <c r="J138" i="1" s="1"/>
  <c r="E138" i="1"/>
  <c r="E136" i="1"/>
  <c r="J133" i="1"/>
  <c r="K133" i="1" s="1"/>
  <c r="L133" i="1" s="1"/>
  <c r="M133" i="1" s="1"/>
  <c r="N133" i="1" s="1"/>
  <c r="O133" i="1" s="1"/>
  <c r="P133" i="1" s="1"/>
  <c r="Q133" i="1" s="1"/>
  <c r="R133" i="1" s="1"/>
  <c r="F132" i="1"/>
  <c r="G132" i="1"/>
  <c r="H132" i="1"/>
  <c r="F134" i="1"/>
  <c r="G134" i="1"/>
  <c r="H134" i="1"/>
  <c r="I134" i="1" s="1"/>
  <c r="E134" i="1"/>
  <c r="E132" i="1"/>
  <c r="M122" i="1"/>
  <c r="M197" i="1" s="1"/>
  <c r="L122" i="1"/>
  <c r="L197" i="1" s="1"/>
  <c r="K122" i="1"/>
  <c r="K197" i="1" s="1"/>
  <c r="J122" i="1"/>
  <c r="J197" i="1" s="1"/>
  <c r="I122" i="1"/>
  <c r="I197" i="1" s="1"/>
  <c r="I200" i="1" s="1"/>
  <c r="I158" i="1"/>
  <c r="I304" i="1" s="1"/>
  <c r="J124" i="1"/>
  <c r="J199" i="1" s="1"/>
  <c r="J281" i="1" s="1"/>
  <c r="J386" i="1" s="1"/>
  <c r="J123" i="1"/>
  <c r="J198" i="1" s="1"/>
  <c r="J126" i="1"/>
  <c r="J206" i="1" s="1"/>
  <c r="R120" i="1"/>
  <c r="R190" i="1" s="1"/>
  <c r="R275" i="1" s="1"/>
  <c r="R380" i="1" s="1"/>
  <c r="Q120" i="1"/>
  <c r="Q190" i="1" s="1"/>
  <c r="Q275" i="1" s="1"/>
  <c r="Q380" i="1" s="1"/>
  <c r="P120" i="1"/>
  <c r="P190" i="1" s="1"/>
  <c r="P275" i="1" s="1"/>
  <c r="P380" i="1" s="1"/>
  <c r="O120" i="1"/>
  <c r="O190" i="1" s="1"/>
  <c r="O275" i="1" s="1"/>
  <c r="O380" i="1" s="1"/>
  <c r="N120" i="1"/>
  <c r="N190" i="1" s="1"/>
  <c r="N275" i="1" s="1"/>
  <c r="N380" i="1" s="1"/>
  <c r="I120" i="1"/>
  <c r="I190" i="1" s="1"/>
  <c r="I275" i="1" s="1"/>
  <c r="I380" i="1" s="1"/>
  <c r="K118" i="1"/>
  <c r="K189" i="1" s="1"/>
  <c r="K277" i="1" s="1"/>
  <c r="K382" i="1" s="1"/>
  <c r="H126" i="1"/>
  <c r="G126" i="1"/>
  <c r="F126" i="1"/>
  <c r="E126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F120" i="1"/>
  <c r="G120" i="1"/>
  <c r="H120" i="1"/>
  <c r="E120" i="1"/>
  <c r="F118" i="1"/>
  <c r="G118" i="1"/>
  <c r="H118" i="1"/>
  <c r="E118" i="1"/>
  <c r="F114" i="1"/>
  <c r="G114" i="1"/>
  <c r="H114" i="1"/>
  <c r="E114" i="1"/>
  <c r="I241" i="1" l="1"/>
  <c r="J241" i="1" s="1"/>
  <c r="J230" i="1"/>
  <c r="K123" i="1"/>
  <c r="K198" i="1" s="1"/>
  <c r="I151" i="1"/>
  <c r="J151" i="1" s="1"/>
  <c r="I211" i="1"/>
  <c r="B92" i="4"/>
  <c r="B91" i="4"/>
  <c r="Z37" i="4"/>
  <c r="AA75" i="4" s="1"/>
  <c r="B90" i="4"/>
  <c r="K37" i="4"/>
  <c r="L75" i="4" s="1"/>
  <c r="AJ37" i="4"/>
  <c r="AK75" i="4" s="1"/>
  <c r="U37" i="4"/>
  <c r="V75" i="4" s="1"/>
  <c r="F37" i="4"/>
  <c r="G75" i="4" s="1"/>
  <c r="AO37" i="4"/>
  <c r="AP75" i="4" s="1"/>
  <c r="AE37" i="4"/>
  <c r="AF75" i="4" s="1"/>
  <c r="P37" i="4"/>
  <c r="Q75" i="4" s="1"/>
  <c r="I161" i="1"/>
  <c r="I307" i="1" s="1"/>
  <c r="I311" i="1" s="1"/>
  <c r="K124" i="1"/>
  <c r="K199" i="1" s="1"/>
  <c r="K281" i="1" s="1"/>
  <c r="K386" i="1" s="1"/>
  <c r="I221" i="1"/>
  <c r="J221" i="1" s="1"/>
  <c r="J262" i="1"/>
  <c r="K262" i="1" s="1"/>
  <c r="I248" i="1"/>
  <c r="J248" i="1" s="1"/>
  <c r="K248" i="1" s="1"/>
  <c r="L248" i="1" s="1"/>
  <c r="M248" i="1" s="1"/>
  <c r="N248" i="1" s="1"/>
  <c r="O248" i="1" s="1"/>
  <c r="P248" i="1" s="1"/>
  <c r="Q248" i="1" s="1"/>
  <c r="R248" i="1" s="1"/>
  <c r="I155" i="1"/>
  <c r="J155" i="1" s="1"/>
  <c r="K153" i="1"/>
  <c r="K296" i="1" s="1"/>
  <c r="J308" i="1"/>
  <c r="I136" i="1"/>
  <c r="J136" i="1" s="1"/>
  <c r="K136" i="1" s="1"/>
  <c r="L136" i="1" s="1"/>
  <c r="M136" i="1" s="1"/>
  <c r="N136" i="1" s="1"/>
  <c r="O136" i="1" s="1"/>
  <c r="P136" i="1" s="1"/>
  <c r="Q136" i="1" s="1"/>
  <c r="R136" i="1" s="1"/>
  <c r="K150" i="1"/>
  <c r="K308" i="1"/>
  <c r="I166" i="1"/>
  <c r="I313" i="1" s="1"/>
  <c r="N308" i="1"/>
  <c r="I132" i="1"/>
  <c r="J132" i="1" s="1"/>
  <c r="K132" i="1" s="1"/>
  <c r="L132" i="1" s="1"/>
  <c r="M132" i="1" s="1"/>
  <c r="N132" i="1" s="1"/>
  <c r="O132" i="1" s="1"/>
  <c r="P132" i="1" s="1"/>
  <c r="Q132" i="1" s="1"/>
  <c r="R132" i="1" s="1"/>
  <c r="K297" i="1"/>
  <c r="N297" i="1"/>
  <c r="N310" i="1"/>
  <c r="J144" i="1"/>
  <c r="I249" i="1"/>
  <c r="I292" i="1" s="1"/>
  <c r="I399" i="1" s="1"/>
  <c r="J240" i="1"/>
  <c r="K138" i="1"/>
  <c r="I231" i="1"/>
  <c r="J134" i="1"/>
  <c r="O310" i="1"/>
  <c r="L297" i="1"/>
  <c r="L308" i="1"/>
  <c r="J309" i="1"/>
  <c r="J258" i="1" s="1"/>
  <c r="P310" i="1"/>
  <c r="L159" i="1"/>
  <c r="L160" i="1"/>
  <c r="M297" i="1"/>
  <c r="M308" i="1"/>
  <c r="K309" i="1"/>
  <c r="Q310" i="1"/>
  <c r="L309" i="1"/>
  <c r="J143" i="1"/>
  <c r="I240" i="1"/>
  <c r="I290" i="1" s="1"/>
  <c r="I397" i="1" s="1"/>
  <c r="O297" i="1"/>
  <c r="O308" i="1"/>
  <c r="M309" i="1"/>
  <c r="K310" i="1"/>
  <c r="Q309" i="1"/>
  <c r="L118" i="1"/>
  <c r="K126" i="1"/>
  <c r="P297" i="1"/>
  <c r="P308" i="1"/>
  <c r="N309" i="1"/>
  <c r="L310" i="1"/>
  <c r="P309" i="1"/>
  <c r="J310" i="1"/>
  <c r="J200" i="1"/>
  <c r="Q297" i="1"/>
  <c r="Q308" i="1"/>
  <c r="O309" i="1"/>
  <c r="M310" i="1"/>
  <c r="I103" i="1"/>
  <c r="I175" i="1" s="1"/>
  <c r="I101" i="1"/>
  <c r="I178" i="1" s="1"/>
  <c r="J90" i="1"/>
  <c r="K90" i="1"/>
  <c r="L90" i="1"/>
  <c r="M90" i="1"/>
  <c r="N90" i="1"/>
  <c r="O90" i="1"/>
  <c r="P90" i="1"/>
  <c r="Q90" i="1"/>
  <c r="R90" i="1"/>
  <c r="I90" i="1"/>
  <c r="L123" i="1" l="1"/>
  <c r="I282" i="1"/>
  <c r="I387" i="1" s="1"/>
  <c r="L124" i="1"/>
  <c r="M124" i="1" s="1"/>
  <c r="K230" i="1"/>
  <c r="J290" i="1"/>
  <c r="J397" i="1" s="1"/>
  <c r="J211" i="1"/>
  <c r="K211" i="1" s="1"/>
  <c r="L211" i="1" s="1"/>
  <c r="M211" i="1" s="1"/>
  <c r="N211" i="1" s="1"/>
  <c r="O211" i="1" s="1"/>
  <c r="P211" i="1" s="1"/>
  <c r="Q211" i="1" s="1"/>
  <c r="R211" i="1" s="1"/>
  <c r="K258" i="1"/>
  <c r="L258" i="1" s="1"/>
  <c r="M258" i="1" s="1"/>
  <c r="N258" i="1" s="1"/>
  <c r="O258" i="1" s="1"/>
  <c r="P258" i="1" s="1"/>
  <c r="Q258" i="1" s="1"/>
  <c r="R258" i="1" s="1"/>
  <c r="L153" i="1"/>
  <c r="M153" i="1" s="1"/>
  <c r="J161" i="1"/>
  <c r="K161" i="1" s="1"/>
  <c r="I298" i="1"/>
  <c r="I259" i="1"/>
  <c r="I287" i="1"/>
  <c r="I394" i="1" s="1"/>
  <c r="K221" i="1"/>
  <c r="J166" i="1"/>
  <c r="K166" i="1" s="1"/>
  <c r="J101" i="1"/>
  <c r="J178" i="1" s="1"/>
  <c r="K200" i="1"/>
  <c r="K279" i="1"/>
  <c r="K384" i="1" s="1"/>
  <c r="L150" i="1"/>
  <c r="M160" i="1"/>
  <c r="L306" i="1"/>
  <c r="K240" i="1"/>
  <c r="K290" i="1" s="1"/>
  <c r="K397" i="1" s="1"/>
  <c r="L138" i="1"/>
  <c r="L126" i="1"/>
  <c r="K206" i="1"/>
  <c r="J282" i="1"/>
  <c r="J387" i="1" s="1"/>
  <c r="K151" i="1"/>
  <c r="M118" i="1"/>
  <c r="L189" i="1"/>
  <c r="L277" i="1" s="1"/>
  <c r="L382" i="1" s="1"/>
  <c r="J243" i="1"/>
  <c r="K143" i="1"/>
  <c r="J231" i="1"/>
  <c r="J287" i="1" s="1"/>
  <c r="J394" i="1" s="1"/>
  <c r="K134" i="1"/>
  <c r="M123" i="1"/>
  <c r="L198" i="1"/>
  <c r="M159" i="1"/>
  <c r="L305" i="1"/>
  <c r="L262" i="1" s="1"/>
  <c r="K155" i="1"/>
  <c r="J298" i="1"/>
  <c r="K144" i="1"/>
  <c r="J249" i="1"/>
  <c r="J103" i="1"/>
  <c r="J175" i="1" s="1"/>
  <c r="H104" i="1"/>
  <c r="G104" i="1"/>
  <c r="F104" i="1"/>
  <c r="L199" i="1" l="1"/>
  <c r="L281" i="1" s="1"/>
  <c r="L386" i="1" s="1"/>
  <c r="L296" i="1"/>
  <c r="L221" i="1" s="1"/>
  <c r="J307" i="1"/>
  <c r="J311" i="1" s="1"/>
  <c r="K241" i="1"/>
  <c r="K101" i="1"/>
  <c r="L101" i="1" s="1"/>
  <c r="J292" i="1"/>
  <c r="J399" i="1" s="1"/>
  <c r="J313" i="1"/>
  <c r="J259" i="1" s="1"/>
  <c r="I229" i="1"/>
  <c r="J229" i="1" s="1"/>
  <c r="L279" i="1"/>
  <c r="L384" i="1" s="1"/>
  <c r="M150" i="1"/>
  <c r="M138" i="1"/>
  <c r="L240" i="1"/>
  <c r="L290" i="1" s="1"/>
  <c r="L397" i="1" s="1"/>
  <c r="L143" i="1"/>
  <c r="K243" i="1"/>
  <c r="L161" i="1"/>
  <c r="K307" i="1"/>
  <c r="K311" i="1" s="1"/>
  <c r="L134" i="1"/>
  <c r="K231" i="1"/>
  <c r="L155" i="1"/>
  <c r="K298" i="1"/>
  <c r="N160" i="1"/>
  <c r="M306" i="1"/>
  <c r="L144" i="1"/>
  <c r="K249" i="1"/>
  <c r="N159" i="1"/>
  <c r="M305" i="1"/>
  <c r="N124" i="1"/>
  <c r="M199" i="1"/>
  <c r="N118" i="1"/>
  <c r="M189" i="1"/>
  <c r="M277" i="1" s="1"/>
  <c r="M382" i="1" s="1"/>
  <c r="M126" i="1"/>
  <c r="L206" i="1"/>
  <c r="L166" i="1"/>
  <c r="K313" i="1"/>
  <c r="L200" i="1"/>
  <c r="K282" i="1"/>
  <c r="K387" i="1" s="1"/>
  <c r="L151" i="1"/>
  <c r="N123" i="1"/>
  <c r="M198" i="1"/>
  <c r="N153" i="1"/>
  <c r="M296" i="1"/>
  <c r="K103" i="1"/>
  <c r="K175" i="1" s="1"/>
  <c r="J76" i="1"/>
  <c r="K76" i="1"/>
  <c r="L76" i="1"/>
  <c r="M76" i="1"/>
  <c r="N76" i="1"/>
  <c r="O76" i="1"/>
  <c r="P76" i="1"/>
  <c r="Q76" i="1"/>
  <c r="R76" i="1"/>
  <c r="J80" i="1"/>
  <c r="K80" i="1"/>
  <c r="L80" i="1"/>
  <c r="M80" i="1"/>
  <c r="N80" i="1"/>
  <c r="O80" i="1"/>
  <c r="P80" i="1"/>
  <c r="Q80" i="1"/>
  <c r="R80" i="1"/>
  <c r="I80" i="1"/>
  <c r="I76" i="1"/>
  <c r="I71" i="1"/>
  <c r="H75" i="1"/>
  <c r="L230" i="1" l="1"/>
  <c r="K178" i="1"/>
  <c r="L241" i="1"/>
  <c r="K229" i="1"/>
  <c r="K259" i="1"/>
  <c r="M221" i="1"/>
  <c r="K287" i="1"/>
  <c r="K394" i="1" s="1"/>
  <c r="K292" i="1"/>
  <c r="K399" i="1" s="1"/>
  <c r="M262" i="1"/>
  <c r="N150" i="1"/>
  <c r="M279" i="1"/>
  <c r="M384" i="1" s="1"/>
  <c r="M200" i="1"/>
  <c r="M281" i="1"/>
  <c r="M386" i="1" s="1"/>
  <c r="O153" i="1"/>
  <c r="N296" i="1"/>
  <c r="N126" i="1"/>
  <c r="M206" i="1"/>
  <c r="O159" i="1"/>
  <c r="N305" i="1"/>
  <c r="M134" i="1"/>
  <c r="L231" i="1"/>
  <c r="L287" i="1" s="1"/>
  <c r="L394" i="1" s="1"/>
  <c r="O123" i="1"/>
  <c r="N198" i="1"/>
  <c r="M151" i="1"/>
  <c r="L282" i="1"/>
  <c r="L387" i="1" s="1"/>
  <c r="O118" i="1"/>
  <c r="N189" i="1"/>
  <c r="N277" i="1" s="1"/>
  <c r="N382" i="1" s="1"/>
  <c r="M144" i="1"/>
  <c r="L249" i="1"/>
  <c r="M161" i="1"/>
  <c r="L307" i="1"/>
  <c r="L311" i="1" s="1"/>
  <c r="O160" i="1"/>
  <c r="N306" i="1"/>
  <c r="I73" i="1"/>
  <c r="I72" i="1" s="1"/>
  <c r="O124" i="1"/>
  <c r="N199" i="1"/>
  <c r="N281" i="1" s="1"/>
  <c r="N386" i="1" s="1"/>
  <c r="M143" i="1"/>
  <c r="L243" i="1"/>
  <c r="J71" i="1"/>
  <c r="K71" i="1" s="1"/>
  <c r="L71" i="1" s="1"/>
  <c r="M71" i="1" s="1"/>
  <c r="N71" i="1" s="1"/>
  <c r="O71" i="1" s="1"/>
  <c r="P71" i="1" s="1"/>
  <c r="Q71" i="1" s="1"/>
  <c r="R71" i="1" s="1"/>
  <c r="R73" i="1" s="1"/>
  <c r="R72" i="1" s="1"/>
  <c r="M166" i="1"/>
  <c r="L313" i="1"/>
  <c r="M101" i="1"/>
  <c r="L178" i="1"/>
  <c r="M155" i="1"/>
  <c r="L298" i="1"/>
  <c r="N138" i="1"/>
  <c r="M240" i="1"/>
  <c r="M290" i="1" s="1"/>
  <c r="M397" i="1" s="1"/>
  <c r="L103" i="1"/>
  <c r="L175" i="1" s="1"/>
  <c r="J61" i="1"/>
  <c r="K61" i="1" s="1"/>
  <c r="L61" i="1" s="1"/>
  <c r="M61" i="1" s="1"/>
  <c r="N61" i="1" s="1"/>
  <c r="O61" i="1" s="1"/>
  <c r="P61" i="1" s="1"/>
  <c r="Q61" i="1" s="1"/>
  <c r="R61" i="1" s="1"/>
  <c r="I54" i="1"/>
  <c r="J54" i="1" s="1"/>
  <c r="K54" i="1" s="1"/>
  <c r="H55" i="1"/>
  <c r="H60" i="1" s="1"/>
  <c r="G60" i="1" s="1"/>
  <c r="G55" i="1" s="1"/>
  <c r="H82" i="1"/>
  <c r="H78" i="1" s="1"/>
  <c r="I78" i="1" s="1"/>
  <c r="J78" i="1" s="1"/>
  <c r="K78" i="1" s="1"/>
  <c r="L78" i="1" s="1"/>
  <c r="G82" i="1"/>
  <c r="F82" i="1"/>
  <c r="E82" i="1"/>
  <c r="E83" i="1" s="1"/>
  <c r="H64" i="1"/>
  <c r="N221" i="1" l="1"/>
  <c r="M241" i="1"/>
  <c r="M230" i="1"/>
  <c r="N230" i="1" s="1"/>
  <c r="L229" i="1"/>
  <c r="K73" i="1"/>
  <c r="K72" i="1" s="1"/>
  <c r="K82" i="1" s="1"/>
  <c r="K174" i="1" s="1"/>
  <c r="N200" i="1"/>
  <c r="L292" i="1"/>
  <c r="L399" i="1" s="1"/>
  <c r="N262" i="1"/>
  <c r="L259" i="1"/>
  <c r="P73" i="1"/>
  <c r="P72" i="1" s="1"/>
  <c r="M73" i="1"/>
  <c r="M72" i="1" s="1"/>
  <c r="Q73" i="1"/>
  <c r="Q72" i="1" s="1"/>
  <c r="J73" i="1"/>
  <c r="J72" i="1" s="1"/>
  <c r="J82" i="1" s="1"/>
  <c r="J174" i="1" s="1"/>
  <c r="N73" i="1"/>
  <c r="N72" i="1" s="1"/>
  <c r="O150" i="1"/>
  <c r="N279" i="1"/>
  <c r="N384" i="1" s="1"/>
  <c r="N166" i="1"/>
  <c r="M313" i="1"/>
  <c r="P118" i="1"/>
  <c r="O189" i="1"/>
  <c r="O277" i="1" s="1"/>
  <c r="O382" i="1" s="1"/>
  <c r="P159" i="1"/>
  <c r="O305" i="1"/>
  <c r="O73" i="1"/>
  <c r="O72" i="1" s="1"/>
  <c r="O138" i="1"/>
  <c r="N240" i="1"/>
  <c r="N290" i="1" s="1"/>
  <c r="N397" i="1" s="1"/>
  <c r="P160" i="1"/>
  <c r="O306" i="1"/>
  <c r="N151" i="1"/>
  <c r="M282" i="1"/>
  <c r="M387" i="1" s="1"/>
  <c r="O126" i="1"/>
  <c r="N206" i="1"/>
  <c r="N155" i="1"/>
  <c r="M298" i="1"/>
  <c r="P153" i="1"/>
  <c r="O296" i="1"/>
  <c r="P124" i="1"/>
  <c r="O199" i="1"/>
  <c r="O281" i="1" s="1"/>
  <c r="O386" i="1" s="1"/>
  <c r="N143" i="1"/>
  <c r="M243" i="1"/>
  <c r="N161" i="1"/>
  <c r="M307" i="1"/>
  <c r="M311" i="1" s="1"/>
  <c r="P123" i="1"/>
  <c r="O198" i="1"/>
  <c r="I55" i="1"/>
  <c r="I56" i="1" s="1"/>
  <c r="L73" i="1"/>
  <c r="L72" i="1" s="1"/>
  <c r="L82" i="1" s="1"/>
  <c r="L174" i="1" s="1"/>
  <c r="N101" i="1"/>
  <c r="M178" i="1"/>
  <c r="N144" i="1"/>
  <c r="M249" i="1"/>
  <c r="N134" i="1"/>
  <c r="M231" i="1"/>
  <c r="M287" i="1" s="1"/>
  <c r="M394" i="1" s="1"/>
  <c r="M103" i="1"/>
  <c r="M175" i="1" s="1"/>
  <c r="M78" i="1"/>
  <c r="G58" i="1"/>
  <c r="H56" i="1"/>
  <c r="I60" i="1"/>
  <c r="I82" i="1"/>
  <c r="L54" i="1"/>
  <c r="K55" i="1"/>
  <c r="J55" i="1"/>
  <c r="H83" i="1"/>
  <c r="F83" i="1"/>
  <c r="G83" i="1"/>
  <c r="O221" i="1" l="1"/>
  <c r="N241" i="1"/>
  <c r="M292" i="1"/>
  <c r="M399" i="1" s="1"/>
  <c r="M259" i="1"/>
  <c r="O230" i="1"/>
  <c r="O262" i="1"/>
  <c r="M229" i="1"/>
  <c r="K56" i="1"/>
  <c r="P150" i="1"/>
  <c r="O279" i="1"/>
  <c r="O384" i="1" s="1"/>
  <c r="O101" i="1"/>
  <c r="N178" i="1"/>
  <c r="O143" i="1"/>
  <c r="N243" i="1"/>
  <c r="P126" i="1"/>
  <c r="O206" i="1"/>
  <c r="O151" i="1"/>
  <c r="N282" i="1"/>
  <c r="N387" i="1" s="1"/>
  <c r="O200" i="1"/>
  <c r="Q159" i="1"/>
  <c r="P305" i="1"/>
  <c r="Q124" i="1"/>
  <c r="P199" i="1"/>
  <c r="P281" i="1" s="1"/>
  <c r="P386" i="1" s="1"/>
  <c r="O134" i="1"/>
  <c r="N231" i="1"/>
  <c r="Q160" i="1"/>
  <c r="P306" i="1"/>
  <c r="Q118" i="1"/>
  <c r="P189" i="1"/>
  <c r="P277" i="1" s="1"/>
  <c r="P382" i="1" s="1"/>
  <c r="Q153" i="1"/>
  <c r="P296" i="1"/>
  <c r="O144" i="1"/>
  <c r="N249" i="1"/>
  <c r="O161" i="1"/>
  <c r="N307" i="1"/>
  <c r="N311" i="1" s="1"/>
  <c r="O155" i="1"/>
  <c r="N298" i="1"/>
  <c r="P138" i="1"/>
  <c r="O240" i="1"/>
  <c r="O290" i="1" s="1"/>
  <c r="O397" i="1" s="1"/>
  <c r="Q123" i="1"/>
  <c r="P198" i="1"/>
  <c r="J56" i="1"/>
  <c r="O166" i="1"/>
  <c r="N313" i="1"/>
  <c r="J83" i="1"/>
  <c r="L83" i="1"/>
  <c r="I83" i="1"/>
  <c r="I174" i="1"/>
  <c r="N103" i="1"/>
  <c r="N175" i="1" s="1"/>
  <c r="K83" i="1"/>
  <c r="N78" i="1"/>
  <c r="M82" i="1"/>
  <c r="M174" i="1" s="1"/>
  <c r="I63" i="1"/>
  <c r="J60" i="1"/>
  <c r="L55" i="1"/>
  <c r="L56" i="1" s="1"/>
  <c r="M54" i="1"/>
  <c r="P221" i="1" l="1"/>
  <c r="O241" i="1"/>
  <c r="N229" i="1"/>
  <c r="P262" i="1"/>
  <c r="P230" i="1"/>
  <c r="N292" i="1"/>
  <c r="N399" i="1" s="1"/>
  <c r="N259" i="1"/>
  <c r="N287" i="1"/>
  <c r="N394" i="1" s="1"/>
  <c r="Q150" i="1"/>
  <c r="P279" i="1"/>
  <c r="P384" i="1" s="1"/>
  <c r="R118" i="1"/>
  <c r="R189" i="1" s="1"/>
  <c r="R277" i="1" s="1"/>
  <c r="R382" i="1" s="1"/>
  <c r="Q189" i="1"/>
  <c r="Q277" i="1" s="1"/>
  <c r="Q382" i="1" s="1"/>
  <c r="R123" i="1"/>
  <c r="R198" i="1" s="1"/>
  <c r="Q198" i="1"/>
  <c r="P144" i="1"/>
  <c r="O249" i="1"/>
  <c r="P134" i="1"/>
  <c r="O231" i="1"/>
  <c r="R159" i="1"/>
  <c r="R305" i="1" s="1"/>
  <c r="Q305" i="1"/>
  <c r="Q138" i="1"/>
  <c r="P240" i="1"/>
  <c r="P290" i="1" s="1"/>
  <c r="P397" i="1" s="1"/>
  <c r="R153" i="1"/>
  <c r="R296" i="1" s="1"/>
  <c r="Q296" i="1"/>
  <c r="R124" i="1"/>
  <c r="R199" i="1" s="1"/>
  <c r="R281" i="1" s="1"/>
  <c r="R386" i="1" s="1"/>
  <c r="Q199" i="1"/>
  <c r="Q281" i="1" s="1"/>
  <c r="Q386" i="1" s="1"/>
  <c r="Q126" i="1"/>
  <c r="P206" i="1"/>
  <c r="P155" i="1"/>
  <c r="O298" i="1"/>
  <c r="P166" i="1"/>
  <c r="O313" i="1"/>
  <c r="P143" i="1"/>
  <c r="O243" i="1"/>
  <c r="P161" i="1"/>
  <c r="O307" i="1"/>
  <c r="O311" i="1" s="1"/>
  <c r="R160" i="1"/>
  <c r="R306" i="1" s="1"/>
  <c r="Q306" i="1"/>
  <c r="P200" i="1"/>
  <c r="P151" i="1"/>
  <c r="O282" i="1"/>
  <c r="O387" i="1" s="1"/>
  <c r="P101" i="1"/>
  <c r="O178" i="1"/>
  <c r="I64" i="1"/>
  <c r="I173" i="1"/>
  <c r="O103" i="1"/>
  <c r="O175" i="1" s="1"/>
  <c r="M83" i="1"/>
  <c r="K60" i="1"/>
  <c r="J63" i="1"/>
  <c r="J173" i="1" s="1"/>
  <c r="O78" i="1"/>
  <c r="N82" i="1"/>
  <c r="N174" i="1" s="1"/>
  <c r="N54" i="1"/>
  <c r="M55" i="1"/>
  <c r="M56" i="1" s="1"/>
  <c r="P241" i="1" l="1"/>
  <c r="O292" i="1"/>
  <c r="O399" i="1" s="1"/>
  <c r="O259" i="1"/>
  <c r="O287" i="1"/>
  <c r="O394" i="1" s="1"/>
  <c r="Q221" i="1"/>
  <c r="R221" i="1" s="1"/>
  <c r="Q200" i="1"/>
  <c r="Q230" i="1"/>
  <c r="R230" i="1" s="1"/>
  <c r="O229" i="1"/>
  <c r="Q262" i="1"/>
  <c r="R262" i="1" s="1"/>
  <c r="Q279" i="1"/>
  <c r="Q384" i="1" s="1"/>
  <c r="R150" i="1"/>
  <c r="R279" i="1" s="1"/>
  <c r="R384" i="1" s="1"/>
  <c r="Q151" i="1"/>
  <c r="P282" i="1"/>
  <c r="P387" i="1" s="1"/>
  <c r="Q143" i="1"/>
  <c r="P243" i="1"/>
  <c r="Q134" i="1"/>
  <c r="P231" i="1"/>
  <c r="Q166" i="1"/>
  <c r="P313" i="1"/>
  <c r="Q144" i="1"/>
  <c r="P249" i="1"/>
  <c r="R138" i="1"/>
  <c r="R240" i="1" s="1"/>
  <c r="Q240" i="1"/>
  <c r="Q290" i="1" s="1"/>
  <c r="Q397" i="1" s="1"/>
  <c r="R200" i="1"/>
  <c r="Q155" i="1"/>
  <c r="P298" i="1"/>
  <c r="Q101" i="1"/>
  <c r="P178" i="1"/>
  <c r="Q161" i="1"/>
  <c r="P307" i="1"/>
  <c r="P311" i="1" s="1"/>
  <c r="R126" i="1"/>
  <c r="R206" i="1" s="1"/>
  <c r="Q206" i="1"/>
  <c r="J64" i="1"/>
  <c r="P103" i="1"/>
  <c r="P175" i="1" s="1"/>
  <c r="N83" i="1"/>
  <c r="P78" i="1"/>
  <c r="O82" i="1"/>
  <c r="O174" i="1" s="1"/>
  <c r="L60" i="1"/>
  <c r="K63" i="1"/>
  <c r="K173" i="1" s="1"/>
  <c r="O54" i="1"/>
  <c r="N55" i="1"/>
  <c r="N56" i="1" s="1"/>
  <c r="P292" i="1" l="1"/>
  <c r="P399" i="1" s="1"/>
  <c r="Q241" i="1"/>
  <c r="R241" i="1" s="1"/>
  <c r="R290" i="1"/>
  <c r="R397" i="1" s="1"/>
  <c r="P229" i="1"/>
  <c r="P259" i="1"/>
  <c r="P287" i="1"/>
  <c r="P394" i="1" s="1"/>
  <c r="R155" i="1"/>
  <c r="R298" i="1" s="1"/>
  <c r="Q298" i="1"/>
  <c r="R134" i="1"/>
  <c r="R231" i="1" s="1"/>
  <c r="Q231" i="1"/>
  <c r="R166" i="1"/>
  <c r="R313" i="1" s="1"/>
  <c r="Q313" i="1"/>
  <c r="R143" i="1"/>
  <c r="R243" i="1" s="1"/>
  <c r="Q243" i="1"/>
  <c r="Q292" i="1" s="1"/>
  <c r="Q399" i="1" s="1"/>
  <c r="R151" i="1"/>
  <c r="R282" i="1" s="1"/>
  <c r="R387" i="1" s="1"/>
  <c r="Q282" i="1"/>
  <c r="Q387" i="1" s="1"/>
  <c r="R161" i="1"/>
  <c r="R307" i="1" s="1"/>
  <c r="R311" i="1" s="1"/>
  <c r="Q307" i="1"/>
  <c r="Q311" i="1" s="1"/>
  <c r="R144" i="1"/>
  <c r="R249" i="1" s="1"/>
  <c r="Q249" i="1"/>
  <c r="R101" i="1"/>
  <c r="R178" i="1" s="1"/>
  <c r="Q178" i="1"/>
  <c r="Q103" i="1"/>
  <c r="Q175" i="1" s="1"/>
  <c r="O83" i="1"/>
  <c r="K64" i="1"/>
  <c r="M60" i="1"/>
  <c r="L63" i="1"/>
  <c r="L173" i="1" s="1"/>
  <c r="Q78" i="1"/>
  <c r="P82" i="1"/>
  <c r="P174" i="1" s="1"/>
  <c r="O55" i="1"/>
  <c r="O56" i="1" s="1"/>
  <c r="P54" i="1"/>
  <c r="Q229" i="1" l="1"/>
  <c r="R229" i="1" s="1"/>
  <c r="R287" i="1"/>
  <c r="R394" i="1" s="1"/>
  <c r="R292" i="1"/>
  <c r="R399" i="1" s="1"/>
  <c r="Q259" i="1"/>
  <c r="R259" i="1" s="1"/>
  <c r="Q287" i="1"/>
  <c r="Q394" i="1" s="1"/>
  <c r="L64" i="1"/>
  <c r="R103" i="1"/>
  <c r="R175" i="1" s="1"/>
  <c r="P83" i="1"/>
  <c r="R78" i="1"/>
  <c r="R82" i="1" s="1"/>
  <c r="R174" i="1" s="1"/>
  <c r="Q82" i="1"/>
  <c r="Q174" i="1" s="1"/>
  <c r="N60" i="1"/>
  <c r="M63" i="1"/>
  <c r="M173" i="1" s="1"/>
  <c r="P55" i="1"/>
  <c r="P56" i="1" s="1"/>
  <c r="Q54" i="1"/>
  <c r="Q83" i="1" l="1"/>
  <c r="M64" i="1"/>
  <c r="O60" i="1"/>
  <c r="N63" i="1"/>
  <c r="N173" i="1" s="1"/>
  <c r="R83" i="1"/>
  <c r="R54" i="1"/>
  <c r="R55" i="1" s="1"/>
  <c r="Q55" i="1"/>
  <c r="Q56" i="1" s="1"/>
  <c r="R56" i="1" l="1"/>
  <c r="N64" i="1"/>
  <c r="P60" i="1"/>
  <c r="O63" i="1"/>
  <c r="O173" i="1" s="1"/>
  <c r="J47" i="1"/>
  <c r="J95" i="1" s="1"/>
  <c r="K47" i="1"/>
  <c r="K95" i="1" s="1"/>
  <c r="L47" i="1"/>
  <c r="L95" i="1" s="1"/>
  <c r="M47" i="1"/>
  <c r="M95" i="1" s="1"/>
  <c r="N47" i="1"/>
  <c r="N95" i="1" s="1"/>
  <c r="O47" i="1"/>
  <c r="O95" i="1" s="1"/>
  <c r="P47" i="1"/>
  <c r="P95" i="1" s="1"/>
  <c r="Q47" i="1"/>
  <c r="Q95" i="1" s="1"/>
  <c r="R47" i="1"/>
  <c r="R95" i="1" s="1"/>
  <c r="I47" i="1"/>
  <c r="I95" i="1" s="1"/>
  <c r="J43" i="1"/>
  <c r="K43" i="1"/>
  <c r="L43" i="1"/>
  <c r="M43" i="1"/>
  <c r="N43" i="1"/>
  <c r="O43" i="1"/>
  <c r="P43" i="1"/>
  <c r="Q43" i="1"/>
  <c r="R43" i="1"/>
  <c r="I43" i="1"/>
  <c r="I37" i="1"/>
  <c r="J37" i="1" s="1"/>
  <c r="G39" i="1"/>
  <c r="G87" i="1" s="1"/>
  <c r="H39" i="1"/>
  <c r="F39" i="1"/>
  <c r="E39" i="1"/>
  <c r="I39" i="1" l="1"/>
  <c r="I87" i="1" s="1"/>
  <c r="I92" i="1" s="1"/>
  <c r="F45" i="1"/>
  <c r="F87" i="1"/>
  <c r="O64" i="1"/>
  <c r="H40" i="1"/>
  <c r="H87" i="1"/>
  <c r="E42" i="1"/>
  <c r="E87" i="1"/>
  <c r="Q60" i="1"/>
  <c r="P63" i="1"/>
  <c r="P173" i="1" s="1"/>
  <c r="G40" i="1"/>
  <c r="K37" i="1"/>
  <c r="L37" i="1" s="1"/>
  <c r="M37" i="1" s="1"/>
  <c r="N37" i="1" s="1"/>
  <c r="J39" i="1"/>
  <c r="H42" i="1"/>
  <c r="G42" i="1"/>
  <c r="F42" i="1"/>
  <c r="E45" i="1"/>
  <c r="F40" i="1"/>
  <c r="G45" i="1"/>
  <c r="H45" i="1"/>
  <c r="I94" i="1" s="1"/>
  <c r="I40" i="1" l="1"/>
  <c r="F46" i="1"/>
  <c r="I97" i="1"/>
  <c r="I98" i="1" s="1"/>
  <c r="J94" i="1"/>
  <c r="J40" i="1"/>
  <c r="J87" i="1"/>
  <c r="J92" i="1" s="1"/>
  <c r="G46" i="1"/>
  <c r="L39" i="1"/>
  <c r="L87" i="1" s="1"/>
  <c r="L92" i="1" s="1"/>
  <c r="P64" i="1"/>
  <c r="R60" i="1"/>
  <c r="R63" i="1" s="1"/>
  <c r="R173" i="1" s="1"/>
  <c r="Q63" i="1"/>
  <c r="Q173" i="1" s="1"/>
  <c r="H46" i="1"/>
  <c r="K39" i="1"/>
  <c r="O37" i="1"/>
  <c r="N39" i="1"/>
  <c r="N87" i="1" s="1"/>
  <c r="N92" i="1" s="1"/>
  <c r="M39" i="1"/>
  <c r="D270" i="1"/>
  <c r="D217" i="1"/>
  <c r="L40" i="1" l="1"/>
  <c r="Q64" i="1"/>
  <c r="M40" i="1"/>
  <c r="M87" i="1"/>
  <c r="M92" i="1" s="1"/>
  <c r="K40" i="1"/>
  <c r="K87" i="1"/>
  <c r="K92" i="1" s="1"/>
  <c r="J97" i="1"/>
  <c r="J98" i="1" s="1"/>
  <c r="J177" i="1" s="1"/>
  <c r="K94" i="1"/>
  <c r="I177" i="1"/>
  <c r="I99" i="1"/>
  <c r="R64" i="1"/>
  <c r="N40" i="1"/>
  <c r="P37" i="1"/>
  <c r="O39" i="1"/>
  <c r="D12" i="1"/>
  <c r="D324" i="1" s="1"/>
  <c r="I408" i="1" s="1"/>
  <c r="I409" i="1" l="1"/>
  <c r="J408" i="1"/>
  <c r="J99" i="1"/>
  <c r="L94" i="1"/>
  <c r="K97" i="1"/>
  <c r="K98" i="1" s="1"/>
  <c r="K177" i="1" s="1"/>
  <c r="O40" i="1"/>
  <c r="O87" i="1"/>
  <c r="O92" i="1" s="1"/>
  <c r="Q37" i="1"/>
  <c r="P39" i="1"/>
  <c r="I269" i="1"/>
  <c r="E269" i="1"/>
  <c r="I216" i="1"/>
  <c r="E216" i="1"/>
  <c r="I168" i="1"/>
  <c r="E168" i="1"/>
  <c r="I128" i="1"/>
  <c r="E128" i="1"/>
  <c r="K408" i="1" l="1"/>
  <c r="J409" i="1"/>
  <c r="K99" i="1"/>
  <c r="M94" i="1"/>
  <c r="L97" i="1"/>
  <c r="L98" i="1" s="1"/>
  <c r="L177" i="1" s="1"/>
  <c r="P40" i="1"/>
  <c r="P87" i="1"/>
  <c r="P92" i="1" s="1"/>
  <c r="R37" i="1"/>
  <c r="R39" i="1" s="1"/>
  <c r="R87" i="1" s="1"/>
  <c r="R92" i="1" s="1"/>
  <c r="Q39" i="1"/>
  <c r="D169" i="1"/>
  <c r="F261" i="1"/>
  <c r="F263" i="1" s="1"/>
  <c r="G261" i="1"/>
  <c r="G263" i="1" s="1"/>
  <c r="H261" i="1"/>
  <c r="H263" i="1" s="1"/>
  <c r="E261" i="1"/>
  <c r="E263" i="1" s="1"/>
  <c r="K409" i="1" l="1"/>
  <c r="L408" i="1"/>
  <c r="Q40" i="1"/>
  <c r="Q87" i="1"/>
  <c r="Q92" i="1" s="1"/>
  <c r="L99" i="1"/>
  <c r="N94" i="1"/>
  <c r="M97" i="1"/>
  <c r="M98" i="1" s="1"/>
  <c r="M177" i="1" s="1"/>
  <c r="R40" i="1"/>
  <c r="F251" i="1"/>
  <c r="G251" i="1"/>
  <c r="H251" i="1"/>
  <c r="E251" i="1"/>
  <c r="L409" i="1" l="1"/>
  <c r="M408" i="1"/>
  <c r="M99" i="1"/>
  <c r="O94" i="1"/>
  <c r="N97" i="1"/>
  <c r="N98" i="1" s="1"/>
  <c r="N177" i="1" s="1"/>
  <c r="F200" i="1"/>
  <c r="H200" i="1"/>
  <c r="E200" i="1"/>
  <c r="G200" i="1"/>
  <c r="M409" i="1" l="1"/>
  <c r="N408" i="1"/>
  <c r="N99" i="1"/>
  <c r="P94" i="1"/>
  <c r="O97" i="1"/>
  <c r="O98" i="1" s="1"/>
  <c r="O177" i="1" s="1"/>
  <c r="H50" i="1"/>
  <c r="G50" i="1"/>
  <c r="F50" i="1"/>
  <c r="O408" i="1" l="1"/>
  <c r="N409" i="1"/>
  <c r="O99" i="1"/>
  <c r="Q94" i="1"/>
  <c r="P97" i="1"/>
  <c r="P98" i="1" s="1"/>
  <c r="P177" i="1" s="1"/>
  <c r="F179" i="1"/>
  <c r="F370" i="1" s="1"/>
  <c r="E179" i="1"/>
  <c r="E370" i="1" s="1"/>
  <c r="G179" i="1"/>
  <c r="G370" i="1" s="1"/>
  <c r="H179" i="1"/>
  <c r="H370" i="1" s="1"/>
  <c r="P408" i="1" l="1"/>
  <c r="O409" i="1"/>
  <c r="H146" i="1"/>
  <c r="H140" i="1"/>
  <c r="H131" i="1"/>
  <c r="H147" i="1"/>
  <c r="H116" i="1"/>
  <c r="H112" i="1"/>
  <c r="H109" i="1"/>
  <c r="H141" i="1"/>
  <c r="H148" i="1"/>
  <c r="E141" i="1"/>
  <c r="E112" i="1"/>
  <c r="E140" i="1"/>
  <c r="E148" i="1"/>
  <c r="E109" i="1"/>
  <c r="E116" i="1"/>
  <c r="E147" i="1"/>
  <c r="E146" i="1"/>
  <c r="E131" i="1"/>
  <c r="F131" i="1"/>
  <c r="F112" i="1"/>
  <c r="F147" i="1"/>
  <c r="F141" i="1"/>
  <c r="F109" i="1"/>
  <c r="F116" i="1"/>
  <c r="F148" i="1"/>
  <c r="F140" i="1"/>
  <c r="F146" i="1"/>
  <c r="G116" i="1"/>
  <c r="G112" i="1"/>
  <c r="G146" i="1"/>
  <c r="G140" i="1"/>
  <c r="G147" i="1"/>
  <c r="G141" i="1"/>
  <c r="G109" i="1"/>
  <c r="G131" i="1"/>
  <c r="G148" i="1"/>
  <c r="P99" i="1"/>
  <c r="R94" i="1"/>
  <c r="R97" i="1" s="1"/>
  <c r="R98" i="1" s="1"/>
  <c r="R177" i="1" s="1"/>
  <c r="Q97" i="1"/>
  <c r="Q98" i="1" s="1"/>
  <c r="Q177" i="1" s="1"/>
  <c r="E180" i="1"/>
  <c r="E371" i="1" s="1"/>
  <c r="Q408" i="1" l="1"/>
  <c r="P409" i="1"/>
  <c r="I116" i="1"/>
  <c r="I147" i="1"/>
  <c r="J147" i="1" s="1"/>
  <c r="K147" i="1" s="1"/>
  <c r="L147" i="1" s="1"/>
  <c r="M147" i="1" s="1"/>
  <c r="N147" i="1" s="1"/>
  <c r="O147" i="1" s="1"/>
  <c r="P147" i="1" s="1"/>
  <c r="Q147" i="1" s="1"/>
  <c r="R147" i="1" s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R99" i="1"/>
  <c r="Q99" i="1"/>
  <c r="H232" i="1"/>
  <c r="H311" i="1"/>
  <c r="E316" i="1"/>
  <c r="H244" i="1"/>
  <c r="H253" i="1" s="1"/>
  <c r="H300" i="1"/>
  <c r="B2" i="1"/>
  <c r="R408" i="1" l="1"/>
  <c r="R409" i="1" s="1"/>
  <c r="Q409" i="1"/>
  <c r="G191" i="1"/>
  <c r="E191" i="1"/>
  <c r="H191" i="1"/>
  <c r="F191" i="1"/>
  <c r="G232" i="1"/>
  <c r="F232" i="1"/>
  <c r="E232" i="1"/>
  <c r="F311" i="1"/>
  <c r="E311" i="1"/>
  <c r="G311" i="1"/>
  <c r="G244" i="1"/>
  <c r="G253" i="1" s="1"/>
  <c r="G300" i="1"/>
  <c r="F300" i="1"/>
  <c r="F244" i="1"/>
  <c r="F253" i="1" s="1"/>
  <c r="E300" i="1"/>
  <c r="E244" i="1"/>
  <c r="E253" i="1" s="1"/>
  <c r="F133" i="1" l="1"/>
  <c r="F137" i="1"/>
  <c r="H137" i="1"/>
  <c r="H133" i="1"/>
  <c r="E133" i="1"/>
  <c r="E137" i="1"/>
  <c r="G137" i="1"/>
  <c r="G133" i="1"/>
  <c r="D129" i="1"/>
  <c r="I137" i="1" l="1"/>
  <c r="J137" i="1" s="1"/>
  <c r="K137" i="1" s="1"/>
  <c r="L137" i="1" s="1"/>
  <c r="M137" i="1" s="1"/>
  <c r="N137" i="1" s="1"/>
  <c r="O137" i="1" s="1"/>
  <c r="P137" i="1" s="1"/>
  <c r="Q137" i="1" s="1"/>
  <c r="R137" i="1" s="1"/>
  <c r="E183" i="1"/>
  <c r="F265" i="1"/>
  <c r="E265" i="1"/>
  <c r="E184" i="1" l="1"/>
  <c r="H265" i="1"/>
  <c r="G265" i="1"/>
  <c r="I106" i="1" l="1"/>
  <c r="E106" i="1"/>
  <c r="D107" i="1"/>
  <c r="F180" i="1" l="1"/>
  <c r="F371" i="1" s="1"/>
  <c r="H180" i="1"/>
  <c r="H371" i="1" s="1"/>
  <c r="G180" i="1"/>
  <c r="G371" i="1" s="1"/>
  <c r="F183" i="1"/>
  <c r="G183" i="1"/>
  <c r="H183" i="1"/>
  <c r="H33" i="1"/>
  <c r="H368" i="1" s="1"/>
  <c r="H270" i="1" l="1"/>
  <c r="H217" i="1"/>
  <c r="H169" i="1"/>
  <c r="H129" i="1"/>
  <c r="H107" i="1"/>
  <c r="H184" i="1"/>
  <c r="H193" i="1"/>
  <c r="H372" i="1" s="1"/>
  <c r="H375" i="1" s="1"/>
  <c r="H377" i="1" s="1"/>
  <c r="H404" i="1" s="1"/>
  <c r="G184" i="1"/>
  <c r="G193" i="1"/>
  <c r="G372" i="1" s="1"/>
  <c r="G375" i="1" s="1"/>
  <c r="G377" i="1" s="1"/>
  <c r="G404" i="1" s="1"/>
  <c r="F184" i="1"/>
  <c r="G33" i="1"/>
  <c r="G368" i="1" s="1"/>
  <c r="I33" i="1"/>
  <c r="H411" i="1" l="1"/>
  <c r="G214" i="1"/>
  <c r="G413" i="1" s="1"/>
  <c r="H214" i="1"/>
  <c r="H413" i="1" s="1"/>
  <c r="I45" i="1"/>
  <c r="I49" i="1" s="1"/>
  <c r="I50" i="1" s="1"/>
  <c r="I368" i="1"/>
  <c r="H202" i="1"/>
  <c r="H209" i="1" s="1"/>
  <c r="G202" i="1"/>
  <c r="G209" i="1" s="1"/>
  <c r="I270" i="1"/>
  <c r="I217" i="1"/>
  <c r="I169" i="1"/>
  <c r="I129" i="1"/>
  <c r="G270" i="1"/>
  <c r="G217" i="1"/>
  <c r="G169" i="1"/>
  <c r="G129" i="1"/>
  <c r="I107" i="1"/>
  <c r="G107" i="1"/>
  <c r="H194" i="1"/>
  <c r="H373" i="1" s="1"/>
  <c r="G194" i="1"/>
  <c r="G373" i="1" s="1"/>
  <c r="F33" i="1"/>
  <c r="F368" i="1" s="1"/>
  <c r="J33" i="1"/>
  <c r="H414" i="1" l="1"/>
  <c r="I172" i="1"/>
  <c r="I179" i="1" s="1"/>
  <c r="J45" i="1"/>
  <c r="J49" i="1" s="1"/>
  <c r="J172" i="1" s="1"/>
  <c r="J179" i="1" s="1"/>
  <c r="J370" i="1" s="1"/>
  <c r="J368" i="1"/>
  <c r="J270" i="1"/>
  <c r="J217" i="1"/>
  <c r="J169" i="1"/>
  <c r="J129" i="1"/>
  <c r="F270" i="1"/>
  <c r="F217" i="1"/>
  <c r="F169" i="1"/>
  <c r="F129" i="1"/>
  <c r="H204" i="1"/>
  <c r="H208" i="1" s="1"/>
  <c r="H212" i="1" s="1"/>
  <c r="G204" i="1"/>
  <c r="G208" i="1" s="1"/>
  <c r="G212" i="1" s="1"/>
  <c r="J107" i="1"/>
  <c r="F107" i="1"/>
  <c r="K33" i="1"/>
  <c r="E33" i="1"/>
  <c r="E368" i="1" s="1"/>
  <c r="I247" i="1" l="1"/>
  <c r="I370" i="1"/>
  <c r="I182" i="1"/>
  <c r="I183" i="1" s="1"/>
  <c r="I184" i="1" s="1"/>
  <c r="I299" i="1"/>
  <c r="I402" i="1" s="1"/>
  <c r="I278" i="1"/>
  <c r="I222" i="1"/>
  <c r="I284" i="1" s="1"/>
  <c r="I391" i="1" s="1"/>
  <c r="I188" i="1"/>
  <c r="I242" i="1"/>
  <c r="I276" i="1"/>
  <c r="I381" i="1" s="1"/>
  <c r="AM40" i="4"/>
  <c r="I111" i="1"/>
  <c r="I187" i="1" s="1"/>
  <c r="I180" i="1"/>
  <c r="I371" i="1" s="1"/>
  <c r="AN40" i="4"/>
  <c r="AO76" i="4" s="1"/>
  <c r="AP102" i="4" s="1"/>
  <c r="I43" i="3" s="1"/>
  <c r="K45" i="1"/>
  <c r="K49" i="1" s="1"/>
  <c r="K172" i="1" s="1"/>
  <c r="K179" i="1" s="1"/>
  <c r="K370" i="1" s="1"/>
  <c r="K368" i="1"/>
  <c r="J276" i="1"/>
  <c r="J381" i="1" s="1"/>
  <c r="J278" i="1"/>
  <c r="J383" i="1" s="1"/>
  <c r="J182" i="1"/>
  <c r="J183" i="1" s="1"/>
  <c r="J184" i="1" s="1"/>
  <c r="J188" i="1"/>
  <c r="J180" i="1"/>
  <c r="J371" i="1" s="1"/>
  <c r="J247" i="1"/>
  <c r="J299" i="1"/>
  <c r="J402" i="1" s="1"/>
  <c r="J222" i="1"/>
  <c r="J242" i="1"/>
  <c r="J50" i="1"/>
  <c r="E270" i="1"/>
  <c r="E217" i="1"/>
  <c r="E169" i="1"/>
  <c r="E129" i="1"/>
  <c r="K169" i="1"/>
  <c r="K270" i="1"/>
  <c r="K129" i="1"/>
  <c r="K217" i="1"/>
  <c r="G273" i="1"/>
  <c r="G293" i="1" s="1"/>
  <c r="G315" i="1" s="1"/>
  <c r="H273" i="1"/>
  <c r="H293" i="1" s="1"/>
  <c r="H315" i="1" s="1"/>
  <c r="K107" i="1"/>
  <c r="E107" i="1"/>
  <c r="L33" i="1"/>
  <c r="I291" i="1" l="1"/>
  <c r="I398" i="1" s="1"/>
  <c r="I257" i="1"/>
  <c r="I383" i="1"/>
  <c r="I300" i="1"/>
  <c r="I191" i="1"/>
  <c r="I193" i="1" s="1"/>
  <c r="I372" i="1" s="1"/>
  <c r="I375" i="1" s="1"/>
  <c r="I377" i="1" s="1"/>
  <c r="J284" i="1"/>
  <c r="J391" i="1" s="1"/>
  <c r="AP86" i="4"/>
  <c r="I23" i="3" s="1"/>
  <c r="I238" i="1"/>
  <c r="I288" i="1" s="1"/>
  <c r="I395" i="1" s="1"/>
  <c r="I223" i="1"/>
  <c r="I285" i="1" s="1"/>
  <c r="I392" i="1" s="1"/>
  <c r="I228" i="1"/>
  <c r="J228" i="1" s="1"/>
  <c r="AP82" i="4"/>
  <c r="H23" i="3" s="1"/>
  <c r="AN76" i="4"/>
  <c r="AP98" i="4" s="1"/>
  <c r="H43" i="3" s="1"/>
  <c r="AO40" i="4"/>
  <c r="AP76" i="4" s="1"/>
  <c r="J300" i="1"/>
  <c r="J257" i="1"/>
  <c r="L45" i="1"/>
  <c r="L49" i="1" s="1"/>
  <c r="L172" i="1" s="1"/>
  <c r="L179" i="1" s="1"/>
  <c r="L370" i="1" s="1"/>
  <c r="L368" i="1"/>
  <c r="J291" i="1"/>
  <c r="J398" i="1" s="1"/>
  <c r="J223" i="1"/>
  <c r="J238" i="1"/>
  <c r="K180" i="1"/>
  <c r="K371" i="1" s="1"/>
  <c r="K276" i="1"/>
  <c r="K381" i="1" s="1"/>
  <c r="K278" i="1"/>
  <c r="K383" i="1" s="1"/>
  <c r="K182" i="1"/>
  <c r="K188" i="1"/>
  <c r="K247" i="1"/>
  <c r="K222" i="1"/>
  <c r="K284" i="1" s="1"/>
  <c r="K391" i="1" s="1"/>
  <c r="K299" i="1"/>
  <c r="K402" i="1" s="1"/>
  <c r="K242" i="1"/>
  <c r="J111" i="1"/>
  <c r="J187" i="1" s="1"/>
  <c r="J191" i="1" s="1"/>
  <c r="K50" i="1"/>
  <c r="L270" i="1"/>
  <c r="L169" i="1"/>
  <c r="L129" i="1"/>
  <c r="L217" i="1"/>
  <c r="L107" i="1"/>
  <c r="M33" i="1"/>
  <c r="I224" i="1" l="1"/>
  <c r="I286" i="1" s="1"/>
  <c r="I393" i="1" s="1"/>
  <c r="I239" i="1"/>
  <c r="I289" i="1" s="1"/>
  <c r="I396" i="1" s="1"/>
  <c r="P23" i="3"/>
  <c r="I214" i="1"/>
  <c r="I413" i="1" s="1"/>
  <c r="I414" i="1" s="1"/>
  <c r="I194" i="1"/>
  <c r="I373" i="1" s="1"/>
  <c r="I202" i="1"/>
  <c r="I203" i="1" s="1"/>
  <c r="I204" i="1" s="1"/>
  <c r="I208" i="1" s="1"/>
  <c r="AM42" i="4" s="1"/>
  <c r="I232" i="1"/>
  <c r="AP90" i="4"/>
  <c r="K257" i="1"/>
  <c r="K300" i="1"/>
  <c r="M45" i="1"/>
  <c r="M49" i="1" s="1"/>
  <c r="M172" i="1" s="1"/>
  <c r="M179" i="1" s="1"/>
  <c r="M370" i="1" s="1"/>
  <c r="M368" i="1"/>
  <c r="J285" i="1"/>
  <c r="J392" i="1" s="1"/>
  <c r="K228" i="1"/>
  <c r="J232" i="1"/>
  <c r="J288" i="1"/>
  <c r="J395" i="1" s="1"/>
  <c r="K291" i="1"/>
  <c r="K398" i="1" s="1"/>
  <c r="L276" i="1"/>
  <c r="L381" i="1" s="1"/>
  <c r="L278" i="1"/>
  <c r="L383" i="1" s="1"/>
  <c r="L180" i="1"/>
  <c r="L371" i="1" s="1"/>
  <c r="L182" i="1"/>
  <c r="L188" i="1"/>
  <c r="L242" i="1"/>
  <c r="L247" i="1"/>
  <c r="L222" i="1"/>
  <c r="L284" i="1" s="1"/>
  <c r="L391" i="1" s="1"/>
  <c r="L299" i="1"/>
  <c r="L402" i="1" s="1"/>
  <c r="K223" i="1"/>
  <c r="K285" i="1" s="1"/>
  <c r="K392" i="1" s="1"/>
  <c r="K238" i="1"/>
  <c r="K183" i="1"/>
  <c r="K184" i="1" s="1"/>
  <c r="J224" i="1"/>
  <c r="J239" i="1"/>
  <c r="J193" i="1"/>
  <c r="J372" i="1" s="1"/>
  <c r="K111" i="1"/>
  <c r="K187" i="1" s="1"/>
  <c r="K191" i="1" s="1"/>
  <c r="L50" i="1"/>
  <c r="M270" i="1"/>
  <c r="M217" i="1"/>
  <c r="M169" i="1"/>
  <c r="M129" i="1"/>
  <c r="M107" i="1"/>
  <c r="N33" i="1"/>
  <c r="I244" i="1" l="1"/>
  <c r="I400" i="1"/>
  <c r="J289" i="1"/>
  <c r="J396" i="1" s="1"/>
  <c r="J375" i="1"/>
  <c r="J377" i="1" s="1"/>
  <c r="AM41" i="4"/>
  <c r="J214" i="1"/>
  <c r="J413" i="1" s="1"/>
  <c r="J414" i="1" s="1"/>
  <c r="L300" i="1"/>
  <c r="L257" i="1"/>
  <c r="N45" i="1"/>
  <c r="N49" i="1" s="1"/>
  <c r="N172" i="1" s="1"/>
  <c r="N179" i="1" s="1"/>
  <c r="N370" i="1" s="1"/>
  <c r="N368" i="1"/>
  <c r="AP84" i="4"/>
  <c r="N23" i="3" s="1"/>
  <c r="AN78" i="4"/>
  <c r="AP100" i="4" s="1"/>
  <c r="N43" i="3" s="1"/>
  <c r="L291" i="1"/>
  <c r="L398" i="1" s="1"/>
  <c r="I273" i="1"/>
  <c r="I212" i="1"/>
  <c r="J286" i="1"/>
  <c r="J393" i="1" s="1"/>
  <c r="J244" i="1"/>
  <c r="K288" i="1"/>
  <c r="K395" i="1" s="1"/>
  <c r="L228" i="1"/>
  <c r="K232" i="1"/>
  <c r="L183" i="1"/>
  <c r="L184" i="1" s="1"/>
  <c r="L223" i="1"/>
  <c r="L285" i="1" s="1"/>
  <c r="L392" i="1" s="1"/>
  <c r="L238" i="1"/>
  <c r="M180" i="1"/>
  <c r="M371" i="1" s="1"/>
  <c r="M276" i="1"/>
  <c r="M381" i="1" s="1"/>
  <c r="M278" i="1"/>
  <c r="M383" i="1" s="1"/>
  <c r="M188" i="1"/>
  <c r="M182" i="1"/>
  <c r="M222" i="1"/>
  <c r="M247" i="1"/>
  <c r="M242" i="1"/>
  <c r="M299" i="1"/>
  <c r="M402" i="1" s="1"/>
  <c r="I209" i="1"/>
  <c r="I280" i="1"/>
  <c r="I385" i="1" s="1"/>
  <c r="I388" i="1" s="1"/>
  <c r="I404" i="1" s="1"/>
  <c r="K193" i="1"/>
  <c r="K372" i="1" s="1"/>
  <c r="K239" i="1"/>
  <c r="K289" i="1" s="1"/>
  <c r="K396" i="1" s="1"/>
  <c r="K224" i="1"/>
  <c r="K286" i="1" s="1"/>
  <c r="K393" i="1" s="1"/>
  <c r="J194" i="1"/>
  <c r="J373" i="1" s="1"/>
  <c r="J202" i="1"/>
  <c r="L111" i="1"/>
  <c r="L187" i="1" s="1"/>
  <c r="L191" i="1" s="1"/>
  <c r="M50" i="1"/>
  <c r="N270" i="1"/>
  <c r="N217" i="1"/>
  <c r="N169" i="1"/>
  <c r="N129" i="1"/>
  <c r="N107" i="1"/>
  <c r="O33" i="1"/>
  <c r="J400" i="1" l="1"/>
  <c r="K400" i="1"/>
  <c r="I405" i="1"/>
  <c r="I406" i="1" s="1"/>
  <c r="I411" i="1"/>
  <c r="K375" i="1"/>
  <c r="K377" i="1" s="1"/>
  <c r="AN41" i="4"/>
  <c r="AO77" i="4" s="1"/>
  <c r="AP103" i="4" s="1"/>
  <c r="L43" i="3" s="1"/>
  <c r="AP83" i="4"/>
  <c r="K23" i="3" s="1"/>
  <c r="S23" i="3" s="1"/>
  <c r="AN77" i="4"/>
  <c r="AP99" i="4" s="1"/>
  <c r="K43" i="3" s="1"/>
  <c r="M257" i="1"/>
  <c r="K214" i="1"/>
  <c r="K413" i="1" s="1"/>
  <c r="K414" i="1" s="1"/>
  <c r="M300" i="1"/>
  <c r="I250" i="1"/>
  <c r="I251" i="1" s="1"/>
  <c r="I253" i="1" s="1"/>
  <c r="O45" i="1"/>
  <c r="O49" i="1" s="1"/>
  <c r="O172" i="1" s="1"/>
  <c r="O179" i="1" s="1"/>
  <c r="O370" i="1" s="1"/>
  <c r="O368" i="1"/>
  <c r="M291" i="1"/>
  <c r="M398" i="1" s="1"/>
  <c r="M228" i="1"/>
  <c r="L232" i="1"/>
  <c r="I260" i="1"/>
  <c r="I293" i="1"/>
  <c r="I315" i="1" s="1"/>
  <c r="L288" i="1"/>
  <c r="L395" i="1" s="1"/>
  <c r="K244" i="1"/>
  <c r="M284" i="1"/>
  <c r="M391" i="1" s="1"/>
  <c r="M183" i="1"/>
  <c r="M184" i="1" s="1"/>
  <c r="M238" i="1"/>
  <c r="M223" i="1"/>
  <c r="M285" i="1" s="1"/>
  <c r="M392" i="1" s="1"/>
  <c r="N276" i="1"/>
  <c r="N381" i="1" s="1"/>
  <c r="N278" i="1"/>
  <c r="N383" i="1" s="1"/>
  <c r="N188" i="1"/>
  <c r="N182" i="1"/>
  <c r="N180" i="1"/>
  <c r="N371" i="1" s="1"/>
  <c r="N299" i="1"/>
  <c r="N402" i="1" s="1"/>
  <c r="N222" i="1"/>
  <c r="N242" i="1"/>
  <c r="N247" i="1"/>
  <c r="J203" i="1"/>
  <c r="J280" i="1" s="1"/>
  <c r="J385" i="1" s="1"/>
  <c r="J388" i="1" s="1"/>
  <c r="L193" i="1"/>
  <c r="L372" i="1" s="1"/>
  <c r="L375" i="1" s="1"/>
  <c r="L377" i="1" s="1"/>
  <c r="L224" i="1"/>
  <c r="L286" i="1" s="1"/>
  <c r="L393" i="1" s="1"/>
  <c r="L239" i="1"/>
  <c r="L289" i="1" s="1"/>
  <c r="L396" i="1" s="1"/>
  <c r="K194" i="1"/>
  <c r="K373" i="1" s="1"/>
  <c r="K202" i="1"/>
  <c r="M111" i="1"/>
  <c r="M187" i="1" s="1"/>
  <c r="M191" i="1" s="1"/>
  <c r="N50" i="1"/>
  <c r="O270" i="1"/>
  <c r="O217" i="1"/>
  <c r="O169" i="1"/>
  <c r="O129" i="1"/>
  <c r="O107" i="1"/>
  <c r="P33" i="1"/>
  <c r="J404" i="1" l="1"/>
  <c r="J411" i="1" s="1"/>
  <c r="L400" i="1"/>
  <c r="AP87" i="4"/>
  <c r="L23" i="3" s="1"/>
  <c r="Q23" i="3" s="1"/>
  <c r="AO41" i="4"/>
  <c r="AP91" i="4" s="1"/>
  <c r="J250" i="1"/>
  <c r="J251" i="1" s="1"/>
  <c r="J253" i="1" s="1"/>
  <c r="N257" i="1"/>
  <c r="N300" i="1"/>
  <c r="L214" i="1"/>
  <c r="L413" i="1" s="1"/>
  <c r="L414" i="1" s="1"/>
  <c r="P45" i="1"/>
  <c r="P49" i="1" s="1"/>
  <c r="P172" i="1" s="1"/>
  <c r="P179" i="1" s="1"/>
  <c r="P370" i="1" s="1"/>
  <c r="P368" i="1"/>
  <c r="L244" i="1"/>
  <c r="I261" i="1"/>
  <c r="I263" i="1" s="1"/>
  <c r="I265" i="1" s="1"/>
  <c r="N228" i="1"/>
  <c r="M232" i="1"/>
  <c r="M288" i="1"/>
  <c r="M395" i="1" s="1"/>
  <c r="N291" i="1"/>
  <c r="N398" i="1" s="1"/>
  <c r="N284" i="1"/>
  <c r="N391" i="1" s="1"/>
  <c r="N238" i="1"/>
  <c r="N223" i="1"/>
  <c r="N285" i="1" s="1"/>
  <c r="N392" i="1" s="1"/>
  <c r="N183" i="1"/>
  <c r="N184" i="1" s="1"/>
  <c r="O278" i="1"/>
  <c r="O383" i="1" s="1"/>
  <c r="O276" i="1"/>
  <c r="O381" i="1" s="1"/>
  <c r="O188" i="1"/>
  <c r="O180" i="1"/>
  <c r="O371" i="1" s="1"/>
  <c r="O182" i="1"/>
  <c r="O183" i="1" s="1"/>
  <c r="O184" i="1" s="1"/>
  <c r="O299" i="1"/>
  <c r="O402" i="1" s="1"/>
  <c r="O242" i="1"/>
  <c r="O222" i="1"/>
  <c r="O247" i="1"/>
  <c r="M239" i="1"/>
  <c r="M289" i="1" s="1"/>
  <c r="M396" i="1" s="1"/>
  <c r="M193" i="1"/>
  <c r="M372" i="1" s="1"/>
  <c r="M224" i="1"/>
  <c r="M286" i="1" s="1"/>
  <c r="M393" i="1" s="1"/>
  <c r="L202" i="1"/>
  <c r="L194" i="1"/>
  <c r="L373" i="1" s="1"/>
  <c r="K203" i="1"/>
  <c r="J209" i="1"/>
  <c r="J204" i="1"/>
  <c r="J208" i="1" s="1"/>
  <c r="AN42" i="4" s="1"/>
  <c r="N111" i="1"/>
  <c r="N187" i="1" s="1"/>
  <c r="N191" i="1" s="1"/>
  <c r="O50" i="1"/>
  <c r="P270" i="1"/>
  <c r="P217" i="1"/>
  <c r="P169" i="1"/>
  <c r="P129" i="1"/>
  <c r="P107" i="1"/>
  <c r="Q33" i="1"/>
  <c r="J405" i="1" l="1"/>
  <c r="J406" i="1" s="1"/>
  <c r="M400" i="1"/>
  <c r="M375" i="1"/>
  <c r="M377" i="1" s="1"/>
  <c r="AP77" i="4"/>
  <c r="T23" i="3"/>
  <c r="M214" i="1"/>
  <c r="M413" i="1" s="1"/>
  <c r="M414" i="1" s="1"/>
  <c r="O300" i="1"/>
  <c r="O257" i="1"/>
  <c r="P222" i="1"/>
  <c r="P284" i="1" s="1"/>
  <c r="P391" i="1" s="1"/>
  <c r="P50" i="1"/>
  <c r="P247" i="1"/>
  <c r="P188" i="1"/>
  <c r="P180" i="1"/>
  <c r="P371" i="1" s="1"/>
  <c r="P111" i="1"/>
  <c r="P187" i="1" s="1"/>
  <c r="Q45" i="1"/>
  <c r="Q49" i="1" s="1"/>
  <c r="Q172" i="1" s="1"/>
  <c r="Q179" i="1" s="1"/>
  <c r="Q370" i="1" s="1"/>
  <c r="Q368" i="1"/>
  <c r="P182" i="1"/>
  <c r="P183" i="1" s="1"/>
  <c r="P184" i="1" s="1"/>
  <c r="P276" i="1"/>
  <c r="P381" i="1" s="1"/>
  <c r="P242" i="1"/>
  <c r="P291" i="1" s="1"/>
  <c r="P398" i="1" s="1"/>
  <c r="P278" i="1"/>
  <c r="P383" i="1" s="1"/>
  <c r="P299" i="1"/>
  <c r="P402" i="1" s="1"/>
  <c r="AP88" i="4"/>
  <c r="O23" i="3" s="1"/>
  <c r="AO78" i="4"/>
  <c r="AP104" i="4" s="1"/>
  <c r="O43" i="3" s="1"/>
  <c r="O284" i="1"/>
  <c r="O391" i="1" s="1"/>
  <c r="M244" i="1"/>
  <c r="O228" i="1"/>
  <c r="N232" i="1"/>
  <c r="N288" i="1"/>
  <c r="N395" i="1" s="1"/>
  <c r="J273" i="1"/>
  <c r="J212" i="1"/>
  <c r="O291" i="1"/>
  <c r="O398" i="1" s="1"/>
  <c r="K204" i="1"/>
  <c r="K208" i="1" s="1"/>
  <c r="AO42" i="4" s="1"/>
  <c r="K280" i="1"/>
  <c r="K385" i="1" s="1"/>
  <c r="K388" i="1" s="1"/>
  <c r="K404" i="1" s="1"/>
  <c r="O238" i="1"/>
  <c r="O223" i="1"/>
  <c r="O285" i="1" s="1"/>
  <c r="O392" i="1" s="1"/>
  <c r="N239" i="1"/>
  <c r="N289" i="1" s="1"/>
  <c r="N396" i="1" s="1"/>
  <c r="N224" i="1"/>
  <c r="N286" i="1" s="1"/>
  <c r="N393" i="1" s="1"/>
  <c r="N193" i="1"/>
  <c r="N372" i="1" s="1"/>
  <c r="K209" i="1"/>
  <c r="L203" i="1"/>
  <c r="L280" i="1" s="1"/>
  <c r="L385" i="1" s="1"/>
  <c r="L388" i="1" s="1"/>
  <c r="L404" i="1" s="1"/>
  <c r="M194" i="1"/>
  <c r="M373" i="1" s="1"/>
  <c r="M202" i="1"/>
  <c r="O111" i="1"/>
  <c r="O187" i="1" s="1"/>
  <c r="O191" i="1" s="1"/>
  <c r="Q270" i="1"/>
  <c r="Q217" i="1"/>
  <c r="Q169" i="1"/>
  <c r="Q129" i="1"/>
  <c r="Q107" i="1"/>
  <c r="R33" i="1"/>
  <c r="N400" i="1" l="1"/>
  <c r="N375" i="1"/>
  <c r="N377" i="1" s="1"/>
  <c r="K405" i="1"/>
  <c r="K406" i="1" s="1"/>
  <c r="K411" i="1"/>
  <c r="L405" i="1"/>
  <c r="L406" i="1" s="1"/>
  <c r="L411" i="1"/>
  <c r="P257" i="1"/>
  <c r="Q180" i="1"/>
  <c r="Q371" i="1" s="1"/>
  <c r="K250" i="1"/>
  <c r="L250" i="1" s="1"/>
  <c r="N214" i="1"/>
  <c r="N413" i="1" s="1"/>
  <c r="N414" i="1" s="1"/>
  <c r="P300" i="1"/>
  <c r="Q50" i="1"/>
  <c r="Q222" i="1"/>
  <c r="Q284" i="1" s="1"/>
  <c r="Q391" i="1" s="1"/>
  <c r="Q278" i="1"/>
  <c r="Q383" i="1" s="1"/>
  <c r="Q182" i="1"/>
  <c r="Q183" i="1" s="1"/>
  <c r="Q184" i="1" s="1"/>
  <c r="P223" i="1"/>
  <c r="P285" i="1" s="1"/>
  <c r="P392" i="1" s="1"/>
  <c r="P191" i="1"/>
  <c r="Q188" i="1"/>
  <c r="P238" i="1"/>
  <c r="P288" i="1" s="1"/>
  <c r="P395" i="1" s="1"/>
  <c r="Q242" i="1"/>
  <c r="Q276" i="1"/>
  <c r="Q381" i="1" s="1"/>
  <c r="Q247" i="1"/>
  <c r="Q299" i="1"/>
  <c r="Q402" i="1" s="1"/>
  <c r="R45" i="1"/>
  <c r="R49" i="1" s="1"/>
  <c r="R172" i="1" s="1"/>
  <c r="R179" i="1" s="1"/>
  <c r="R370" i="1" s="1"/>
  <c r="R368" i="1"/>
  <c r="AP92" i="4"/>
  <c r="AP78" i="4"/>
  <c r="K273" i="1"/>
  <c r="K293" i="1" s="1"/>
  <c r="K315" i="1" s="1"/>
  <c r="K212" i="1"/>
  <c r="N244" i="1"/>
  <c r="O288" i="1"/>
  <c r="O395" i="1" s="1"/>
  <c r="J293" i="1"/>
  <c r="J315" i="1" s="1"/>
  <c r="J260" i="1"/>
  <c r="P228" i="1"/>
  <c r="O232" i="1"/>
  <c r="N202" i="1"/>
  <c r="N194" i="1"/>
  <c r="N373" i="1" s="1"/>
  <c r="O193" i="1"/>
  <c r="O372" i="1" s="1"/>
  <c r="O375" i="1" s="1"/>
  <c r="O377" i="1" s="1"/>
  <c r="O239" i="1"/>
  <c r="O289" i="1" s="1"/>
  <c r="O396" i="1" s="1"/>
  <c r="O224" i="1"/>
  <c r="M203" i="1"/>
  <c r="L209" i="1"/>
  <c r="L204" i="1"/>
  <c r="L208" i="1" s="1"/>
  <c r="Q111" i="1"/>
  <c r="Q187" i="1" s="1"/>
  <c r="R270" i="1"/>
  <c r="R217" i="1"/>
  <c r="R169" i="1"/>
  <c r="R129" i="1"/>
  <c r="R107" i="1"/>
  <c r="Q257" i="1" l="1"/>
  <c r="Q238" i="1"/>
  <c r="Q288" i="1" s="1"/>
  <c r="Q395" i="1" s="1"/>
  <c r="K251" i="1"/>
  <c r="K253" i="1" s="1"/>
  <c r="Q223" i="1"/>
  <c r="Q285" i="1" s="1"/>
  <c r="Q392" i="1" s="1"/>
  <c r="O214" i="1"/>
  <c r="O413" i="1" s="1"/>
  <c r="O414" i="1" s="1"/>
  <c r="R188" i="1"/>
  <c r="Q300" i="1"/>
  <c r="Q191" i="1"/>
  <c r="Q193" i="1" s="1"/>
  <c r="Q372" i="1" s="1"/>
  <c r="Q375" i="1" s="1"/>
  <c r="Q377" i="1" s="1"/>
  <c r="R182" i="1"/>
  <c r="R238" i="1" s="1"/>
  <c r="Q291" i="1"/>
  <c r="Q398" i="1" s="1"/>
  <c r="P239" i="1"/>
  <c r="P244" i="1" s="1"/>
  <c r="P224" i="1"/>
  <c r="P286" i="1" s="1"/>
  <c r="P393" i="1" s="1"/>
  <c r="P193" i="1"/>
  <c r="P372" i="1" s="1"/>
  <c r="P375" i="1" s="1"/>
  <c r="P377" i="1" s="1"/>
  <c r="R278" i="1"/>
  <c r="R383" i="1" s="1"/>
  <c r="R222" i="1"/>
  <c r="R284" i="1" s="1"/>
  <c r="R391" i="1" s="1"/>
  <c r="R242" i="1"/>
  <c r="R276" i="1"/>
  <c r="R381" i="1" s="1"/>
  <c r="R299" i="1"/>
  <c r="R402" i="1" s="1"/>
  <c r="R247" i="1"/>
  <c r="R50" i="1"/>
  <c r="R180" i="1"/>
  <c r="R371" i="1" s="1"/>
  <c r="L273" i="1"/>
  <c r="L293" i="1" s="1"/>
  <c r="L315" i="1" s="1"/>
  <c r="L212" i="1"/>
  <c r="Q228" i="1"/>
  <c r="P232" i="1"/>
  <c r="O286" i="1"/>
  <c r="O393" i="1" s="1"/>
  <c r="O400" i="1" s="1"/>
  <c r="K260" i="1"/>
  <c r="J261" i="1"/>
  <c r="J263" i="1" s="1"/>
  <c r="J265" i="1" s="1"/>
  <c r="O244" i="1"/>
  <c r="L251" i="1"/>
  <c r="L253" i="1" s="1"/>
  <c r="M204" i="1"/>
  <c r="M208" i="1" s="1"/>
  <c r="M280" i="1"/>
  <c r="M385" i="1" s="1"/>
  <c r="M388" i="1" s="1"/>
  <c r="M404" i="1" s="1"/>
  <c r="O202" i="1"/>
  <c r="O194" i="1"/>
  <c r="O373" i="1" s="1"/>
  <c r="M209" i="1"/>
  <c r="N203" i="1"/>
  <c r="N280" i="1" s="1"/>
  <c r="N385" i="1" s="1"/>
  <c r="N388" i="1" s="1"/>
  <c r="N404" i="1" s="1"/>
  <c r="R111" i="1"/>
  <c r="R187" i="1" s="1"/>
  <c r="E193" i="1"/>
  <c r="E372" i="1" s="1"/>
  <c r="E375" i="1" s="1"/>
  <c r="E377" i="1" s="1"/>
  <c r="E404" i="1" s="1"/>
  <c r="E411" i="1" s="1"/>
  <c r="N411" i="1" l="1"/>
  <c r="N405" i="1"/>
  <c r="N406" i="1" s="1"/>
  <c r="M411" i="1"/>
  <c r="M405" i="1"/>
  <c r="M406" i="1" s="1"/>
  <c r="R223" i="1"/>
  <c r="R285" i="1" s="1"/>
  <c r="R392" i="1" s="1"/>
  <c r="Q224" i="1"/>
  <c r="Q286" i="1" s="1"/>
  <c r="Q393" i="1" s="1"/>
  <c r="Q239" i="1"/>
  <c r="Q289" i="1" s="1"/>
  <c r="Q396" i="1" s="1"/>
  <c r="R183" i="1"/>
  <c r="R184" i="1" s="1"/>
  <c r="E214" i="1"/>
  <c r="E413" i="1" s="1"/>
  <c r="E414" i="1" s="1"/>
  <c r="R300" i="1"/>
  <c r="Q214" i="1"/>
  <c r="Q413" i="1" s="1"/>
  <c r="R257" i="1"/>
  <c r="P214" i="1"/>
  <c r="P413" i="1" s="1"/>
  <c r="P414" i="1" s="1"/>
  <c r="M250" i="1"/>
  <c r="N250" i="1" s="1"/>
  <c r="R191" i="1"/>
  <c r="P202" i="1"/>
  <c r="P203" i="1" s="1"/>
  <c r="P280" i="1" s="1"/>
  <c r="P385" i="1" s="1"/>
  <c r="P388" i="1" s="1"/>
  <c r="R291" i="1"/>
  <c r="R398" i="1" s="1"/>
  <c r="P194" i="1"/>
  <c r="P373" i="1" s="1"/>
  <c r="P289" i="1"/>
  <c r="P396" i="1" s="1"/>
  <c r="P400" i="1" s="1"/>
  <c r="M273" i="1"/>
  <c r="M293" i="1" s="1"/>
  <c r="M315" i="1" s="1"/>
  <c r="M212" i="1"/>
  <c r="R228" i="1"/>
  <c r="R232" i="1" s="1"/>
  <c r="Q232" i="1"/>
  <c r="R288" i="1"/>
  <c r="R395" i="1" s="1"/>
  <c r="L260" i="1"/>
  <c r="K261" i="1"/>
  <c r="K263" i="1" s="1"/>
  <c r="K265" i="1" s="1"/>
  <c r="N204" i="1"/>
  <c r="N208" i="1" s="1"/>
  <c r="Q194" i="1"/>
  <c r="Q373" i="1" s="1"/>
  <c r="Q202" i="1"/>
  <c r="N209" i="1"/>
  <c r="O203" i="1"/>
  <c r="O280" i="1" s="1"/>
  <c r="O385" i="1" s="1"/>
  <c r="O388" i="1" s="1"/>
  <c r="O404" i="1" s="1"/>
  <c r="E202" i="1"/>
  <c r="E209" i="1" s="1"/>
  <c r="E194" i="1"/>
  <c r="E373" i="1" s="1"/>
  <c r="Q244" i="1" l="1"/>
  <c r="Q400" i="1"/>
  <c r="Q414" i="1"/>
  <c r="P404" i="1"/>
  <c r="P411" i="1" s="1"/>
  <c r="O411" i="1"/>
  <c r="O405" i="1"/>
  <c r="O406" i="1" s="1"/>
  <c r="R193" i="1"/>
  <c r="M251" i="1"/>
  <c r="M253" i="1" s="1"/>
  <c r="R224" i="1"/>
  <c r="R286" i="1" s="1"/>
  <c r="R393" i="1" s="1"/>
  <c r="R239" i="1"/>
  <c r="R289" i="1" s="1"/>
  <c r="R396" i="1" s="1"/>
  <c r="P204" i="1"/>
  <c r="P208" i="1" s="1"/>
  <c r="P212" i="1" s="1"/>
  <c r="P209" i="1"/>
  <c r="N273" i="1"/>
  <c r="N293" i="1" s="1"/>
  <c r="N315" i="1" s="1"/>
  <c r="N212" i="1"/>
  <c r="M260" i="1"/>
  <c r="L261" i="1"/>
  <c r="L263" i="1" s="1"/>
  <c r="L265" i="1" s="1"/>
  <c r="O250" i="1"/>
  <c r="N251" i="1"/>
  <c r="N253" i="1" s="1"/>
  <c r="O204" i="1"/>
  <c r="O208" i="1" s="1"/>
  <c r="Q203" i="1"/>
  <c r="Q280" i="1" s="1"/>
  <c r="Q385" i="1" s="1"/>
  <c r="Q388" i="1" s="1"/>
  <c r="O209" i="1"/>
  <c r="E204" i="1"/>
  <c r="E208" i="1" s="1"/>
  <c r="E212" i="1" s="1"/>
  <c r="Q404" i="1" l="1"/>
  <c r="Q405" i="1" s="1"/>
  <c r="Q406" i="1" s="1"/>
  <c r="P405" i="1"/>
  <c r="P406" i="1" s="1"/>
  <c r="R400" i="1"/>
  <c r="R202" i="1"/>
  <c r="R203" i="1" s="1"/>
  <c r="R280" i="1" s="1"/>
  <c r="R385" i="1" s="1"/>
  <c r="R388" i="1" s="1"/>
  <c r="R372" i="1"/>
  <c r="R194" i="1"/>
  <c r="R373" i="1" s="1"/>
  <c r="R214" i="1"/>
  <c r="R413" i="1" s="1"/>
  <c r="R244" i="1"/>
  <c r="P273" i="1"/>
  <c r="P293" i="1" s="1"/>
  <c r="P315" i="1" s="1"/>
  <c r="O273" i="1"/>
  <c r="O293" i="1" s="1"/>
  <c r="O315" i="1" s="1"/>
  <c r="O212" i="1"/>
  <c r="N260" i="1"/>
  <c r="M261" i="1"/>
  <c r="M263" i="1" s="1"/>
  <c r="M265" i="1" s="1"/>
  <c r="P250" i="1"/>
  <c r="O251" i="1"/>
  <c r="O253" i="1" s="1"/>
  <c r="Q204" i="1"/>
  <c r="Q208" i="1" s="1"/>
  <c r="Q209" i="1"/>
  <c r="E273" i="1"/>
  <c r="E293" i="1" s="1"/>
  <c r="E315" i="1" s="1"/>
  <c r="E317" i="1" s="1"/>
  <c r="F316" i="1" s="1"/>
  <c r="Q411" i="1" l="1"/>
  <c r="R414" i="1"/>
  <c r="D327" i="1"/>
  <c r="R375" i="1"/>
  <c r="R377" i="1" s="1"/>
  <c r="R404" i="1" s="1"/>
  <c r="D331" i="1" s="1"/>
  <c r="I324" i="1" s="1"/>
  <c r="Q273" i="1"/>
  <c r="Q293" i="1" s="1"/>
  <c r="Q315" i="1" s="1"/>
  <c r="Q212" i="1"/>
  <c r="Q250" i="1"/>
  <c r="P251" i="1"/>
  <c r="P253" i="1" s="1"/>
  <c r="O260" i="1"/>
  <c r="N261" i="1"/>
  <c r="N263" i="1" s="1"/>
  <c r="N265" i="1" s="1"/>
  <c r="R209" i="1"/>
  <c r="R204" i="1"/>
  <c r="R208" i="1" s="1"/>
  <c r="E220" i="1"/>
  <c r="E225" i="1" s="1"/>
  <c r="E234" i="1" s="1"/>
  <c r="E267" i="1" s="1"/>
  <c r="D328" i="1" l="1"/>
  <c r="R411" i="1"/>
  <c r="R405" i="1"/>
  <c r="P260" i="1"/>
  <c r="O261" i="1"/>
  <c r="O263" i="1" s="1"/>
  <c r="O265" i="1" s="1"/>
  <c r="R250" i="1"/>
  <c r="R251" i="1" s="1"/>
  <c r="R253" i="1" s="1"/>
  <c r="Q251" i="1"/>
  <c r="Q253" i="1" s="1"/>
  <c r="R273" i="1"/>
  <c r="R293" i="1" s="1"/>
  <c r="R315" i="1" s="1"/>
  <c r="R212" i="1"/>
  <c r="F193" i="1"/>
  <c r="F372" i="1" s="1"/>
  <c r="F375" i="1" s="1"/>
  <c r="F377" i="1" s="1"/>
  <c r="F404" i="1" s="1"/>
  <c r="R406" i="1" l="1"/>
  <c r="I325" i="1" s="1"/>
  <c r="F411" i="1"/>
  <c r="G411" i="1"/>
  <c r="F214" i="1"/>
  <c r="F413" i="1" s="1"/>
  <c r="Q260" i="1"/>
  <c r="P261" i="1"/>
  <c r="P263" i="1" s="1"/>
  <c r="P265" i="1" s="1"/>
  <c r="F202" i="1"/>
  <c r="F209" i="1" s="1"/>
  <c r="F194" i="1"/>
  <c r="F373" i="1" s="1"/>
  <c r="D332" i="1" l="1"/>
  <c r="F414" i="1"/>
  <c r="G414" i="1"/>
  <c r="R260" i="1"/>
  <c r="R261" i="1" s="1"/>
  <c r="R263" i="1" s="1"/>
  <c r="R265" i="1" s="1"/>
  <c r="Q261" i="1"/>
  <c r="Q263" i="1" s="1"/>
  <c r="Q265" i="1" s="1"/>
  <c r="F204" i="1"/>
  <c r="F208" i="1" s="1"/>
  <c r="F212" i="1" s="1"/>
  <c r="I326" i="1" l="1"/>
  <c r="F273" i="1"/>
  <c r="F293" i="1" s="1"/>
  <c r="F315" i="1" s="1"/>
  <c r="F317" i="1" s="1"/>
  <c r="F220" i="1" s="1"/>
  <c r="F225" i="1" s="1"/>
  <c r="F234" i="1" s="1"/>
  <c r="F267" i="1" s="1"/>
  <c r="I328" i="1" l="1"/>
  <c r="I340" i="1"/>
  <c r="G316" i="1"/>
  <c r="G317" i="1" s="1"/>
  <c r="G220" i="1" s="1"/>
  <c r="G225" i="1" s="1"/>
  <c r="G234" i="1" s="1"/>
  <c r="G267" i="1" s="1"/>
  <c r="H316" i="1" l="1"/>
  <c r="H317" i="1" s="1"/>
  <c r="H220" i="1" l="1"/>
  <c r="H225" i="1" s="1"/>
  <c r="H234" i="1" s="1"/>
  <c r="H267" i="1" s="1"/>
  <c r="I316" i="1"/>
  <c r="I317" i="1" s="1"/>
  <c r="J316" i="1" l="1"/>
  <c r="J317" i="1" s="1"/>
  <c r="I220" i="1"/>
  <c r="I225" i="1" s="1"/>
  <c r="I234" i="1" s="1"/>
  <c r="I267" i="1" s="1"/>
  <c r="K316" i="1" l="1"/>
  <c r="K317" i="1" s="1"/>
  <c r="J220" i="1"/>
  <c r="J225" i="1" s="1"/>
  <c r="J234" i="1" s="1"/>
  <c r="J267" i="1" s="1"/>
  <c r="L316" i="1" l="1"/>
  <c r="L317" i="1" s="1"/>
  <c r="K220" i="1"/>
  <c r="K225" i="1" s="1"/>
  <c r="K234" i="1" s="1"/>
  <c r="K267" i="1" s="1"/>
  <c r="M316" i="1" l="1"/>
  <c r="M317" i="1" s="1"/>
  <c r="L220" i="1"/>
  <c r="L225" i="1" s="1"/>
  <c r="L234" i="1" s="1"/>
  <c r="L267" i="1" s="1"/>
  <c r="N316" i="1" l="1"/>
  <c r="N317" i="1" s="1"/>
  <c r="M220" i="1"/>
  <c r="M225" i="1" s="1"/>
  <c r="M234" i="1" s="1"/>
  <c r="M267" i="1" s="1"/>
  <c r="O316" i="1" l="1"/>
  <c r="O317" i="1" s="1"/>
  <c r="N220" i="1"/>
  <c r="N225" i="1" s="1"/>
  <c r="N234" i="1" s="1"/>
  <c r="N267" i="1" s="1"/>
  <c r="P316" i="1" l="1"/>
  <c r="P317" i="1" s="1"/>
  <c r="O220" i="1"/>
  <c r="O225" i="1" s="1"/>
  <c r="O234" i="1" s="1"/>
  <c r="O267" i="1" s="1"/>
  <c r="Q316" i="1" l="1"/>
  <c r="Q317" i="1" s="1"/>
  <c r="P220" i="1"/>
  <c r="P225" i="1" s="1"/>
  <c r="P234" i="1" s="1"/>
  <c r="P267" i="1" s="1"/>
  <c r="R316" i="1" l="1"/>
  <c r="R317" i="1" s="1"/>
  <c r="R220" i="1" s="1"/>
  <c r="R225" i="1" s="1"/>
  <c r="R234" i="1" s="1"/>
  <c r="R267" i="1" s="1"/>
  <c r="Q220" i="1"/>
  <c r="Q225" i="1" s="1"/>
  <c r="Q234" i="1" s="1"/>
  <c r="Q267" i="1" s="1"/>
  <c r="I342" i="1"/>
  <c r="I344" i="1"/>
  <c r="I345" i="1"/>
  <c r="I349" i="1"/>
  <c r="I350" i="1"/>
  <c r="I351" i="1"/>
  <c r="I353" i="1"/>
  <c r="E420" i="1"/>
  <c r="E434" i="1"/>
  <c r="E448" i="1"/>
  <c r="E462" i="1"/>
  <c r="E476" i="1"/>
  <c r="E490" i="1"/>
  <c r="E504" i="1"/>
</calcChain>
</file>

<file path=xl/comments1.xml><?xml version="1.0" encoding="utf-8"?>
<comments xmlns="http://schemas.openxmlformats.org/spreadsheetml/2006/main">
  <authors>
    <author>BIWS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Lower rate of 12.5% in Ireland, but company also pays taxes in higher-tax countries such as France and the US.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Based on prices about 1/8th - 1/10th less in the UK per the Wikipedia article.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guidance of 150,000 - 200,000 patients affected by sleep narcolepsy.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guidance of 150,000 - 200,000 patients affected by sleep narcolepsy.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note about Xyrem.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note about Xyrem.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 real insight into this - just straight-lining this # since we doubt it will change by much in coming years.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"Approximately 8,000 to 9,000 patients".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note about Xyrem.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note about Xyrem.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note about Xyrem.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guidance in the Barclays transcript - 3,600 pediatrics patients, but "fewer than 20%" on Erwinaze.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Matches "450-600 children in the US per year" guidance given in the press release on EUSA.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2013 Q1 earnings call transcript.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3% price increase stated in 2014 Q1 earnings call transcript.</t>
        </r>
      </text>
    </comment>
    <comment ref="G6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Barclays presentation - full-year sales of $132 million, but acquired mid-way through the year so didn't record all of it.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10-K.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10-K.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10-K.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10-K.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Guidance in 10-K of "one-third to two-thirds of patients being eligible for treatment with defibrotide."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1200 worldwide patients, per 2013 Q4 earnings call transcript, but only 2/3 are in the EU… but they don't break out revenue by region, so need to use this approach anyway.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1200 worldwide patients, per 2013 Q4 earnings call transcript, but only 2/3 are in the EU.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Gentium's 20-F filings.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Gentium's 20-F filings.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Gentium's 20-F filings.</t>
        </r>
      </text>
    </comment>
    <comment ref="H8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Gentium's 20-F filings.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Gentium's 20-F filings.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sales rep information in 10-K annual reports.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sales rep information in 10-K annual reports.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sales rep information in 10-K annual reports.</t>
        </r>
      </text>
    </comment>
    <comment ref="H11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sales rep information in 10-K annual reports.</t>
        </r>
      </text>
    </comment>
    <comment ref="I11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10-Q Income Statement.</t>
        </r>
      </text>
    </comment>
    <comment ref="I1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Remainder of the year number, plus amount from Q1.</t>
        </r>
      </text>
    </comment>
    <comment ref="N1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Assuming that the "Thereafter" amount is divided by 9 each year, since 13.3 useful years - 4.5 years = ~9 remaining years.</t>
        </r>
      </text>
    </comment>
    <comment ref="I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Term Loan Interest + Revolver Interest + Revolver Commitment Fee per pg. 37 of 10-Q. Also factoring in the $10.076 Q1 interest shown on IS in the Q1 10-Q.</t>
        </r>
      </text>
    </comment>
    <comment ref="J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Term Loan Interest + Revolver Interest + Revolver Commitment Fee per pg. 37 of 10-Q. Dividing by 2 to assume even allocation over 2 years.</t>
        </r>
      </text>
    </comment>
    <comment ref="K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Term Loan Interest + Revolver Interest + Revolver Commitment Fee per pg. 37 of 10-Q. Dividing by 2 to assume even allocation over 2 years.</t>
        </r>
      </text>
    </comment>
    <comment ref="L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Term Loan Interest + Revolver Interest + Revolver Commitment Fee per pg. 37 of 10-Q. Dividing by 2 to assume even allocation over 2 years.</t>
        </r>
      </text>
    </comment>
    <comment ref="M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Term Loan Interest + Revolver Interest + Revolver Commitment Fee per pg. 37 of 10-Q. Dividing by 2 to assume even allocation over 2 years.</t>
        </r>
      </text>
    </comment>
    <comment ref="N12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"More than 5 years" per the 10-Q pg. 37.</t>
        </r>
      </text>
    </comment>
    <comment ref="I15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Gentium acquisition, closed in Q1. #s taken from 10-Q CFS.</t>
        </r>
      </text>
    </comment>
    <comment ref="I15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Q1 number and assuming no further debt issuances.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Remainder of the year number, plus amount repaid in Q1.</t>
        </r>
      </text>
    </comment>
    <comment ref="J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and 37 of the 10-Q.</t>
        </r>
      </text>
    </comment>
    <comment ref="K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and 37 of the 10-Q.</t>
        </r>
      </text>
    </comment>
    <comment ref="L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and 37 of the 10-Q.</t>
        </r>
      </text>
    </comment>
    <comment ref="M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and 37 of the 10-Q.</t>
        </r>
      </text>
    </comment>
    <comment ref="N15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and 37 of the 10-Q.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Going by the new Balance Sheet number instead of the CFS number - otherwise the statements won't link properly.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The CFF item represents the actual cash payments; the line item in CFO just represents how the value of Contingent Consideration to be paid in the future changes over time.</t>
        </r>
      </text>
    </comment>
    <comment ref="I16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 guidance provided; assuming $0 (won't matter for valuation purposes anyway).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 guidance provided; assuming $0 (won't matter for valuation purposes anyway).</t>
        </r>
      </text>
    </comment>
    <comment ref="I16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 guidance provided; assuming $0 (won't matter for valuation purposes anyway).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5-year summary.</t>
        </r>
      </text>
    </comment>
    <comment ref="H18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Adjusting based on the 10-Q - reclassified $4MM from R&amp;D to IPR&amp;D.</t>
        </r>
      </text>
    </comment>
    <comment ref="C18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because of an item in Q1 of FY14.</t>
        </r>
      </text>
    </comment>
    <comment ref="H18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Adjusting based on the 10-Q - reclassified $4MM from R&amp;D to IPR&amp;D.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Combining Prepaid Expenses, Current DTA, and Other Current Assets on the BS.</t>
        </r>
      </text>
    </comment>
    <comment ref="H2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Adjusted down because of the $4MM IPR&amp;D amortized in FY13… based on adjustments in 10-Q.</t>
        </r>
      </text>
    </comment>
    <comment ref="C23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Combining Non-Current DTA, Deferred Financing Costs, and Other Non-Current Assets from the BS.</t>
        </r>
      </text>
    </comment>
    <comment ref="C2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Contingent Consideration and Other Non-Current Liabilities.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Ordinary Shares, Non-Voting Euro Deferred Shares, and Additional Paid-In Capital.</t>
        </r>
      </text>
    </comment>
    <comment ref="C26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because the company acquired a Noncontrolling Interest in Q1 of FY14.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because of an item in Q1 of FY14.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Loss on PP&amp;E Disposal, Excess Tax Benefits, Inventory Write-Up, Gains, Provisions for Losses, Loss on Debt Extinguishment, and Other Non-Cash Transactions.</t>
        </r>
      </text>
    </comment>
    <comment ref="C29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this with Liability Under Government Settlement.</t>
        </r>
      </text>
    </comment>
    <comment ref="C29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all "Marketable Securities" line items and the Decrease in Restricted Cash.</t>
        </r>
      </text>
    </comment>
    <comment ref="C29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Acquisitions and Net Proceeds from Sale of Business.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all debt repayment line items here.</t>
        </r>
      </text>
    </comment>
    <comment ref="C30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because the company acquired a Noncontrolling Interest in Q1 of FY14.</t>
        </r>
      </text>
    </comment>
    <comment ref="C30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because of an item in Q1 of FY14.</t>
        </r>
      </text>
    </comment>
    <comment ref="C30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Consolidating "Proceeds from employee equity incentive and purchase plans and exercise of
warrants" and "Payment of employee withholding taxes related to share-based awards" and "Payments of debt extinguishment costs."</t>
        </r>
      </text>
    </comment>
    <comment ref="C31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here only for added model flexibility. Dividends are uncommon for a company like this.</t>
        </r>
      </text>
    </comment>
    <comment ref="D32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Used if we ever have to estimate the amounts remaining in Q2 - Q4 of FY14 here.</t>
        </r>
      </text>
    </comment>
    <comment ref="D32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If we were starting at the VERY beginning of the year, this would be 1; after Q1, it would be 0.750; after Q2, it would be 0.500; after Q3, it would be 0.250.</t>
        </r>
      </text>
    </comment>
    <comment ref="I40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the Q1 results here because it has already been reported - cleaner to do it this way than to subtract everything above.</t>
        </r>
      </text>
    </comment>
  </commentList>
</comments>
</file>

<file path=xl/comments2.xml><?xml version="1.0" encoding="utf-8"?>
<comments xmlns="http://schemas.openxmlformats.org/spreadsheetml/2006/main">
  <authors>
    <author>BIWS</author>
  </authors>
  <commentList>
    <comment ref="I1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We are using a negative here and assuming these are REAL cash taxes, despite the negative operating income, because Acquired IPR&amp;D isn't deductible for cash tax purposes anyway.</t>
        </r>
      </text>
    </comment>
  </commentList>
</comments>
</file>

<file path=xl/comments3.xml><?xml version="1.0" encoding="utf-8"?>
<comments xmlns="http://schemas.openxmlformats.org/spreadsheetml/2006/main">
  <authors>
    <author>BIWS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10-Year US Treasury rate as of 2014-05-09.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Roughly in the middle of the typical range of 3-11% given in textbooks and other sources; implies a long-term stock market return of 9-10%.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YTM from most recent debt issuance per Capital IQ report; very close to current weighted average interest rate on debt as well.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 outstanding Preferred Stock.</t>
        </r>
      </text>
    </comment>
  </commentList>
</comments>
</file>

<file path=xl/comments4.xml><?xml version="1.0" encoding="utf-8"?>
<comments xmlns="http://schemas.openxmlformats.org/spreadsheetml/2006/main">
  <authors>
    <author>Shayan M</author>
    <author>BIWS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Offer Price per Share of $86.10 from press release times basic share count of 61.447 from the 10-K.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Private company - from press release (presumably, no cash/debt figures were available so Equity Value = Enterprise Value here).</t>
        </r>
      </text>
    </comment>
    <comment ref="G1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TheStreet press release.</t>
        </r>
      </text>
    </comment>
    <comment ref="I1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TheStreet press release.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cash and investments and adding financing obligation and long-term debt from Balance Sheet just before deal announcement.</t>
        </r>
      </text>
    </comment>
    <comment ref="H1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Calculated based on 10-K and 10-Q (see links).</t>
        </r>
      </text>
    </comment>
    <comment ref="I1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Operating Income + Option Amortization from CFS + Impairment Charges from CFS + D&amp;A from CFS.</t>
        </r>
      </text>
    </comment>
    <comment ref="F1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release; presentation pg. 45 quotes "$1.6 billion USD," so no need to convert from CAD to USD.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Based on company's latest quarterly results as of transaction announcement; converted to USD.</t>
        </r>
      </text>
    </comment>
    <comment ref="H1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Based on company's latest quarterly results as of transaction announcement; converted to USD.</t>
        </r>
      </text>
    </comment>
    <comment ref="I1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Based on company's latest quarterly results as of transaction announcement; converted to USD.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1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1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1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1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Private company, so assuming that Equity Value = Enterprise Value.</t>
        </r>
      </text>
    </comment>
    <comment ref="H18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18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release; ideally, we would factor in earnout payments as well but they are undisclosed here.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Private company, so assuming that Equity Value = Enterprise Value.</t>
        </r>
      </text>
    </comment>
    <comment ref="H19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19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2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H2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I20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estimates.</t>
        </r>
      </text>
    </comment>
    <comment ref="F2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estimate, but roughly in the middle of the very wide $500M-$1B range given in other sources.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H2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21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press release.</t>
        </r>
      </text>
    </comment>
    <comment ref="G2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H2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22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F2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2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23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First, take the $58.00 per share and add the number of CELG shares * CELG share price of $25.41 - then multiply by Abraxis diluted shares outstanding. Then, add the earnouts but divide by 2 (50% probability) because we don't know whether or not they'll really be paid out.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cash and investments and adding accrued legal liability and NCI on 10-Q BS.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Our own calculation based on the 10-K and 10-Q.</t>
        </r>
      </text>
    </comment>
    <comment ref="I24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Start with OpInc, add back D&amp;A and impairments on CFS… details don't matter much since it's negative anyway and will be NM.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the LAST price that the deal was actually done at here.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 Taking the LAST price that the deal was actually done at here.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G2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I26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Capital IQ estimate.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$2.9 billion price, plus earnout of $300 million / 2 to account for uncertainty over future payment.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$400 million of net debt per press release.</t>
        </r>
      </text>
    </comment>
    <comment ref="H2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release.</t>
        </r>
      </text>
    </comment>
    <comment ref="I27" authorId="1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 - estimate of 12x EBITDA given by one source to PE Hub.</t>
        </r>
      </text>
    </comment>
  </commentList>
</comments>
</file>

<file path=xl/comments5.xml><?xml version="1.0" encoding="utf-8"?>
<comments xmlns="http://schemas.openxmlformats.org/spreadsheetml/2006/main">
  <authors>
    <author>BIWS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Y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C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D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H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N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AO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Subtracting out COGS from "Total Operating Expenses" since we counted it separately above.</t>
        </r>
      </text>
    </comment>
    <comment ref="S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10-K.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10-K.</t>
        </r>
      </text>
    </comment>
    <comment ref="U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10-K.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10-Q pg. 5.</t>
        </r>
      </text>
    </comment>
    <comment ref="Y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10-Q pg. 5.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Both "amortization" amounts listed on the CFS in the 10-K.</t>
        </r>
      </text>
    </comment>
    <comment ref="AC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equal to the "Amortization of Firdapse European marketing rights" figure from the separate disclosure on pg. 28 + the other amortization amounts on pg. 12.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equal to the "Amortization of Firdapse European marketing rights" figure from the separate disclosure on pg. 28 + the other amortization amounts on pg. 12.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This is equal to the "Amortization of Firdapse European marketing rights" figure from the separate disclosure on pg. 62 + the other amortization amounts on pg. 63 or pg. F-19.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Pharma/biotech-specific line item - treated the same way as amortization of intangibles.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this from separate disclosure in the 10-Q since the CFS number includes both D and A.</t>
        </r>
      </text>
    </comment>
    <comment ref="AD1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this from separate disclosure in the 10-Q since the CFS number includes both D and A.</t>
        </r>
      </text>
    </comment>
    <comment ref="AE1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this from separate disclosure in the 10-K since the CFS number includes both D and A.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Intangible asset impairment charge on CFS, plus Restructuring expense on IS.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Restructuring charge on IS.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Intangible asset impairment charge on CFS, plus unusually large Restructuring expense on IS.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Considering the Impairment here a non-recurring expense.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Considering the Impairment here a non-recurring expense.</t>
        </r>
      </text>
    </comment>
    <comment ref="Y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Restructuring charge on IS - 10-Q pg. 4.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Restructuring charge from the IS + Impairment Charge on the CFS + loss on debt extinguishment.</t>
        </r>
      </text>
    </comment>
    <comment ref="AE1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Impairment of intangible assets.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Super long-term rate will go back to 35%, but most research puts this in the 15-25% range.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Most equity research has a 17% long-term tax rate; company also guided to a lower number.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Historical rates of 32% and 42%; equity research assumes a 35% long-term rate.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Assuming statutory rate here since the effective rate the past 2 years was 31% and 37%; equity research confirms a ~35% rate in the future.</t>
        </r>
      </text>
    </comment>
    <comment ref="AA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Tax rate fluctuates a lot; using research assumption of 27% long-term rate for this, still below statutory rate of 35%.</t>
        </r>
      </text>
    </comment>
    <comment ref="AF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Closer to 35% statutory rate in the future; basing this on the equity research DCF projections.</t>
        </r>
      </text>
    </comment>
    <comment ref="AK2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equity research figures and statutory rate of ~35% given in 10-K.</t>
        </r>
      </text>
    </comment>
    <comment ref="AK2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Counting restricted cash as well since it is also a non-operating asset.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F-36 of 10-K.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F-30 of 10-K.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NOL carryforwards within DTA on pg. F-31 of 10-K.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F-38 of 10-K reveals that no NOLs are included within the DTA.</t>
        </r>
      </text>
    </comment>
    <comment ref="AA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pg. 150 of the 10-K.</t>
        </r>
      </text>
    </comment>
    <comment ref="AF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F-41 of 10-K.</t>
        </r>
      </text>
    </comment>
    <comment ref="AK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DTA disclosures in the 10-K.</t>
        </r>
      </text>
    </comment>
    <comment ref="AP28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10-K - only the amount included in the DTA on the Balance Sheet.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Construction finance lease on BS.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ONLY count the convertibles as debt if there is no dilution from them - use the debt's fair market value if there's no dilution. Add other debt items from Balance Sheet.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Convertible note, if applicable, plus the mortgages payable on the 10-Q BS pg. 3. And use the fair market value rather than the book value.</t>
        </r>
      </text>
    </comment>
    <comment ref="AA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ONLY count the convertibles as debt if there is no dilution from them - need to check area below. And use the fair market value rather than the book value.</t>
        </r>
      </text>
    </comment>
    <comment ref="AF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ONLY count the convertibles as debt if there is no dilution from them - need to check area below.  And use the fair market value rather than the book value.</t>
        </r>
      </text>
    </comment>
    <comment ref="AK2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ONLY count the convertibles as debt if there is no dilution from them - need to check area below. And use the fair market value rather than the book value.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pg. F-39 of 10-K. "Funded status at end of year."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"Facility lease obligation" on the 10-Q Balance Sheet.</t>
        </r>
      </text>
    </comment>
    <comment ref="AA3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10-Q pg. 20; borderline addition, but we'll factor it in here.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Taking the MS numbers for Operating Income, which already exclude many of the historical non-recurring charges, and adding back D&amp;A from the CFS.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Multiplying "Reported EPS" by Diluted Shares Outstanding in equity research.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Multiplying "Reported EPS" by Diluted Shares Outstanding in equity research.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Multiplying "Reported EPS" by Diluted Shares Outstanding in equity research.</t>
        </r>
      </text>
    </comment>
    <comment ref="X4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"GAAP Net Income / (Loss)" in the MS report on pg. 7</t>
        </r>
      </text>
    </comment>
    <comment ref="AP4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front cover of 10-Q.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pg. F-32 of the 10-K.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pg. F-32 of the 10-K.</t>
        </r>
      </text>
    </comment>
    <comment ref="O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F-29 of 10-K.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10-Q pg. 18.</t>
        </r>
      </text>
    </comment>
    <comment ref="Y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10-Q pg. 18.</t>
        </r>
      </text>
    </comment>
    <comment ref="AD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10-K.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Options from 10-K.</t>
        </r>
      </text>
    </comment>
    <comment ref="AN49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Warrants from 10-K.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O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F-29 of 10-K.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Warrants on pg. 15 of 10-Q.</t>
        </r>
      </text>
    </comment>
    <comment ref="Y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10-Q pg. 17. Warrants accompanying the convertible bonds.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Warrants from 10-K.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Warrants from 10-K.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F-29 of 10-K.</t>
        </r>
      </text>
    </comment>
    <comment ref="AN5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Options from 10-K.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F-29 of 10-K.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Warrants on pg. 19 of 10-Q.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18 of the 10-Q.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10-Q pg. 19. 2015 Notes.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</t>
        </r>
      </text>
    </comment>
    <comment ref="S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10-Q pg. 15.</t>
        </r>
      </text>
    </comment>
    <comment ref="T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10-Q pg. 13.</t>
        </r>
      </text>
    </comment>
    <comment ref="V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</t>
        </r>
      </text>
    </comment>
    <comment ref="X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10-Q pg. 16 - adding the 2018 and 2020 Notes.</t>
        </r>
      </text>
    </comment>
    <comment ref="AA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</t>
        </r>
      </text>
    </comment>
    <comment ref="AC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Split taken from 10-Q - these are the 2018 and 2020 notes. Adding the unamortized discount.</t>
        </r>
      </text>
    </comment>
    <comment ref="AF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 Multiplying by 0.5 since only 50% of the principal is covered by the capped calls.</t>
        </r>
      </text>
    </comment>
    <comment ref="AK60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10-Q pg. 19. 2019 Notes.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Hedged convertible bond - so we're using (Share Price * # New Shares - Bond Principal) / Share Price to estimate diluted share count - similar to TSM.</t>
        </r>
      </text>
    </comment>
    <comment ref="X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10-Q pg. 6 - the 2017 notes since they have a different conversion price from the rest.</t>
        </r>
      </text>
    </comment>
    <comment ref="AC61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Split taken from 10-Q - these are the remaining 2017 notes.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pg. F-31 of 10-K.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Pg. F-33 of 10-K.</t>
        </r>
      </text>
    </comment>
    <comment ref="P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10-Q pg. 22.</t>
        </r>
      </text>
    </comment>
    <comment ref="Z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10-Q pg. 19.</t>
        </r>
      </text>
    </comment>
    <comment ref="AE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Normal RSUs + performance-based RSUs on pg. F-36. No way to determine performance goals, so assuming 100% of RSUs become shares, the midpoint of the 75-125% range.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RSU count from 10-K.</t>
        </r>
      </text>
    </comment>
    <comment ref="AO64" authorId="0" shapeId="0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RSU count from 10-K.</t>
        </r>
      </text>
    </comment>
  </commentList>
</comments>
</file>

<file path=xl/sharedStrings.xml><?xml version="1.0" encoding="utf-8"?>
<sst xmlns="http://schemas.openxmlformats.org/spreadsheetml/2006/main" count="1132" uniqueCount="544">
  <si>
    <t>Units</t>
  </si>
  <si>
    <t>Company Name:</t>
  </si>
  <si>
    <t>Units (for Conversions):</t>
  </si>
  <si>
    <t>Historical</t>
  </si>
  <si>
    <t>($ in Millions Except Per Share and Per Unit Data)</t>
  </si>
  <si>
    <t>Projected</t>
  </si>
  <si>
    <t>Total Revenue:</t>
  </si>
  <si>
    <t>Revenue:</t>
  </si>
  <si>
    <t>Gross Profit:</t>
  </si>
  <si>
    <t>Gross Margin:</t>
  </si>
  <si>
    <t>%</t>
  </si>
  <si>
    <t>Revenue Growth:</t>
  </si>
  <si>
    <t>Total Operating Expenses:</t>
  </si>
  <si>
    <t>Operating Income (EBIT):</t>
  </si>
  <si>
    <t>Operating (EBIT) Margin:</t>
  </si>
  <si>
    <t>Revenue Assumptions:</t>
  </si>
  <si>
    <t>Expense Assumptions:</t>
  </si>
  <si>
    <t>Operating Expenses:</t>
  </si>
  <si>
    <t>Net Income:</t>
  </si>
  <si>
    <t>Effective Tax Rate:</t>
  </si>
  <si>
    <t/>
  </si>
  <si>
    <t>Balance Sheet:</t>
  </si>
  <si>
    <t>ASSETS:</t>
  </si>
  <si>
    <t>LIABILITIES AND EQUITY:</t>
  </si>
  <si>
    <t>Current Assets:</t>
  </si>
  <si>
    <t>Total Current Assets:</t>
  </si>
  <si>
    <t>Total Assets:</t>
  </si>
  <si>
    <t>Property and Equipment, Net:</t>
  </si>
  <si>
    <t>Cash and Cash Equivalents:</t>
  </si>
  <si>
    <t>Accounts Receivable:</t>
  </si>
  <si>
    <t>Inventories:</t>
  </si>
  <si>
    <t>Accounts Payable:</t>
  </si>
  <si>
    <t>Equity:</t>
  </si>
  <si>
    <t>Common Stock &amp; APIC:</t>
  </si>
  <si>
    <t>Retained Earnings:</t>
  </si>
  <si>
    <t>Accumulated Other Comprehensive Income (AOCI):</t>
  </si>
  <si>
    <t>Total Equity:</t>
  </si>
  <si>
    <t>Total Liabilities and Equity:</t>
  </si>
  <si>
    <t>Balance Sheet Check:</t>
  </si>
  <si>
    <t>Income Statement:</t>
  </si>
  <si>
    <t>Cash Flow Statement:</t>
  </si>
  <si>
    <t>Accounts Receivable % Revenue:</t>
  </si>
  <si>
    <t>Balance Sheet and Cash Flow Statement Drivers:</t>
  </si>
  <si>
    <t>Deferred Income Taxes % Income Taxes:</t>
  </si>
  <si>
    <t>CASH FLOWS FROM OPERATING ACTIVITIES:</t>
  </si>
  <si>
    <t>CASH FLOWS FROM INVESTING ACTIVITIES:</t>
  </si>
  <si>
    <t>CASH FLOWS FROM FINANCING ACTIVITIES:</t>
  </si>
  <si>
    <t>Adjustments for Non-Cash Charges:</t>
  </si>
  <si>
    <t>Deferred Income Taxes:</t>
  </si>
  <si>
    <t>Changes in Operating Assets and Liabilities:</t>
  </si>
  <si>
    <t>Income Taxes Payable:</t>
  </si>
  <si>
    <t>Net Cash Provided by Operating Activities:</t>
  </si>
  <si>
    <t>Net Cash Used in Investing Activities:</t>
  </si>
  <si>
    <t>Net Cash Used in Financing Activities:</t>
  </si>
  <si>
    <t>Effect of FX Rate Changes on Cash:</t>
  </si>
  <si>
    <t>Change in Cash and Cash Equivalents:</t>
  </si>
  <si>
    <t>Beginning Cash:</t>
  </si>
  <si>
    <t>Ending Cash:</t>
  </si>
  <si>
    <t>Stock-Based Compensation % Revenue:</t>
  </si>
  <si>
    <t>Current Valuation Date</t>
  </si>
  <si>
    <t>Intangible Assets, Net:</t>
  </si>
  <si>
    <t>Goodwill:</t>
  </si>
  <si>
    <t>Contingent Consideration:</t>
  </si>
  <si>
    <t>Deferred Revenue:</t>
  </si>
  <si>
    <t>Deferred Tax Liability, Net, Non-Current:</t>
  </si>
  <si>
    <t>Capital Redemption Reserve:</t>
  </si>
  <si>
    <t>Share Price:</t>
  </si>
  <si>
    <t>Depreciation:</t>
  </si>
  <si>
    <t>Change In Fair Value Of Contingent Consideration:</t>
  </si>
  <si>
    <t>Share Repurchases:</t>
  </si>
  <si>
    <t>Intangible Asset Amortization:</t>
  </si>
  <si>
    <t>Interest Expense, Net:</t>
  </si>
  <si>
    <t>Other Income / (Expense):</t>
  </si>
  <si>
    <t>Total Other Income / (Expense):</t>
  </si>
  <si>
    <t>Income From Continuing Operations:</t>
  </si>
  <si>
    <t>Income From Continuing Operations (Before Taxes):</t>
  </si>
  <si>
    <t>Xyrem Sales:</t>
  </si>
  <si>
    <t>Erwinaze Sales:</t>
  </si>
  <si>
    <t>Existing Products:</t>
  </si>
  <si>
    <t>JZP-110 Sales:</t>
  </si>
  <si>
    <t>JZP-386 Sales:</t>
  </si>
  <si>
    <t>Other Current Liabilities:</t>
  </si>
  <si>
    <t>Prepaid Expenses &amp; Other Current Assets:</t>
  </si>
  <si>
    <t>Prepaid Expenses &amp; Other Current Assets % OpEx:</t>
  </si>
  <si>
    <t>Cost of Goods Sold % Revenue:</t>
  </si>
  <si>
    <t>Goodwill Impairment:</t>
  </si>
  <si>
    <t>Common Dividends Issued:</t>
  </si>
  <si>
    <t># People</t>
  </si>
  <si>
    <t># Employees</t>
  </si>
  <si>
    <t># Total Sales Representatives - All Pharma Drugs:</t>
  </si>
  <si>
    <t>Total Market Size (# Potential Patients) - Xyrem:</t>
  </si>
  <si>
    <t>Total Market Size (# Potential Patients) - Erwinaze:</t>
  </si>
  <si>
    <t>Other Current &amp; Non-Current Liabilities:</t>
  </si>
  <si>
    <t>$ Thousands</t>
  </si>
  <si>
    <t>Ticker:</t>
  </si>
  <si>
    <t>Stock-Based Compensation:</t>
  </si>
  <si>
    <t>EBITDA:</t>
  </si>
  <si>
    <t>N/A</t>
  </si>
  <si>
    <t>JAZZ</t>
  </si>
  <si>
    <t>Short-Term Investments:</t>
  </si>
  <si>
    <t>Current Liabilities, Excluding All Debt:</t>
  </si>
  <si>
    <t>Total Current Liabilities, Excluding All Debt:</t>
  </si>
  <si>
    <t>Proceeds from / (Acquisitions of) Businesses:</t>
  </si>
  <si>
    <t>Purchases of Property and Equipment (CapEx):</t>
  </si>
  <si>
    <t>Purchases of Intangibles and Product Rights:</t>
  </si>
  <si>
    <t>Sales / (Purchases) of Short-Term Investments:</t>
  </si>
  <si>
    <t>Other Items and Adjustments:</t>
  </si>
  <si>
    <t>Debt Issuances:</t>
  </si>
  <si>
    <t>Debt Repayments:</t>
  </si>
  <si>
    <t>Share Issuances:</t>
  </si>
  <si>
    <t>Total Debt (Current + Long-Term):</t>
  </si>
  <si>
    <t>Total Long-Term Liabilities:</t>
  </si>
  <si>
    <t>Annual Price Per Patient - Xyrem:</t>
  </si>
  <si>
    <t># Patients On Medication at End of Year:</t>
  </si>
  <si>
    <t>Average # of Patients Throughout the Year:</t>
  </si>
  <si>
    <t>Xyrem - Revenue:</t>
  </si>
  <si>
    <t>$ Millions</t>
  </si>
  <si>
    <t>% of Market on Xyrem Medication:</t>
  </si>
  <si>
    <t>$ as Stated</t>
  </si>
  <si>
    <t>Growth Rate in # of Patients:</t>
  </si>
  <si>
    <t>Xyrem Generics - Entrance Year:</t>
  </si>
  <si>
    <t>Annual Growth Rate:</t>
  </si>
  <si>
    <t>Assumptions:</t>
  </si>
  <si>
    <t>Xyrem Generics - Average Annual Price:</t>
  </si>
  <si>
    <t>Xyrem - Market Penetration Sensitivity Toggle:</t>
  </si>
  <si>
    <t>Xyrem - Annual Price Increase Sensitivity Toggle:</t>
  </si>
  <si>
    <t>Post-Toggle % of Market on Xyrem Medication:</t>
  </si>
  <si>
    <t>Post-Toggle Growth Rate in Price per Patient:</t>
  </si>
  <si>
    <t>Growth Rate in Price per Patient:</t>
  </si>
  <si>
    <t>Last Fiscal Year:</t>
  </si>
  <si>
    <t>Erwinaze - Revenue:</t>
  </si>
  <si>
    <t>Average # of Patients on Erwinaze:</t>
  </si>
  <si>
    <t>% of Market on Erwinaze Medication:</t>
  </si>
  <si>
    <t>Annual Price Per Patient - Erwinaze:</t>
  </si>
  <si>
    <t>Defitelio - Revenue:</t>
  </si>
  <si>
    <t>Annual Price Per Patient - Defitelio:</t>
  </si>
  <si>
    <t>Xyrem Assumptions:</t>
  </si>
  <si>
    <t>Erwinaze Assumptions:</t>
  </si>
  <si>
    <t>Defitelio Assumptions:</t>
  </si>
  <si>
    <t># Patients on Defitelio Medication - Worldwide:</t>
  </si>
  <si>
    <t># Patients on Defitelio Medication - Europe:</t>
  </si>
  <si>
    <t># Patients Undergoing HSCT - Europe:</t>
  </si>
  <si>
    <t># Patients At High Risk for VOD - Europe:</t>
  </si>
  <si>
    <t># Patients - Incidence of VOD - Europe:</t>
  </si>
  <si>
    <t># Patients Eligible for Treatment - Europe:</t>
  </si>
  <si>
    <t>% of EU Market on Defitelio Medication:</t>
  </si>
  <si>
    <t>Defitelio Sales:</t>
  </si>
  <si>
    <t>Post-Toggle % of EU Market on Defitelio Medication:</t>
  </si>
  <si>
    <t>Pipeline Drugs and Other Product Sales:</t>
  </si>
  <si>
    <t>Other Product Sales:</t>
  </si>
  <si>
    <t>Revenue per Sales Rep - All Drugs:</t>
  </si>
  <si>
    <t>Xyrem - Average # of Patients Throughout the Year:</t>
  </si>
  <si>
    <t>% of Xyrem Patients on JZP-110 Medication:</t>
  </si>
  <si>
    <t>Post-Toggle % of Market on JZP-110 Medication:</t>
  </si>
  <si>
    <t>Annual Price Per Patient - JZP-110:</t>
  </si>
  <si>
    <t>JZP-110 - Revenue:</t>
  </si>
  <si>
    <t>JZP-110 - Risk-Adjusted Revenue:</t>
  </si>
  <si>
    <t>Annual Risk-Adjusted Revenue Growth Rate:</t>
  </si>
  <si>
    <t>Total JZP-110 Patients:</t>
  </si>
  <si>
    <t>JZP-110 - Market Penetration Sensitivity Toggle:</t>
  </si>
  <si>
    <t>JZP-386 - Risk-Adjusted Revenue:</t>
  </si>
  <si>
    <t>Risk-Adjusted Pipeline Drug Sales:</t>
  </si>
  <si>
    <t>Other Sales and Royalties:</t>
  </si>
  <si>
    <t>Selling, General, and Administrative:</t>
  </si>
  <si>
    <t>Total Cost of Product Sales:</t>
  </si>
  <si>
    <t>Average SG&amp;A Expense per Sales Rep:</t>
  </si>
  <si>
    <t>Research and Development % Revenue:</t>
  </si>
  <si>
    <t>Research and Development:</t>
  </si>
  <si>
    <t>Total Liabilities:</t>
  </si>
  <si>
    <t>Income from Discontinued Operations:</t>
  </si>
  <si>
    <t>Tax Provision / (Benefit):</t>
  </si>
  <si>
    <t>Losses and Other Items:</t>
  </si>
  <si>
    <t>ST Deferred Revenue % Revenue:</t>
  </si>
  <si>
    <t>LT Deferred Revenue % Revenue:</t>
  </si>
  <si>
    <t>Depreciation % Revenue:</t>
  </si>
  <si>
    <t>Other Non-Current Assets:</t>
  </si>
  <si>
    <t>Non-Current Assets:</t>
  </si>
  <si>
    <t>Total Non-Current Assets:</t>
  </si>
  <si>
    <t>Amortization of Intangible Assets:</t>
  </si>
  <si>
    <t>Change in Fair Value of Contingent Consideration:</t>
  </si>
  <si>
    <t>Accounts Payable % Cost of Sales:</t>
  </si>
  <si>
    <t>Inventories % Cost of Sales:</t>
  </si>
  <si>
    <t>Capital Expenditures % Revenue:</t>
  </si>
  <si>
    <t>Non-Current Liabilities:</t>
  </si>
  <si>
    <t>Other Non-Current Liabilities:</t>
  </si>
  <si>
    <t>Non-Current Deferred Revenue:</t>
  </si>
  <si>
    <t>Weighted Average Diluted Shares Outstanding:</t>
  </si>
  <si>
    <t>Diluted Earnings Per Share (EPS):</t>
  </si>
  <si>
    <t>Shareholders' Equity:</t>
  </si>
  <si>
    <t>Total Shareholders' Equity:</t>
  </si>
  <si>
    <t>Noncontrolling Interests:</t>
  </si>
  <si>
    <t>Acquired In-Process Research &amp; Development:</t>
  </si>
  <si>
    <t>Change in Noncontrolling Interests:</t>
  </si>
  <si>
    <t>Payment of Contingent Consideration:</t>
  </si>
  <si>
    <t>Sensitivity Toggles for Key Revenue and Expense Assumptions:</t>
  </si>
  <si>
    <t>Jazz Pharmaceuticals plc</t>
  </si>
  <si>
    <t>Most Recent Quarter End Date:</t>
  </si>
  <si>
    <t>Next Fiscal Year:</t>
  </si>
  <si>
    <t>Millions</t>
  </si>
  <si>
    <t>Accrued Liabilities:</t>
  </si>
  <si>
    <t>Accrued Liabilities % OpEx:</t>
  </si>
  <si>
    <t>Defitelio - Market Penetration Sensitivity Toggle:</t>
  </si>
  <si>
    <t>Defitelio - Annual Price Increase Sensitivity Toggle:</t>
  </si>
  <si>
    <t>JZP-110 - Risk Adjustment Factor (Phase 3 Clinical):</t>
  </si>
  <si>
    <t>Cell Inputs and Lookup Cells for Use in Public Comps:</t>
  </si>
  <si>
    <t>Labels for Comparables:</t>
  </si>
  <si>
    <t>Last Twelve Months</t>
  </si>
  <si>
    <t>LTM</t>
  </si>
  <si>
    <t>Forward Year 1</t>
  </si>
  <si>
    <t>Forward Year 2</t>
  </si>
  <si>
    <t>Forward Year 3</t>
  </si>
  <si>
    <t>Lookup Cells for Public Company Comparables:</t>
  </si>
  <si>
    <t>Company Name</t>
  </si>
  <si>
    <t>Share Price</t>
  </si>
  <si>
    <t>Equity Value</t>
  </si>
  <si>
    <t>Enterprise Value</t>
  </si>
  <si>
    <t>LTM Revenue</t>
  </si>
  <si>
    <t>Forward Year 1 Revenue</t>
  </si>
  <si>
    <t>Forward Year 2 Revenue</t>
  </si>
  <si>
    <t>LTM EBITDA</t>
  </si>
  <si>
    <t>Forward Year 1 EBITDA</t>
  </si>
  <si>
    <t>Forward Year 2 EBITDA</t>
  </si>
  <si>
    <t>LTM Net Income</t>
  </si>
  <si>
    <t>Forward Year 1 Net Income</t>
  </si>
  <si>
    <t>Forward Year 2 Net Income</t>
  </si>
  <si>
    <t>LTM Revenue Multiple</t>
  </si>
  <si>
    <t>Forward Year 1 Revenue Multiple</t>
  </si>
  <si>
    <t>Forward Year 2 Revenue Multiple</t>
  </si>
  <si>
    <t>LTM EBITDA Multiple</t>
  </si>
  <si>
    <t>Forward Year 1 EBITDA Multiple</t>
  </si>
  <si>
    <t>Forward Year 2 EBITDA Multiple</t>
  </si>
  <si>
    <t>LTM P/E Multiple</t>
  </si>
  <si>
    <t>Forward Year 1 P/E Multiple</t>
  </si>
  <si>
    <t>Forward Year 2 P/E Multiple</t>
  </si>
  <si>
    <t>Levered Beta</t>
  </si>
  <si>
    <t>Debt</t>
  </si>
  <si>
    <t>Tax Rate</t>
  </si>
  <si>
    <r>
      <t xml:space="preserve">Comparable Companies - Specialty Pharmaceutical Companies That Sell Primarily </t>
    </r>
    <r>
      <rPr>
        <b/>
        <i/>
        <sz val="14"/>
        <color theme="1"/>
        <rFont val="Calibri"/>
        <family val="2"/>
      </rPr>
      <t>Branded</t>
    </r>
    <r>
      <rPr>
        <b/>
        <sz val="14"/>
        <color theme="1"/>
        <rFont val="Calibri"/>
        <family val="2"/>
      </rPr>
      <t xml:space="preserve"> Drugs, with LTM Revenue Between $500 Million and $2 Billion</t>
    </r>
  </si>
  <si>
    <t>Operating Statistics</t>
  </si>
  <si>
    <t>Capitalization</t>
  </si>
  <si>
    <t>Share</t>
  </si>
  <si>
    <t>Equity</t>
  </si>
  <si>
    <t>Enterprise</t>
  </si>
  <si>
    <t>Revenue</t>
  </si>
  <si>
    <t>EBITDA</t>
  </si>
  <si>
    <t>Reported Net Income</t>
  </si>
  <si>
    <t>EBITDA Margin</t>
  </si>
  <si>
    <t>Ticker</t>
  </si>
  <si>
    <t>Price</t>
  </si>
  <si>
    <t>Value</t>
  </si>
  <si>
    <t>Growth</t>
  </si>
  <si>
    <t>VRTX</t>
  </si>
  <si>
    <t>ALXN</t>
  </si>
  <si>
    <t>SLXP</t>
  </si>
  <si>
    <t>UTHR</t>
  </si>
  <si>
    <t>CBST</t>
  </si>
  <si>
    <t>BMRN</t>
  </si>
  <si>
    <t>MDCO</t>
  </si>
  <si>
    <t>Maximum</t>
  </si>
  <si>
    <t>75th Percentile</t>
  </si>
  <si>
    <t>Median</t>
  </si>
  <si>
    <t>25th Percentile</t>
  </si>
  <si>
    <t>Minimum</t>
  </si>
  <si>
    <t>Valuation Statistics</t>
  </si>
  <si>
    <t xml:space="preserve">Enterprise Value / </t>
  </si>
  <si>
    <t>P / E Multiple</t>
  </si>
  <si>
    <t xml:space="preserve">The Medicines Company </t>
  </si>
  <si>
    <t>Calendarization</t>
  </si>
  <si>
    <t>Old Partial</t>
  </si>
  <si>
    <t>New Partial</t>
  </si>
  <si>
    <t>FY</t>
  </si>
  <si>
    <t>Cost of Sales:</t>
  </si>
  <si>
    <t>Interest and Other Income / (Expense):</t>
  </si>
  <si>
    <t>Pre-Tax Income:</t>
  </si>
  <si>
    <t>Taxes:</t>
  </si>
  <si>
    <t>Other Items:</t>
  </si>
  <si>
    <t>Reported Net Income:</t>
  </si>
  <si>
    <t>Amortization from the CFS:</t>
  </si>
  <si>
    <t>Acquired In-Process R&amp;D from the CFS:</t>
  </si>
  <si>
    <t>Depreciation from the CFS:</t>
  </si>
  <si>
    <t>Non-Recurring Charges:</t>
  </si>
  <si>
    <t>Balance Sheet Data</t>
  </si>
  <si>
    <t>Less: Cash &amp; Cash-Equivalents:</t>
  </si>
  <si>
    <t>Less: Equity Investments:</t>
  </si>
  <si>
    <t>Less: Other Non-Core Assets, Net:</t>
  </si>
  <si>
    <t>Less: Net Operating Losses:</t>
  </si>
  <si>
    <t>Plus: Total Debt:</t>
  </si>
  <si>
    <t>Plus: Preferred Stock:</t>
  </si>
  <si>
    <t>Plus: Noncontrolling Interests:</t>
  </si>
  <si>
    <t>Plus: Unfunded Pension Obligations:</t>
  </si>
  <si>
    <t>Plus: Capital Leases:</t>
  </si>
  <si>
    <t>Plus: Restructuring &amp; Other Liabilities:</t>
  </si>
  <si>
    <t>Equity Research Projections</t>
  </si>
  <si>
    <t>Projections</t>
  </si>
  <si>
    <t>Bank:</t>
  </si>
  <si>
    <t>JPM</t>
  </si>
  <si>
    <t>UBS</t>
  </si>
  <si>
    <t>MS</t>
  </si>
  <si>
    <t>DB</t>
  </si>
  <si>
    <t>CS</t>
  </si>
  <si>
    <t>Date:</t>
  </si>
  <si>
    <t>Diluted Shares Calculation</t>
  </si>
  <si>
    <t>Share Price as of the Valuation Date:</t>
  </si>
  <si>
    <t>Common Shares Outstanding:</t>
  </si>
  <si>
    <t>Options and Warrants:</t>
  </si>
  <si>
    <t>Total</t>
  </si>
  <si>
    <t>Strike</t>
  </si>
  <si>
    <t>Dilution</t>
  </si>
  <si>
    <t># Shares</t>
  </si>
  <si>
    <t>Strike Price</t>
  </si>
  <si>
    <t>Convertible Bonds:</t>
  </si>
  <si>
    <t>$ Amount</t>
  </si>
  <si>
    <t>Par Value</t>
  </si>
  <si>
    <t>Conv. Price</t>
  </si>
  <si>
    <t># RSUs</t>
  </si>
  <si>
    <t>Restricted Stock Units (RSUs):</t>
  </si>
  <si>
    <t>Total Diluted Shares:</t>
  </si>
  <si>
    <t>Valuation Metrics</t>
  </si>
  <si>
    <t>Equity Value:</t>
  </si>
  <si>
    <t>Enterprise Value:</t>
  </si>
  <si>
    <t>Beta:</t>
  </si>
  <si>
    <t>Valuation Multiples</t>
  </si>
  <si>
    <t>EV / Revenue:</t>
  </si>
  <si>
    <t>EV / EBITDA:</t>
  </si>
  <si>
    <t>P / E:</t>
  </si>
  <si>
    <t>Lookup Variables</t>
  </si>
  <si>
    <t>BioMarin Pharmaceutical Inc.</t>
  </si>
  <si>
    <t>Alexion Pharmaceuticals, Inc.</t>
  </si>
  <si>
    <t>Vertex Pharmaceuticals Inc.</t>
  </si>
  <si>
    <t>Salix Pharmaceuticals, Ltd.</t>
  </si>
  <si>
    <t>United Therapeutics Corporation</t>
  </si>
  <si>
    <t>Cubist Pharmaceuticals, Inc.</t>
  </si>
  <si>
    <t>JEFF</t>
  </si>
  <si>
    <t>Operating Metrics</t>
  </si>
  <si>
    <t>Transaction</t>
  </si>
  <si>
    <t xml:space="preserve">EV / </t>
  </si>
  <si>
    <t>USD FX</t>
  </si>
  <si>
    <t xml:space="preserve">Equity </t>
  </si>
  <si>
    <t>Acquirer Name</t>
  </si>
  <si>
    <t>Target Name</t>
  </si>
  <si>
    <t>Date</t>
  </si>
  <si>
    <t>Rate</t>
  </si>
  <si>
    <t>Mallinckrodt plc</t>
  </si>
  <si>
    <t>Questcor Pharmaceuticals, Inc.</t>
  </si>
  <si>
    <t>Forest Laboratories Inc.</t>
  </si>
  <si>
    <t>Aptalis Holdings Inc.</t>
  </si>
  <si>
    <t>Shire Pharmaceutical Holdings Ireland Limited</t>
  </si>
  <si>
    <t>ViroPharma Inc.</t>
  </si>
  <si>
    <t>Salix Pharmaceuticals, Inc.</t>
  </si>
  <si>
    <t>Santarus, Inc.</t>
  </si>
  <si>
    <t>Endo Health Solutions Inc.</t>
  </si>
  <si>
    <t>Paladin Labs Inc.</t>
  </si>
  <si>
    <t>Akorn, Inc.</t>
  </si>
  <si>
    <t>Hi-Tech Pharmacal Co., Inc.</t>
  </si>
  <si>
    <t>Valeant Pharmaceuticals International, Inc.</t>
  </si>
  <si>
    <t>Medicis Pharmaceutical Corporation</t>
  </si>
  <si>
    <t>TPG Capital, L.P.</t>
  </si>
  <si>
    <t>Par Pharmaceutical Companies Inc.</t>
  </si>
  <si>
    <t>Novartis AG</t>
  </si>
  <si>
    <t>Fougera Pharmaceuticals Inc.</t>
  </si>
  <si>
    <t>Takeda Pharmaceuticals U.S.A., Inc.</t>
  </si>
  <si>
    <t>URL Pharma, Inc.</t>
  </si>
  <si>
    <t>Genomma Lab Internacional SAB de CV</t>
  </si>
  <si>
    <t>Prestige Brands Holdings, Inc.</t>
  </si>
  <si>
    <t>Nestlé Health Science S.A.</t>
  </si>
  <si>
    <t>Prometheus Laboratories Inc.</t>
  </si>
  <si>
    <t>Pfizer Inc.</t>
  </si>
  <si>
    <t>King Pharmaceuticals LLC</t>
  </si>
  <si>
    <t>Endo Pharmaceuticals Holdings Inc.</t>
  </si>
  <si>
    <t>Qualitest Pharmaceuticals</t>
  </si>
  <si>
    <t>Celgene Corporation</t>
  </si>
  <si>
    <t>Abraxis BioScience, Inc.</t>
  </si>
  <si>
    <t>Astellas US Holding, Inc.</t>
  </si>
  <si>
    <t>OSI Pharmaceuticals Inc.</t>
  </si>
  <si>
    <t>Dainippon Sumitomo Pharma America Holdings, Inc.</t>
  </si>
  <si>
    <t>Sepracor, Inc.</t>
  </si>
  <si>
    <t>GlaxoSmithKline plc</t>
  </si>
  <si>
    <t>Stiefel Laboratories, Inc.</t>
  </si>
  <si>
    <t xml:space="preserve">Precedent Transactions - North American Pharmaceutical Sellers with Between $200 Million and $2 Billion In LTM Revenue, </t>
  </si>
  <si>
    <t>Announced Between January 1st, 2009 and May 9th, 2014</t>
  </si>
  <si>
    <t>Discounted Cash Flow (DCF) Analysis - Assumptions and Output:</t>
  </si>
  <si>
    <t>Discount Rate (WACC):</t>
  </si>
  <si>
    <t>Baseline Terminal EBITDA Multiple:</t>
  </si>
  <si>
    <t>Baseline Terminal Value:</t>
  </si>
  <si>
    <t>Implied Terminal FCF Growth Rate:</t>
  </si>
  <si>
    <t>Baseline Terminal FCF Growth Rate:</t>
  </si>
  <si>
    <t>Implied Terminal EBITDA Multiple:</t>
  </si>
  <si>
    <t>Use Multiples Method for TV?</t>
  </si>
  <si>
    <t>Implied Enterprise Value:</t>
  </si>
  <si>
    <t>% of Implied EV from Terminal Value:</t>
  </si>
  <si>
    <t>Implied Equity Value:</t>
  </si>
  <si>
    <t>Diluted Shares Outstanding:</t>
  </si>
  <si>
    <t>Implied Share Price from DCF:</t>
  </si>
  <si>
    <t>Premium / (Discount) to Current:</t>
  </si>
  <si>
    <t>Percentage of Year Remaining:</t>
  </si>
  <si>
    <t>Stub Period Fraction:</t>
  </si>
  <si>
    <t>Plus: Cash &amp; Cash-Equivalents:</t>
  </si>
  <si>
    <t>Plus: Equity Investments:</t>
  </si>
  <si>
    <t>Plus: Other Non-Core Assets, Net:</t>
  </si>
  <si>
    <t>Plus: Net Operating Losses:</t>
  </si>
  <si>
    <t>Less: Total Debt:</t>
  </si>
  <si>
    <t>Less: Preferred Stock:</t>
  </si>
  <si>
    <t>Less: Noncontrolling Interests:</t>
  </si>
  <si>
    <t>Less: Unfunded Pension Obligations:</t>
  </si>
  <si>
    <t>Less: Capital Leases:</t>
  </si>
  <si>
    <t>Less: Restructuring &amp; Other Liab.:</t>
  </si>
  <si>
    <t>Exercise</t>
  </si>
  <si>
    <t>Type:</t>
  </si>
  <si>
    <t>Number:</t>
  </si>
  <si>
    <t>Price:</t>
  </si>
  <si>
    <t>Dilution:</t>
  </si>
  <si>
    <t>RSUs:</t>
  </si>
  <si>
    <t>Total:</t>
  </si>
  <si>
    <t>Options A:</t>
  </si>
  <si>
    <t>Options B:</t>
  </si>
  <si>
    <t>Options C:</t>
  </si>
  <si>
    <t>Discount Rate Calculations - Assumptions</t>
  </si>
  <si>
    <t>Risk-Free Rate:</t>
  </si>
  <si>
    <t>Equity Risk Premium:</t>
  </si>
  <si>
    <t>Comparable Companies - Unlevered Beta Calculation</t>
  </si>
  <si>
    <t>Levered</t>
  </si>
  <si>
    <t>Unlevered</t>
  </si>
  <si>
    <t>Name</t>
  </si>
  <si>
    <t>Beta</t>
  </si>
  <si>
    <t>Cost of Equity Based on Historical Beta:</t>
  </si>
  <si>
    <t>WACC = Cost of Equity * % Equity + Cost of Debt * % Debt * (1 - Tax Rate) + Cost of Preferred Stock * % Preferred Stock</t>
  </si>
  <si>
    <t>Annual Revenue Growth Rate:</t>
  </si>
  <si>
    <t>Annual Operating Margin:</t>
  </si>
  <si>
    <t>Less: Taxes, Excluding Effect of Interest:</t>
  </si>
  <si>
    <t>Net Operating Profit After Tax (NOPAT):</t>
  </si>
  <si>
    <t>Total Adjustments for Non-Cash Charges:</t>
  </si>
  <si>
    <t>Changes in Operating Assets &amp; Liabilities:</t>
  </si>
  <si>
    <t>Total Changes in Operating Assets &amp; Liabilities:</t>
  </si>
  <si>
    <t>Less: Capital Expenditures:</t>
  </si>
  <si>
    <t>Normal Discount Period:</t>
  </si>
  <si>
    <t>Annual EBITDA:</t>
  </si>
  <si>
    <t>Q1 Results - Reported Income Statement and Cash Flow Statement Figures from Q1:</t>
  </si>
  <si>
    <t>Annual / Annualized Revenue Growth Rate:</t>
  </si>
  <si>
    <t>Annual / Annualized Operating Margin:</t>
  </si>
  <si>
    <t>Q1 Unlevered Free Cash Flow:</t>
  </si>
  <si>
    <t>Unlevered Free Cash Flow for Remaining Quarters:</t>
  </si>
  <si>
    <t>Unlevered Free Cash Flow Projections:</t>
  </si>
  <si>
    <t>FY14 - Q1</t>
  </si>
  <si>
    <t>Annual Unlevered Free Cash Flow:</t>
  </si>
  <si>
    <t>Annual Free Cash Flow Growth Rate:</t>
  </si>
  <si>
    <t>Annual EBITDA Growth Rate:</t>
  </si>
  <si>
    <t>Year Fraction</t>
  </si>
  <si>
    <t>Mid-Year Discount Period:</t>
  </si>
  <si>
    <t>Cost of Preferred Stock:</t>
  </si>
  <si>
    <t>Preferred</t>
  </si>
  <si>
    <t>% Debt</t>
  </si>
  <si>
    <t>Stock</t>
  </si>
  <si>
    <t>% Preferred</t>
  </si>
  <si>
    <t>% Equity</t>
  </si>
  <si>
    <t>Median:</t>
  </si>
  <si>
    <t>Current Capital Structure:</t>
  </si>
  <si>
    <t>"Optimal" Capital Structure:</t>
  </si>
  <si>
    <t>Cost of Equity Based on Comparables, Current Capital Structure:</t>
  </si>
  <si>
    <t>Cost of Equity Based on Comparables, "Optimal" Capital Structure:</t>
  </si>
  <si>
    <t>WACC, Current Capital Structure:</t>
  </si>
  <si>
    <t>WACC, Current Capital Structure and Historical Cost of Equity:</t>
  </si>
  <si>
    <t>WACC, "Optimal" Capital Structure:</t>
  </si>
  <si>
    <t>Average WACC Produced by All Methods:</t>
  </si>
  <si>
    <t>Preferred Stock</t>
  </si>
  <si>
    <t>Lesson Outline:</t>
  </si>
  <si>
    <t>Pre-Tax Cost of Debt:</t>
  </si>
  <si>
    <t>"I'd rather be vaguely right than precisely wrong." - John Maynard Keynes.</t>
  </si>
  <si>
    <r>
      <t xml:space="preserve">As an </t>
    </r>
    <r>
      <rPr>
        <b/>
        <sz val="11"/>
        <color theme="1"/>
        <rFont val="Calibri"/>
        <family val="2"/>
        <scheme val="minor"/>
      </rPr>
      <t>investor</t>
    </r>
    <r>
      <rPr>
        <sz val="11"/>
        <color theme="1"/>
        <rFont val="Calibri"/>
        <family val="2"/>
        <scheme val="minor"/>
      </rPr>
      <t>, it's impossible to be precisely correct - the purpose of sensitivities is to see if you're</t>
    </r>
  </si>
  <si>
    <r>
      <t>vaguely</t>
    </r>
    <r>
      <rPr>
        <sz val="11"/>
        <color theme="1"/>
        <rFont val="Calibri"/>
        <family val="2"/>
        <scheme val="minor"/>
      </rPr>
      <t xml:space="preserve"> correct, in the right direction - and even on the sell-side, you use these all the time in client</t>
    </r>
  </si>
  <si>
    <t>presentations to explain their options, even if the exact numbers/assumptions are different.</t>
  </si>
  <si>
    <t>Step 1: Any Adjustments Required Due to Discount Rate?</t>
  </si>
  <si>
    <t>Here, we'd argue that the Terminal FCF Growth Rate should be reduced to match the implied growth rate</t>
  </si>
  <si>
    <t>from the Terminal EBITDA multiple a bit more closely. More conservative than adjusting the multiple up.</t>
  </si>
  <si>
    <t>Step 2: Calculate the Implied Equity Value</t>
  </si>
  <si>
    <t>Work backwards and ADD cash and cash-like items and SUBTRACT debt/debt-like items.</t>
  </si>
  <si>
    <r>
      <rPr>
        <b/>
        <sz val="11"/>
        <color theme="1"/>
        <rFont val="Calibri"/>
        <family val="2"/>
        <scheme val="minor"/>
      </rPr>
      <t>Rule:</t>
    </r>
    <r>
      <rPr>
        <sz val="11"/>
        <color theme="1"/>
        <rFont val="Calibri"/>
        <family val="2"/>
        <scheme val="minor"/>
      </rPr>
      <t xml:space="preserve"> If you've factored in the income/expense from an item in the FCF projections,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also include</t>
    </r>
  </si>
  <si>
    <t>it here - and if you haven't factored it in, DO include it here (easiest to see this with cash and debt).</t>
  </si>
  <si>
    <r>
      <t xml:space="preserve">Link these in from the Public Comps calculations and calculate dilution based on the </t>
    </r>
    <r>
      <rPr>
        <i/>
        <sz val="11"/>
        <color theme="1"/>
        <rFont val="Calibri"/>
        <family val="2"/>
        <scheme val="minor"/>
      </rPr>
      <t>implied</t>
    </r>
    <r>
      <rPr>
        <sz val="11"/>
        <color theme="1"/>
        <rFont val="Calibri"/>
        <family val="2"/>
        <scheme val="minor"/>
      </rPr>
      <t xml:space="preserve"> share price</t>
    </r>
  </si>
  <si>
    <t>from the DCF instead of the current share price - more accurate this way, though not a big deal here.</t>
  </si>
  <si>
    <t>Step 4: Calculate the Implied Share Price and Check Your Work</t>
  </si>
  <si>
    <t>Divide the Implied Equity Value by Diluted Shares Outstanding, and look at the premium or discount to</t>
  </si>
  <si>
    <t>the current share price. Compare DCF output to equity research and other sources.</t>
  </si>
  <si>
    <t>Step 5: Create Sensitivity Tables for Analysis</t>
  </si>
  <si>
    <r>
      <t>ALWAYS:</t>
    </r>
    <r>
      <rPr>
        <sz val="11"/>
        <color theme="1"/>
        <rFont val="Calibri"/>
        <family val="2"/>
        <scheme val="minor"/>
      </rPr>
      <t xml:space="preserve"> Terminal FCF Growth Rate or EBITDA Multiple and Discount Rate; Revenue Growth, Margins,</t>
    </r>
  </si>
  <si>
    <t>and CapEx are also good to sensitize, though CapEx is irrelevant here.</t>
  </si>
  <si>
    <r>
      <t>More Specific:</t>
    </r>
    <r>
      <rPr>
        <sz val="11"/>
        <color theme="1"/>
        <rFont val="Calibri"/>
        <family val="2"/>
        <scheme val="minor"/>
      </rPr>
      <t xml:space="preserve"> Price vs. Volume Increases for Key Products, Market Penetration, and, specific to </t>
    </r>
  </si>
  <si>
    <t>biotech/pharma, the entrance of Xyrem generics into the market.</t>
  </si>
  <si>
    <r>
      <t>Rules of Thumb:</t>
    </r>
    <r>
      <rPr>
        <sz val="11"/>
        <color theme="1"/>
        <rFont val="Calibri"/>
        <family val="2"/>
        <scheme val="minor"/>
      </rPr>
      <t xml:space="preserve"> Can the company </t>
    </r>
    <r>
      <rPr>
        <i/>
        <sz val="11"/>
        <color theme="1"/>
        <rFont val="Calibri"/>
        <family val="2"/>
        <scheme val="minor"/>
      </rPr>
      <t>control</t>
    </r>
    <r>
      <rPr>
        <sz val="11"/>
        <color theme="1"/>
        <rFont val="Calibri"/>
        <family val="2"/>
        <scheme val="minor"/>
      </rPr>
      <t xml:space="preserve"> this assumption? And/or does it make a big impact on the </t>
    </r>
  </si>
  <si>
    <r>
      <t>Ranges:</t>
    </r>
    <r>
      <rPr>
        <sz val="11"/>
        <color theme="1"/>
        <rFont val="Calibri"/>
        <family val="2"/>
        <scheme val="minor"/>
      </rPr>
      <t xml:space="preserve"> We recommend +20% and -20% vs. the base case assumptions in most cases; can go more</t>
    </r>
  </si>
  <si>
    <t>in the negative direction to see the true "Downside" potential (mostly for buy-side roles - for bankers,</t>
  </si>
  <si>
    <t>of course, there is no "Downside" since all clients are wonderful!).</t>
  </si>
  <si>
    <t>Sensitivity - Terminal FCF Growth Rate vs. Discount Rate and Implied Share Price from DCF Analysis:</t>
  </si>
  <si>
    <t>Terminal FCF Growth Rate:</t>
  </si>
  <si>
    <t>Sensitivity - Xyrem Annual Prices Increases vs. Xyrem Market Penetration and Implied Share Price from DCF Analysis:</t>
  </si>
  <si>
    <t>Xyrem Annual Price Increases - Differential to Base Case Estimates:</t>
  </si>
  <si>
    <t>Xyrem Market Penetration - Differential to Base Case Estimates:</t>
  </si>
  <si>
    <t>Downside Sensitivity - Xyrem Annual Prices Increases vs. Xyrem Market Penetration and Implied Share Price from DCF Analysis:</t>
  </si>
  <si>
    <t>Sensitivity - Xyrem Annual Prices Increases vs. Xyrem Generics Entrance Year and Implied Share Price from DCF Analysis:</t>
  </si>
  <si>
    <t>Downside Sensitivity - Xyrem Annual Prices Increases vs. Xyrem Generics Entrance Year and Implied Share Price from DCF Analysis:</t>
  </si>
  <si>
    <t>Sensitivity - Defitelio Annual Prices Increases vs. Defitelio Market Penetration and Implied Share Price from DCF Analysis:</t>
  </si>
  <si>
    <t>Defitelio Annual Price Increases - Differential to Base Case Estimates:</t>
  </si>
  <si>
    <t>Defitelio Market Penetration - Differential to Base Case Estimates:</t>
  </si>
  <si>
    <t>Downside Sensitivity - Defitelio Annual Prices Increases vs. Defitelio Market Penetration and Implied Share Price from DCF Analysis:</t>
  </si>
  <si>
    <r>
      <t xml:space="preserve">analysis, even if the company has little-to-no control over it? Does it impact our </t>
    </r>
    <r>
      <rPr>
        <b/>
        <sz val="11"/>
        <color theme="1"/>
        <rFont val="Calibri"/>
        <family val="2"/>
        <scheme val="minor"/>
      </rPr>
      <t>narrative</t>
    </r>
    <r>
      <rPr>
        <sz val="11"/>
        <color theme="1"/>
        <rFont val="Calibri"/>
        <family val="2"/>
        <scheme val="minor"/>
      </rPr>
      <t>?</t>
    </r>
  </si>
  <si>
    <t>Step 3: Calculate Diluted Shares and Enable Circular References</t>
  </si>
  <si>
    <t>Conclusions:</t>
  </si>
  <si>
    <t>Company seems undervalued even with</t>
  </si>
  <si>
    <t>a significantly higher discount rate and/or</t>
  </si>
  <si>
    <t>a much lower long-term FCF growth rate.</t>
  </si>
  <si>
    <t>Supports our narrative that the market doesn't</t>
  </si>
  <si>
    <t>understand the company, and that it might be</t>
  </si>
  <si>
    <t>a good LONG candidate.</t>
  </si>
  <si>
    <t>Even if we're off by (20%) on pricing and market</t>
  </si>
  <si>
    <t>share, the company still seems undervalued.</t>
  </si>
  <si>
    <t>And if we're right, they might be undervalued by 50%+.</t>
  </si>
  <si>
    <t>Supports our narrative and investment thesis.</t>
  </si>
  <si>
    <t>In an extreme downside scenario, the company</t>
  </si>
  <si>
    <t xml:space="preserve">might only be worth $90-$100 per share - so when </t>
  </si>
  <si>
    <t>we think about risk factors and ways to mitigate risk,</t>
  </si>
  <si>
    <t>we might use that range to determine options to</t>
  </si>
  <si>
    <t>purchase or other protective measures to take.</t>
  </si>
  <si>
    <t>Even with a ~40% difference, we still wouldn't lose</t>
  </si>
  <si>
    <t>money.</t>
  </si>
  <si>
    <t>Even if generics enter much earlier on, in FY14-16,</t>
  </si>
  <si>
    <t>we still wouldn't lose much money; pricing increases</t>
  </si>
  <si>
    <t>also tend to matter more the longer it is before generics</t>
  </si>
  <si>
    <t>enter the market.</t>
  </si>
  <si>
    <t>Even with a "moderate" assumption of generics in</t>
  </si>
  <si>
    <t xml:space="preserve">FY18-FY20, the company still seems undervalued by </t>
  </si>
  <si>
    <t>a good amount.</t>
  </si>
  <si>
    <t>Even in an extreme downside case, with generics entering</t>
  </si>
  <si>
    <t>in FY14-FY16, we STILL wouldn't lose that much - implied</t>
  </si>
  <si>
    <t>share price of $110-$120 vs. $130 current.</t>
  </si>
  <si>
    <t>And we could use this data to support how we mitigate risk.</t>
  </si>
  <si>
    <t>This product doesn't matter too much, so our own views</t>
  </si>
  <si>
    <t>are not particularly relevant - share price impact is relatively</t>
  </si>
  <si>
    <t>small, even if we're off by a lot.</t>
  </si>
  <si>
    <t>Even if we're DRAMATICALLY off, the company's implied</t>
  </si>
  <si>
    <t>share price is not that much lower.</t>
  </si>
  <si>
    <t>Defitelio makes a marginal contribution to the company's</t>
  </si>
  <si>
    <t>value vs. all the Xyrem-specific assumptions above.</t>
  </si>
  <si>
    <t>PV of Terminal Value:</t>
  </si>
  <si>
    <t>Sum of PV of Free Cash Flows:</t>
  </si>
  <si>
    <t>Present Value of Free Cash Flow: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</si>
</sst>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FY&quot;yy"/>
    <numFmt numFmtId="165" formatCode="#,##0_);\(#,##0\);\-_);@_)"/>
    <numFmt numFmtId="166" formatCode="#,##0.0_);\(#,##0.0\);\-_);@_)"/>
    <numFmt numFmtId="167" formatCode="0_);\(0\)"/>
    <numFmt numFmtId="168" formatCode="0.0%"/>
    <numFmt numFmtId="169" formatCode="0.0%;\(0.0%\)"/>
    <numFmt numFmtId="170" formatCode="_(&quot;$&quot;* #,##0.0_);_(&quot;$&quot;* \(#,##0.0\);_(&quot;$&quot;* &quot;-&quot;?_);_(@_)"/>
    <numFmt numFmtId="171" formatCode="_(* #,##0.0_);_(* \(#,##0.0\);_(* &quot;-&quot;?_);_(@_)"/>
    <numFmt numFmtId="172" formatCode="&quot;$&quot;#,##0_);\(&quot;$&quot;#,##0\);&quot;OK!&quot;;&quot;ERROR&quot;"/>
    <numFmt numFmtId="173" formatCode="_(&quot;$&quot;* #,##0.000_);_(&quot;$&quot;* \(#,##0.000\);_(&quot;$&quot;* &quot;-&quot;???_);_(@_)"/>
    <numFmt numFmtId="174" formatCode="_(* #,##0.000_);_(* \(#,##0.000\);_(* &quot;-&quot;???_);_(@_)"/>
    <numFmt numFmtId="175" formatCode="&quot;Yes&quot;;;&quot;No&quot;"/>
    <numFmt numFmtId="176" formatCode="0.00%;\(0.00%\)"/>
    <numFmt numFmtId="177" formatCode="0.0\ \x"/>
    <numFmt numFmtId="178" formatCode="_(* #,##0.0_);_(* \(#,##0.0\);_(* &quot;-&quot;??_);_(@_)"/>
    <numFmt numFmtId="179" formatCode="0.0%;\(0.0%\);&quot;–&quot;;@"/>
    <numFmt numFmtId="180" formatCode="#,##0.000_);\(#,##0.000\);\-_);@_)"/>
    <numFmt numFmtId="181" formatCode="_(* #,##0.0000000_);_(* \(#,##0.0000000\);_(* &quot;-&quot;?_);_(@_)"/>
    <numFmt numFmtId="182" formatCode="_(#,##0_);\(#,##0\);_(&quot;–&quot;_);_(@_)"/>
    <numFmt numFmtId="183" formatCode="_(0.0%_);\(0.0%\);_(&quot;–&quot;_)_%;_(@_)_%"/>
    <numFmt numFmtId="184" formatCode="_(0.0%_);\(0.0%\);_(&quot;–&quot;_);_(@_)"/>
    <numFmt numFmtId="185" formatCode="_(#,##0.0_);\(#,##0.0\);_(&quot;–&quot;_);_(@_)"/>
    <numFmt numFmtId="186" formatCode="yyyy\-mm\-dd"/>
    <numFmt numFmtId="187" formatCode="yyyy\.mm\.dd"/>
    <numFmt numFmtId="188" formatCode="_(&quot;$&quot;#,##0.00_)_%;\(&quot;$&quot;#,##0.00\)_%;_(&quot;–&quot;_)_%;_(@_)_%"/>
    <numFmt numFmtId="189" formatCode="#,##0.000"/>
    <numFmt numFmtId="190" formatCode="0.0\ \x;[Red]\ 0.0\ \x"/>
    <numFmt numFmtId="191" formatCode="mm/dd/yyyy"/>
    <numFmt numFmtId="192" formatCode="_(* #,##0.0000_);_(* \(#,##0.0000\);_(* &quot;-&quot;????_);_(@_)"/>
    <numFmt numFmtId="193" formatCode="m/d/yyyy;@"/>
    <numFmt numFmtId="194" formatCode="_(* #,##0_);[Red]_(* \(#,##0\);_(* &quot;-&quot;_);_(@_)"/>
    <numFmt numFmtId="195" formatCode="_(0.0\ \x_);\(0.0\ \x\);_(&quot;–&quot;_);_(@_)"/>
    <numFmt numFmtId="196" formatCode="&quot;Yes&quot;;&quot;Yes&quot;;&quot;No&quot;"/>
    <numFmt numFmtId="197" formatCode="0.000"/>
    <numFmt numFmtId="198" formatCode="_(0.00%_);\(0.00%\);_(&quot;–&quot;_)_%;_(@_)_%"/>
    <numFmt numFmtId="199" formatCode="_(#,##0.00_)_%;\(#,##0.00\)_%;_(&quot;–&quot;_)_%;_(@_)_%"/>
    <numFmt numFmtId="200" formatCode="_(#,##0.00_);\(#,##0.00\);_(&quot;–&quot;_);_(@_)"/>
    <numFmt numFmtId="201" formatCode="0.0000%"/>
    <numFmt numFmtId="202" formatCode="0.0000"/>
    <numFmt numFmtId="203" formatCode="0.0%;\(0.0%\);\-_)_%;@_)_%"/>
  </numFmts>
  <fonts count="7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indexed="12"/>
      <name val="Calibri"/>
      <family val="2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i/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u/>
      <sz val="10"/>
      <color indexed="9"/>
      <name val="Calibri"/>
      <family val="2"/>
      <scheme val="minor"/>
    </font>
    <font>
      <u/>
      <sz val="10"/>
      <color indexed="9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Dashed">
        <color rgb="FFFF0000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B2B2B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3" fillId="2" borderId="3" applyNumberFormat="0" applyAlignment="0" applyProtection="0"/>
    <xf numFmtId="0" fontId="41" fillId="0" borderId="0"/>
    <xf numFmtId="0" fontId="17" fillId="0" borderId="0"/>
    <xf numFmtId="0" fontId="16" fillId="0" borderId="0"/>
    <xf numFmtId="0" fontId="50" fillId="0" borderId="0" applyAlignment="0"/>
    <xf numFmtId="0" fontId="15" fillId="0" borderId="0"/>
    <xf numFmtId="0" fontId="5" fillId="0" borderId="0"/>
    <xf numFmtId="0" fontId="2" fillId="0" borderId="0"/>
    <xf numFmtId="0" fontId="2" fillId="0" borderId="0"/>
    <xf numFmtId="0" fontId="67" fillId="0" borderId="0" applyNumberFormat="0" applyFill="0" applyBorder="0" applyAlignment="0" applyProtection="0"/>
    <xf numFmtId="0" fontId="1" fillId="0" borderId="0"/>
  </cellStyleXfs>
  <cellXfs count="749">
    <xf numFmtId="0" fontId="0" fillId="0" borderId="0" xfId="0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8" fillId="0" borderId="0" xfId="0" applyFont="1" applyBorder="1"/>
    <xf numFmtId="0" fontId="27" fillId="0" borderId="0" xfId="0" applyFont="1" applyBorder="1"/>
    <xf numFmtId="0" fontId="28" fillId="0" borderId="2" xfId="0" applyFont="1" applyBorder="1"/>
    <xf numFmtId="0" fontId="27" fillId="0" borderId="2" xfId="0" applyFont="1" applyBorder="1"/>
    <xf numFmtId="0" fontId="28" fillId="0" borderId="1" xfId="0" applyFont="1" applyBorder="1"/>
    <xf numFmtId="0" fontId="32" fillId="0" borderId="0" xfId="0" applyFont="1"/>
    <xf numFmtId="0" fontId="29" fillId="0" borderId="2" xfId="0" applyFont="1" applyBorder="1"/>
    <xf numFmtId="0" fontId="29" fillId="0" borderId="0" xfId="0" applyFont="1" applyBorder="1"/>
    <xf numFmtId="0" fontId="29" fillId="0" borderId="1" xfId="0" applyFont="1" applyBorder="1"/>
    <xf numFmtId="0" fontId="26" fillId="0" borderId="0" xfId="0" applyFont="1"/>
    <xf numFmtId="0" fontId="27" fillId="0" borderId="0" xfId="0" applyFont="1" applyAlignment="1"/>
    <xf numFmtId="0" fontId="27" fillId="0" borderId="0" xfId="0" applyFont="1" applyBorder="1" applyAlignment="1"/>
    <xf numFmtId="165" fontId="27" fillId="0" borderId="0" xfId="0" applyNumberFormat="1" applyFont="1" applyBorder="1" applyAlignment="1"/>
    <xf numFmtId="166" fontId="31" fillId="0" borderId="0" xfId="0" applyNumberFormat="1" applyFont="1" applyBorder="1" applyAlignment="1"/>
    <xf numFmtId="165" fontId="31" fillId="0" borderId="0" xfId="0" applyNumberFormat="1" applyFont="1" applyBorder="1" applyAlignment="1"/>
    <xf numFmtId="165" fontId="27" fillId="0" borderId="1" xfId="0" applyNumberFormat="1" applyFont="1" applyBorder="1" applyAlignment="1"/>
    <xf numFmtId="0" fontId="28" fillId="0" borderId="0" xfId="0" applyFont="1" applyBorder="1" applyAlignment="1">
      <alignment horizontal="left" indent="1"/>
    </xf>
    <xf numFmtId="0" fontId="26" fillId="0" borderId="0" xfId="0" applyFont="1" applyBorder="1"/>
    <xf numFmtId="166" fontId="27" fillId="0" borderId="0" xfId="0" applyNumberFormat="1" applyFont="1" applyBorder="1" applyAlignment="1"/>
    <xf numFmtId="0" fontId="26" fillId="0" borderId="0" xfId="0" applyFont="1" applyBorder="1" applyAlignment="1">
      <alignment horizontal="left" indent="1"/>
    </xf>
    <xf numFmtId="169" fontId="36" fillId="0" borderId="0" xfId="0" applyNumberFormat="1" applyFont="1" applyBorder="1" applyAlignment="1"/>
    <xf numFmtId="0" fontId="30" fillId="0" borderId="0" xfId="0" applyFont="1" applyBorder="1"/>
    <xf numFmtId="165" fontId="29" fillId="0" borderId="0" xfId="0" applyNumberFormat="1" applyFont="1" applyBorder="1" applyAlignment="1"/>
    <xf numFmtId="0" fontId="29" fillId="0" borderId="1" xfId="0" applyFont="1" applyBorder="1" applyAlignment="1">
      <alignment horizontal="left" indent="1"/>
    </xf>
    <xf numFmtId="0" fontId="29" fillId="0" borderId="0" xfId="0" applyFont="1" applyBorder="1" applyAlignment="1">
      <alignment horizontal="left" indent="1"/>
    </xf>
    <xf numFmtId="169" fontId="33" fillId="2" borderId="3" xfId="1" applyNumberFormat="1" applyFont="1" applyBorder="1" applyAlignment="1"/>
    <xf numFmtId="168" fontId="28" fillId="0" borderId="0" xfId="0" applyNumberFormat="1" applyFont="1" applyBorder="1"/>
    <xf numFmtId="169" fontId="38" fillId="0" borderId="0" xfId="1" applyNumberFormat="1" applyFont="1" applyFill="1" applyBorder="1" applyAlignment="1"/>
    <xf numFmtId="168" fontId="26" fillId="0" borderId="0" xfId="0" applyNumberFormat="1" applyFont="1" applyBorder="1"/>
    <xf numFmtId="0" fontId="25" fillId="0" borderId="0" xfId="0" applyFont="1" applyBorder="1"/>
    <xf numFmtId="170" fontId="31" fillId="0" borderId="0" xfId="0" applyNumberFormat="1" applyFont="1" applyBorder="1" applyAlignment="1"/>
    <xf numFmtId="170" fontId="27" fillId="0" borderId="0" xfId="0" applyNumberFormat="1" applyFont="1" applyBorder="1" applyAlignment="1"/>
    <xf numFmtId="171" fontId="31" fillId="0" borderId="0" xfId="0" applyNumberFormat="1" applyFont="1" applyBorder="1" applyAlignment="1"/>
    <xf numFmtId="171" fontId="27" fillId="0" borderId="0" xfId="0" applyNumberFormat="1" applyFont="1" applyBorder="1" applyAlignment="1"/>
    <xf numFmtId="171" fontId="29" fillId="0" borderId="1" xfId="0" applyNumberFormat="1" applyFont="1" applyBorder="1"/>
    <xf numFmtId="171" fontId="29" fillId="0" borderId="0" xfId="0" applyNumberFormat="1" applyFont="1" applyBorder="1"/>
    <xf numFmtId="171" fontId="25" fillId="0" borderId="0" xfId="0" applyNumberFormat="1" applyFont="1" applyBorder="1"/>
    <xf numFmtId="0" fontId="25" fillId="0" borderId="0" xfId="0" applyFont="1" applyBorder="1" applyAlignment="1">
      <alignment horizontal="left"/>
    </xf>
    <xf numFmtId="169" fontId="35" fillId="0" borderId="0" xfId="0" applyNumberFormat="1" applyFont="1" applyBorder="1" applyAlignment="1"/>
    <xf numFmtId="170" fontId="35" fillId="0" borderId="0" xfId="0" applyNumberFormat="1" applyFont="1" applyBorder="1" applyAlignment="1"/>
    <xf numFmtId="170" fontId="34" fillId="0" borderId="0" xfId="0" applyNumberFormat="1" applyFont="1" applyBorder="1" applyAlignment="1"/>
    <xf numFmtId="0" fontId="35" fillId="0" borderId="0" xfId="0" applyFont="1" applyAlignment="1"/>
    <xf numFmtId="171" fontId="31" fillId="0" borderId="0" xfId="0" applyNumberFormat="1" applyFont="1" applyBorder="1"/>
    <xf numFmtId="169" fontId="26" fillId="0" borderId="0" xfId="0" applyNumberFormat="1" applyFont="1" applyBorder="1"/>
    <xf numFmtId="0" fontId="23" fillId="0" borderId="0" xfId="0" applyFont="1"/>
    <xf numFmtId="37" fontId="31" fillId="2" borderId="3" xfId="1" applyNumberFormat="1" applyFont="1" applyBorder="1" applyAlignment="1">
      <alignment horizontal="center"/>
    </xf>
    <xf numFmtId="44" fontId="31" fillId="2" borderId="3" xfId="1" applyNumberFormat="1" applyFont="1" applyBorder="1"/>
    <xf numFmtId="42" fontId="23" fillId="0" borderId="0" xfId="0" applyNumberFormat="1" applyFont="1"/>
    <xf numFmtId="169" fontId="28" fillId="0" borderId="0" xfId="0" applyNumberFormat="1" applyFont="1"/>
    <xf numFmtId="0" fontId="27" fillId="0" borderId="0" xfId="0" applyFont="1" applyFill="1" applyAlignment="1"/>
    <xf numFmtId="0" fontId="27" fillId="0" borderId="0" xfId="0" applyFont="1" applyFill="1"/>
    <xf numFmtId="0" fontId="28" fillId="0" borderId="0" xfId="0" applyFont="1" applyFill="1"/>
    <xf numFmtId="0" fontId="23" fillId="0" borderId="0" xfId="0" applyFont="1" applyFill="1"/>
    <xf numFmtId="177" fontId="37" fillId="0" borderId="0" xfId="2" applyNumberFormat="1" applyFont="1" applyFill="1" applyBorder="1"/>
    <xf numFmtId="0" fontId="27" fillId="0" borderId="0" xfId="0" applyFont="1" applyFill="1" applyBorder="1" applyAlignment="1"/>
    <xf numFmtId="176" fontId="33" fillId="0" borderId="0" xfId="1" applyNumberFormat="1" applyFont="1" applyFill="1" applyBorder="1" applyAlignment="1"/>
    <xf numFmtId="171" fontId="27" fillId="0" borderId="0" xfId="0" applyNumberFormat="1" applyFont="1" applyFill="1" applyBorder="1" applyAlignment="1"/>
    <xf numFmtId="0" fontId="23" fillId="0" borderId="0" xfId="0" applyFont="1" applyFill="1" applyBorder="1" applyAlignment="1"/>
    <xf numFmtId="171" fontId="31" fillId="0" borderId="0" xfId="0" applyNumberFormat="1" applyFont="1" applyFill="1" applyBorder="1" applyAlignment="1"/>
    <xf numFmtId="177" fontId="33" fillId="0" borderId="0" xfId="2" applyNumberFormat="1" applyFont="1" applyFill="1" applyBorder="1" applyAlignment="1"/>
    <xf numFmtId="0" fontId="22" fillId="0" borderId="0" xfId="0" applyFont="1"/>
    <xf numFmtId="37" fontId="31" fillId="0" borderId="0" xfId="1" applyNumberFormat="1" applyFont="1" applyFill="1" applyBorder="1" applyAlignment="1"/>
    <xf numFmtId="175" fontId="31" fillId="0" borderId="0" xfId="0" applyNumberFormat="1" applyFont="1" applyFill="1" applyBorder="1" applyAlignment="1">
      <alignment horizontal="center"/>
    </xf>
    <xf numFmtId="171" fontId="29" fillId="0" borderId="0" xfId="0" applyNumberFormat="1" applyFont="1" applyBorder="1" applyAlignment="1"/>
    <xf numFmtId="0" fontId="22" fillId="0" borderId="0" xfId="0" applyFont="1" applyBorder="1" applyAlignment="1">
      <alignment horizontal="left" indent="1"/>
    </xf>
    <xf numFmtId="49" fontId="22" fillId="0" borderId="0" xfId="0" applyNumberFormat="1" applyFont="1" applyBorder="1" applyAlignment="1">
      <alignment horizontal="left" indent="1"/>
    </xf>
    <xf numFmtId="171" fontId="37" fillId="0" borderId="0" xfId="1" applyNumberFormat="1" applyFont="1" applyFill="1" applyBorder="1" applyAlignment="1"/>
    <xf numFmtId="0" fontId="22" fillId="0" borderId="0" xfId="0" applyFont="1" applyBorder="1" applyAlignment="1">
      <alignment horizontal="left" indent="2"/>
    </xf>
    <xf numFmtId="0" fontId="29" fillId="0" borderId="2" xfId="0" applyFont="1" applyBorder="1" applyAlignment="1">
      <alignment horizontal="left"/>
    </xf>
    <xf numFmtId="171" fontId="42" fillId="0" borderId="2" xfId="0" applyNumberFormat="1" applyFont="1" applyBorder="1"/>
    <xf numFmtId="0" fontId="28" fillId="0" borderId="0" xfId="0" applyFont="1" applyBorder="1" applyAlignment="1">
      <alignment horizontal="left" indent="2"/>
    </xf>
    <xf numFmtId="49" fontId="22" fillId="0" borderId="0" xfId="0" applyNumberFormat="1" applyFont="1" applyBorder="1"/>
    <xf numFmtId="171" fontId="43" fillId="0" borderId="0" xfId="0" applyNumberFormat="1" applyFont="1" applyBorder="1" applyAlignment="1"/>
    <xf numFmtId="171" fontId="43" fillId="0" borderId="0" xfId="0" applyNumberFormat="1" applyFont="1" applyBorder="1"/>
    <xf numFmtId="49" fontId="29" fillId="0" borderId="0" xfId="0" applyNumberFormat="1" applyFont="1" applyBorder="1"/>
    <xf numFmtId="171" fontId="31" fillId="0" borderId="2" xfId="0" applyNumberFormat="1" applyFont="1" applyBorder="1"/>
    <xf numFmtId="0" fontId="27" fillId="0" borderId="5" xfId="0" applyFont="1" applyBorder="1"/>
    <xf numFmtId="178" fontId="31" fillId="0" borderId="0" xfId="0" applyNumberFormat="1" applyFont="1" applyBorder="1" applyAlignment="1"/>
    <xf numFmtId="0" fontId="27" fillId="0" borderId="0" xfId="0" applyFont="1" applyFill="1" applyBorder="1"/>
    <xf numFmtId="0" fontId="21" fillId="0" borderId="0" xfId="0" applyFont="1" applyBorder="1" applyAlignment="1">
      <alignment horizontal="left"/>
    </xf>
    <xf numFmtId="178" fontId="29" fillId="0" borderId="2" xfId="0" applyNumberFormat="1" applyFont="1" applyBorder="1" applyAlignment="1"/>
    <xf numFmtId="178" fontId="27" fillId="0" borderId="0" xfId="0" applyNumberFormat="1" applyFont="1" applyBorder="1" applyAlignment="1"/>
    <xf numFmtId="0" fontId="20" fillId="0" borderId="0" xfId="0" applyFont="1" applyBorder="1" applyAlignment="1">
      <alignment horizontal="left"/>
    </xf>
    <xf numFmtId="179" fontId="20" fillId="0" borderId="0" xfId="0" applyNumberFormat="1" applyFont="1" applyBorder="1"/>
    <xf numFmtId="169" fontId="37" fillId="0" borderId="0" xfId="1" applyNumberFormat="1" applyFont="1" applyFill="1" applyBorder="1" applyAlignment="1"/>
    <xf numFmtId="178" fontId="25" fillId="0" borderId="2" xfId="0" applyNumberFormat="1" applyFont="1" applyBorder="1"/>
    <xf numFmtId="0" fontId="45" fillId="0" borderId="0" xfId="0" applyFont="1"/>
    <xf numFmtId="170" fontId="30" fillId="0" borderId="0" xfId="0" applyNumberFormat="1" applyFont="1" applyBorder="1"/>
    <xf numFmtId="166" fontId="29" fillId="0" borderId="0" xfId="0" applyNumberFormat="1" applyFont="1" applyBorder="1" applyAlignment="1"/>
    <xf numFmtId="180" fontId="29" fillId="0" borderId="0" xfId="0" applyNumberFormat="1" applyFont="1" applyBorder="1" applyAlignment="1"/>
    <xf numFmtId="171" fontId="43" fillId="0" borderId="1" xfId="0" applyNumberFormat="1" applyFont="1" applyBorder="1"/>
    <xf numFmtId="0" fontId="45" fillId="0" borderId="0" xfId="0" applyFont="1" applyAlignment="1"/>
    <xf numFmtId="181" fontId="30" fillId="0" borderId="0" xfId="0" applyNumberFormat="1" applyFont="1" applyBorder="1"/>
    <xf numFmtId="0" fontId="19" fillId="0" borderId="0" xfId="0" applyFont="1" applyBorder="1"/>
    <xf numFmtId="49" fontId="48" fillId="0" borderId="0" xfId="0" applyNumberFormat="1" applyFont="1" applyFill="1" applyBorder="1" applyAlignment="1">
      <alignment horizontal="left"/>
    </xf>
    <xf numFmtId="182" fontId="31" fillId="0" borderId="0" xfId="0" applyNumberFormat="1" applyFont="1" applyBorder="1" applyAlignment="1"/>
    <xf numFmtId="183" fontId="44" fillId="0" borderId="0" xfId="0" applyNumberFormat="1" applyFont="1" applyBorder="1" applyAlignment="1"/>
    <xf numFmtId="0" fontId="18" fillId="0" borderId="0" xfId="0" applyFont="1" applyBorder="1"/>
    <xf numFmtId="0" fontId="45" fillId="0" borderId="0" xfId="0" applyFont="1" applyFill="1" applyBorder="1"/>
    <xf numFmtId="183" fontId="31" fillId="0" borderId="0" xfId="0" applyNumberFormat="1" applyFont="1" applyBorder="1" applyAlignment="1"/>
    <xf numFmtId="0" fontId="18" fillId="0" borderId="0" xfId="0" applyFont="1" applyBorder="1" applyAlignment="1">
      <alignment horizontal="left"/>
    </xf>
    <xf numFmtId="0" fontId="31" fillId="0" borderId="0" xfId="0" applyFont="1" applyBorder="1" applyAlignment="1"/>
    <xf numFmtId="0" fontId="31" fillId="0" borderId="0" xfId="0" applyFont="1" applyBorder="1"/>
    <xf numFmtId="0" fontId="44" fillId="0" borderId="0" xfId="0" applyFont="1" applyBorder="1"/>
    <xf numFmtId="0" fontId="44" fillId="0" borderId="0" xfId="0" applyFont="1" applyBorder="1" applyAlignment="1"/>
    <xf numFmtId="0" fontId="44" fillId="0" borderId="0" xfId="0" applyNumberFormat="1" applyFont="1" applyBorder="1" applyAlignment="1"/>
    <xf numFmtId="49" fontId="18" fillId="0" borderId="0" xfId="0" applyNumberFormat="1" applyFont="1" applyBorder="1" applyAlignment="1">
      <alignment horizontal="left"/>
    </xf>
    <xf numFmtId="0" fontId="31" fillId="0" borderId="0" xfId="0" applyFont="1" applyAlignment="1">
      <alignment horizontal="right"/>
    </xf>
    <xf numFmtId="43" fontId="48" fillId="0" borderId="0" xfId="0" applyNumberFormat="1" applyFont="1" applyFill="1" applyBorder="1" applyAlignment="1"/>
    <xf numFmtId="49" fontId="31" fillId="2" borderId="3" xfId="1" applyNumberFormat="1" applyFont="1" applyAlignment="1">
      <alignment horizontal="left"/>
    </xf>
    <xf numFmtId="183" fontId="27" fillId="0" borderId="0" xfId="0" applyNumberFormat="1" applyFont="1" applyBorder="1" applyAlignment="1"/>
    <xf numFmtId="183" fontId="29" fillId="0" borderId="0" xfId="0" applyNumberFormat="1" applyFont="1" applyBorder="1" applyAlignment="1"/>
    <xf numFmtId="0" fontId="29" fillId="0" borderId="0" xfId="0" applyFont="1" applyBorder="1" applyAlignment="1">
      <alignment horizontal="left"/>
    </xf>
    <xf numFmtId="185" fontId="27" fillId="0" borderId="0" xfId="0" applyNumberFormat="1" applyFont="1"/>
    <xf numFmtId="185" fontId="31" fillId="0" borderId="0" xfId="0" applyNumberFormat="1" applyFont="1" applyBorder="1"/>
    <xf numFmtId="169" fontId="47" fillId="0" borderId="0" xfId="1" applyNumberFormat="1" applyFont="1" applyFill="1" applyBorder="1" applyAlignment="1"/>
    <xf numFmtId="0" fontId="14" fillId="0" borderId="0" xfId="0" applyFont="1" applyBorder="1"/>
    <xf numFmtId="0" fontId="29" fillId="0" borderId="0" xfId="0" applyFont="1" applyFill="1" applyBorder="1" applyAlignment="1">
      <alignment horizontal="left"/>
    </xf>
    <xf numFmtId="0" fontId="29" fillId="0" borderId="0" xfId="0" applyFont="1" applyFill="1" applyBorder="1"/>
    <xf numFmtId="164" fontId="29" fillId="0" borderId="0" xfId="0" applyNumberFormat="1" applyFont="1" applyBorder="1" applyAlignment="1">
      <alignment horizontal="center"/>
    </xf>
    <xf numFmtId="0" fontId="24" fillId="0" borderId="0" xfId="0" applyFont="1" applyFill="1"/>
    <xf numFmtId="171" fontId="31" fillId="0" borderId="0" xfId="0" applyNumberFormat="1" applyFont="1" applyFill="1"/>
    <xf numFmtId="171" fontId="35" fillId="0" borderId="0" xfId="0" applyNumberFormat="1" applyFont="1" applyFill="1" applyAlignment="1"/>
    <xf numFmtId="0" fontId="28" fillId="0" borderId="0" xfId="0" applyFont="1" applyFill="1" applyBorder="1"/>
    <xf numFmtId="171" fontId="33" fillId="2" borderId="3" xfId="1" applyNumberFormat="1" applyFont="1" applyFill="1" applyBorder="1" applyAlignment="1"/>
    <xf numFmtId="171" fontId="37" fillId="2" borderId="3" xfId="1" applyNumberFormat="1" applyFont="1" applyFill="1" applyBorder="1" applyAlignment="1"/>
    <xf numFmtId="183" fontId="33" fillId="2" borderId="3" xfId="1" applyNumberFormat="1" applyFont="1" applyBorder="1" applyAlignment="1"/>
    <xf numFmtId="182" fontId="35" fillId="0" borderId="0" xfId="0" applyNumberFormat="1" applyFont="1" applyBorder="1" applyAlignment="1"/>
    <xf numFmtId="183" fontId="51" fillId="0" borderId="0" xfId="0" applyNumberFormat="1" applyFont="1" applyBorder="1" applyAlignment="1"/>
    <xf numFmtId="182" fontId="37" fillId="2" borderId="3" xfId="1" applyNumberFormat="1" applyFont="1" applyBorder="1" applyAlignment="1"/>
    <xf numFmtId="49" fontId="49" fillId="0" borderId="0" xfId="0" applyNumberFormat="1" applyFont="1" applyFill="1" applyBorder="1" applyAlignment="1">
      <alignment horizontal="left" indent="1"/>
    </xf>
    <xf numFmtId="183" fontId="28" fillId="0" borderId="0" xfId="0" applyNumberFormat="1" applyFont="1"/>
    <xf numFmtId="0" fontId="14" fillId="0" borderId="0" xfId="0" applyFont="1"/>
    <xf numFmtId="182" fontId="37" fillId="0" borderId="8" xfId="1" applyNumberFormat="1" applyFont="1" applyFill="1" applyBorder="1" applyAlignment="1"/>
    <xf numFmtId="182" fontId="37" fillId="0" borderId="0" xfId="1" applyNumberFormat="1" applyFont="1" applyFill="1" applyBorder="1" applyAlignment="1"/>
    <xf numFmtId="49" fontId="13" fillId="0" borderId="0" xfId="0" applyNumberFormat="1" applyFont="1" applyBorder="1" applyAlignment="1">
      <alignment horizontal="left"/>
    </xf>
    <xf numFmtId="183" fontId="35" fillId="0" borderId="0" xfId="0" applyNumberFormat="1" applyFont="1" applyBorder="1" applyAlignment="1"/>
    <xf numFmtId="183" fontId="31" fillId="0" borderId="0" xfId="0" applyNumberFormat="1" applyFont="1"/>
    <xf numFmtId="183" fontId="37" fillId="2" borderId="3" xfId="1" applyNumberFormat="1" applyFont="1" applyBorder="1" applyAlignment="1"/>
    <xf numFmtId="49" fontId="12" fillId="0" borderId="0" xfId="0" applyNumberFormat="1" applyFont="1" applyBorder="1" applyAlignment="1">
      <alignment horizontal="left"/>
    </xf>
    <xf numFmtId="49" fontId="12" fillId="0" borderId="0" xfId="0" applyNumberFormat="1" applyFont="1" applyFill="1" applyBorder="1" applyAlignment="1">
      <alignment horizontal="left"/>
    </xf>
    <xf numFmtId="42" fontId="44" fillId="0" borderId="0" xfId="0" applyNumberFormat="1" applyFont="1" applyBorder="1" applyAlignment="1"/>
    <xf numFmtId="165" fontId="27" fillId="0" borderId="2" xfId="0" applyNumberFormat="1" applyFont="1" applyBorder="1" applyAlignment="1"/>
    <xf numFmtId="0" fontId="27" fillId="0" borderId="2" xfId="0" applyFont="1" applyFill="1" applyBorder="1"/>
    <xf numFmtId="183" fontId="27" fillId="0" borderId="2" xfId="0" applyNumberFormat="1" applyFont="1" applyBorder="1" applyAlignment="1"/>
    <xf numFmtId="169" fontId="47" fillId="0" borderId="2" xfId="1" applyNumberFormat="1" applyFont="1" applyFill="1" applyBorder="1" applyAlignment="1"/>
    <xf numFmtId="49" fontId="29" fillId="0" borderId="2" xfId="0" applyNumberFormat="1" applyFont="1" applyBorder="1" applyAlignment="1">
      <alignment horizontal="left"/>
    </xf>
    <xf numFmtId="0" fontId="19" fillId="0" borderId="2" xfId="0" applyFont="1" applyBorder="1"/>
    <xf numFmtId="182" fontId="31" fillId="0" borderId="2" xfId="0" applyNumberFormat="1" applyFont="1" applyBorder="1" applyAlignment="1"/>
    <xf numFmtId="0" fontId="12" fillId="0" borderId="0" xfId="0" applyFont="1" applyBorder="1" applyAlignment="1">
      <alignment horizontal="left" indent="2"/>
    </xf>
    <xf numFmtId="167" fontId="34" fillId="0" borderId="2" xfId="0" applyNumberFormat="1" applyFont="1" applyBorder="1" applyAlignment="1"/>
    <xf numFmtId="167" fontId="29" fillId="0" borderId="2" xfId="0" applyNumberFormat="1" applyFont="1" applyBorder="1" applyAlignment="1"/>
    <xf numFmtId="170" fontId="33" fillId="2" borderId="3" xfId="1" applyNumberFormat="1" applyFont="1" applyBorder="1" applyAlignment="1"/>
    <xf numFmtId="171" fontId="37" fillId="2" borderId="3" xfId="1" applyNumberFormat="1" applyFont="1" applyBorder="1" applyAlignment="1"/>
    <xf numFmtId="0" fontId="12" fillId="0" borderId="0" xfId="0" applyFont="1" applyBorder="1" applyAlignment="1">
      <alignment horizontal="left"/>
    </xf>
    <xf numFmtId="171" fontId="37" fillId="0" borderId="2" xfId="1" applyNumberFormat="1" applyFont="1" applyFill="1" applyBorder="1" applyAlignment="1"/>
    <xf numFmtId="170" fontId="18" fillId="0" borderId="0" xfId="0" applyNumberFormat="1" applyFont="1" applyBorder="1"/>
    <xf numFmtId="169" fontId="37" fillId="2" borderId="3" xfId="1" applyNumberFormat="1" applyFont="1" applyBorder="1" applyAlignment="1"/>
    <xf numFmtId="0" fontId="11" fillId="0" borderId="0" xfId="0" applyFont="1" applyBorder="1"/>
    <xf numFmtId="0" fontId="11" fillId="0" borderId="0" xfId="0" applyFont="1" applyFill="1" applyBorder="1"/>
    <xf numFmtId="171" fontId="35" fillId="0" borderId="0" xfId="0" applyNumberFormat="1" applyFont="1" applyBorder="1" applyAlignment="1"/>
    <xf numFmtId="49" fontId="11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9" fontId="27" fillId="0" borderId="0" xfId="0" applyNumberFormat="1" applyFont="1" applyBorder="1" applyAlignment="1"/>
    <xf numFmtId="49" fontId="1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 indent="1"/>
    </xf>
    <xf numFmtId="49" fontId="22" fillId="0" borderId="0" xfId="0" applyNumberFormat="1" applyFont="1" applyBorder="1" applyAlignment="1">
      <alignment horizontal="left"/>
    </xf>
    <xf numFmtId="49" fontId="22" fillId="0" borderId="0" xfId="0" applyNumberFormat="1" applyFont="1" applyFill="1" applyAlignment="1">
      <alignment horizontal="left"/>
    </xf>
    <xf numFmtId="49" fontId="20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49" fontId="14" fillId="0" borderId="0" xfId="0" applyNumberFormat="1" applyFont="1" applyFill="1" applyAlignment="1">
      <alignment horizontal="left"/>
    </xf>
    <xf numFmtId="171" fontId="37" fillId="2" borderId="4" xfId="1" applyNumberFormat="1" applyFont="1" applyFill="1" applyBorder="1" applyAlignment="1"/>
    <xf numFmtId="171" fontId="35" fillId="0" borderId="0" xfId="0" applyNumberFormat="1" applyFont="1" applyBorder="1"/>
    <xf numFmtId="171" fontId="35" fillId="0" borderId="2" xfId="0" applyNumberFormat="1" applyFont="1" applyBorder="1"/>
    <xf numFmtId="49" fontId="11" fillId="0" borderId="2" xfId="0" applyNumberFormat="1" applyFont="1" applyBorder="1" applyAlignment="1">
      <alignment horizontal="left" indent="1"/>
    </xf>
    <xf numFmtId="178" fontId="35" fillId="0" borderId="0" xfId="0" applyNumberFormat="1" applyFont="1" applyBorder="1" applyAlignment="1"/>
    <xf numFmtId="171" fontId="33" fillId="0" borderId="0" xfId="1" applyNumberFormat="1" applyFont="1" applyFill="1" applyBorder="1" applyAlignment="1"/>
    <xf numFmtId="178" fontId="31" fillId="2" borderId="9" xfId="0" applyNumberFormat="1" applyFont="1" applyFill="1" applyBorder="1" applyAlignment="1"/>
    <xf numFmtId="178" fontId="35" fillId="2" borderId="9" xfId="0" applyNumberFormat="1" applyFont="1" applyFill="1" applyBorder="1" applyAlignment="1"/>
    <xf numFmtId="0" fontId="11" fillId="0" borderId="2" xfId="0" applyFont="1" applyFill="1" applyBorder="1" applyAlignment="1">
      <alignment horizontal="left" indent="1"/>
    </xf>
    <xf numFmtId="171" fontId="35" fillId="0" borderId="0" xfId="0" applyNumberFormat="1" applyFont="1" applyFill="1"/>
    <xf numFmtId="49" fontId="10" fillId="0" borderId="0" xfId="0" applyNumberFormat="1" applyFont="1" applyBorder="1" applyAlignment="1">
      <alignment horizontal="left" indent="1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indent="1"/>
    </xf>
    <xf numFmtId="0" fontId="9" fillId="0" borderId="0" xfId="0" applyFont="1" applyBorder="1" applyAlignment="1">
      <alignment horizontal="left"/>
    </xf>
    <xf numFmtId="185" fontId="35" fillId="0" borderId="0" xfId="0" applyNumberFormat="1" applyFont="1" applyBorder="1"/>
    <xf numFmtId="170" fontId="25" fillId="0" borderId="0" xfId="0" applyNumberFormat="1" applyFont="1" applyBorder="1"/>
    <xf numFmtId="49" fontId="9" fillId="0" borderId="0" xfId="0" applyNumberFormat="1" applyFont="1" applyBorder="1" applyAlignment="1">
      <alignment horizontal="left" indent="1"/>
    </xf>
    <xf numFmtId="49" fontId="9" fillId="0" borderId="0" xfId="0" applyNumberFormat="1" applyFont="1" applyBorder="1" applyAlignment="1">
      <alignment horizontal="left"/>
    </xf>
    <xf numFmtId="171" fontId="31" fillId="2" borderId="9" xfId="0" applyNumberFormat="1" applyFont="1" applyFill="1" applyBorder="1" applyAlignment="1"/>
    <xf numFmtId="171" fontId="35" fillId="2" borderId="9" xfId="0" applyNumberFormat="1" applyFont="1" applyFill="1" applyBorder="1" applyAlignment="1"/>
    <xf numFmtId="49" fontId="9" fillId="0" borderId="0" xfId="0" applyNumberFormat="1" applyFont="1" applyFill="1" applyAlignment="1">
      <alignment horizontal="left"/>
    </xf>
    <xf numFmtId="171" fontId="31" fillId="0" borderId="2" xfId="0" applyNumberFormat="1" applyFont="1" applyBorder="1" applyAlignment="1"/>
    <xf numFmtId="44" fontId="29" fillId="0" borderId="0" xfId="0" applyNumberFormat="1" applyFont="1" applyBorder="1"/>
    <xf numFmtId="186" fontId="31" fillId="2" borderId="3" xfId="0" applyNumberFormat="1" applyFont="1" applyFill="1" applyBorder="1"/>
    <xf numFmtId="0" fontId="9" fillId="0" borderId="0" xfId="0" applyFont="1" applyFill="1" applyBorder="1"/>
    <xf numFmtId="186" fontId="35" fillId="2" borderId="3" xfId="0" applyNumberFormat="1" applyFont="1" applyFill="1" applyBorder="1"/>
    <xf numFmtId="0" fontId="8" fillId="0" borderId="0" xfId="0" applyFont="1"/>
    <xf numFmtId="49" fontId="31" fillId="2" borderId="3" xfId="1" applyNumberFormat="1" applyFont="1" applyAlignment="1">
      <alignment horizontal="center"/>
    </xf>
    <xf numFmtId="42" fontId="33" fillId="2" borderId="3" xfId="1" applyNumberFormat="1" applyFont="1" applyBorder="1" applyAlignment="1"/>
    <xf numFmtId="164" fontId="33" fillId="2" borderId="3" xfId="1" applyNumberFormat="1" applyFont="1" applyBorder="1" applyAlignment="1">
      <alignment horizontal="center"/>
    </xf>
    <xf numFmtId="184" fontId="28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49" fontId="7" fillId="0" borderId="0" xfId="0" applyNumberFormat="1" applyFont="1" applyBorder="1" applyAlignment="1">
      <alignment horizontal="left"/>
    </xf>
    <xf numFmtId="9" fontId="31" fillId="0" borderId="0" xfId="0" applyNumberFormat="1" applyFont="1" applyBorder="1" applyAlignment="1"/>
    <xf numFmtId="0" fontId="6" fillId="0" borderId="0" xfId="0" applyFont="1" applyFill="1" applyBorder="1"/>
    <xf numFmtId="183" fontId="36" fillId="0" borderId="0" xfId="0" applyNumberFormat="1" applyFont="1"/>
    <xf numFmtId="0" fontId="25" fillId="0" borderId="0" xfId="0" applyFont="1" applyFill="1" applyAlignment="1">
      <alignment horizontal="left" indent="1"/>
    </xf>
    <xf numFmtId="170" fontId="35" fillId="0" borderId="0" xfId="0" applyNumberFormat="1" applyFont="1" applyFill="1" applyBorder="1" applyAlignment="1"/>
    <xf numFmtId="49" fontId="14" fillId="0" borderId="0" xfId="0" applyNumberFormat="1" applyFont="1" applyFill="1" applyAlignment="1">
      <alignment horizontal="left" indent="1"/>
    </xf>
    <xf numFmtId="171" fontId="44" fillId="0" borderId="0" xfId="0" applyNumberFormat="1" applyFont="1" applyFill="1" applyBorder="1" applyAlignment="1"/>
    <xf numFmtId="171" fontId="35" fillId="0" borderId="0" xfId="0" applyNumberFormat="1" applyFont="1" applyFill="1" applyBorder="1" applyAlignment="1"/>
    <xf numFmtId="178" fontId="35" fillId="0" borderId="0" xfId="0" applyNumberFormat="1" applyFont="1" applyFill="1" applyBorder="1" applyAlignment="1"/>
    <xf numFmtId="0" fontId="21" fillId="0" borderId="0" xfId="0" applyFont="1" applyFill="1" applyAlignment="1">
      <alignment horizontal="left" indent="1"/>
    </xf>
    <xf numFmtId="171" fontId="31" fillId="0" borderId="2" xfId="0" applyNumberFormat="1" applyFont="1" applyFill="1" applyBorder="1" applyAlignment="1"/>
    <xf numFmtId="171" fontId="35" fillId="0" borderId="2" xfId="0" applyNumberFormat="1" applyFont="1" applyFill="1" applyBorder="1" applyAlignment="1"/>
    <xf numFmtId="171" fontId="31" fillId="0" borderId="0" xfId="0" applyNumberFormat="1" applyFont="1" applyFill="1" applyAlignment="1"/>
    <xf numFmtId="49" fontId="22" fillId="0" borderId="0" xfId="0" applyNumberFormat="1" applyFont="1" applyFill="1" applyAlignment="1">
      <alignment horizontal="left" indent="1"/>
    </xf>
    <xf numFmtId="0" fontId="22" fillId="0" borderId="0" xfId="0" applyFont="1" applyFill="1" applyAlignment="1">
      <alignment horizontal="left" indent="1"/>
    </xf>
    <xf numFmtId="49" fontId="9" fillId="0" borderId="0" xfId="0" applyNumberFormat="1" applyFont="1" applyFill="1" applyAlignment="1">
      <alignment horizontal="left" indent="1"/>
    </xf>
    <xf numFmtId="0" fontId="29" fillId="0" borderId="0" xfId="0" applyFont="1" applyFill="1"/>
    <xf numFmtId="170" fontId="29" fillId="0" borderId="0" xfId="0" applyNumberFormat="1" applyFont="1" applyFill="1" applyBorder="1" applyAlignment="1"/>
    <xf numFmtId="0" fontId="35" fillId="0" borderId="0" xfId="0" applyFont="1" applyFill="1" applyAlignment="1"/>
    <xf numFmtId="170" fontId="31" fillId="0" borderId="0" xfId="0" applyNumberFormat="1" applyFont="1" applyFill="1" applyBorder="1" applyAlignment="1"/>
    <xf numFmtId="0" fontId="7" fillId="0" borderId="0" xfId="0" applyFont="1" applyFill="1" applyAlignment="1">
      <alignment horizontal="left" indent="1"/>
    </xf>
    <xf numFmtId="49" fontId="22" fillId="0" borderId="0" xfId="0" applyNumberFormat="1" applyFont="1" applyFill="1" applyBorder="1" applyAlignment="1">
      <alignment horizontal="left" indent="1"/>
    </xf>
    <xf numFmtId="0" fontId="29" fillId="0" borderId="1" xfId="0" applyFont="1" applyFill="1" applyBorder="1"/>
    <xf numFmtId="0" fontId="28" fillId="0" borderId="1" xfId="0" applyFont="1" applyFill="1" applyBorder="1"/>
    <xf numFmtId="171" fontId="29" fillId="0" borderId="1" xfId="0" applyNumberFormat="1" applyFont="1" applyFill="1" applyBorder="1" applyAlignment="1"/>
    <xf numFmtId="171" fontId="2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left" indent="1"/>
    </xf>
    <xf numFmtId="178" fontId="35" fillId="0" borderId="0" xfId="0" applyNumberFormat="1" applyFont="1" applyFill="1" applyAlignment="1"/>
    <xf numFmtId="49" fontId="14" fillId="0" borderId="0" xfId="0" applyNumberFormat="1" applyFont="1" applyFill="1" applyBorder="1" applyAlignment="1">
      <alignment horizontal="left" indent="1"/>
    </xf>
    <xf numFmtId="0" fontId="29" fillId="0" borderId="1" xfId="0" applyFont="1" applyFill="1" applyBorder="1" applyAlignment="1">
      <alignment horizontal="left"/>
    </xf>
    <xf numFmtId="170" fontId="29" fillId="0" borderId="0" xfId="0" applyNumberFormat="1" applyFont="1" applyFill="1" applyAlignment="1"/>
    <xf numFmtId="171" fontId="34" fillId="0" borderId="1" xfId="0" applyNumberFormat="1" applyFont="1" applyFill="1" applyBorder="1" applyAlignment="1"/>
    <xf numFmtId="0" fontId="9" fillId="0" borderId="0" xfId="0" applyFont="1" applyFill="1" applyAlignment="1">
      <alignment horizontal="left" indent="1"/>
    </xf>
    <xf numFmtId="170" fontId="34" fillId="0" borderId="1" xfId="0" applyNumberFormat="1" applyFont="1" applyFill="1" applyBorder="1" applyAlignment="1"/>
    <xf numFmtId="44" fontId="27" fillId="0" borderId="0" xfId="0" applyNumberFormat="1" applyFont="1" applyFill="1" applyAlignment="1"/>
    <xf numFmtId="172" fontId="28" fillId="0" borderId="0" xfId="0" applyNumberFormat="1" applyFont="1" applyFill="1"/>
    <xf numFmtId="171" fontId="27" fillId="0" borderId="0" xfId="0" applyNumberFormat="1" applyFont="1" applyFill="1" applyAlignment="1"/>
    <xf numFmtId="49" fontId="20" fillId="0" borderId="0" xfId="0" applyNumberFormat="1" applyFont="1" applyFill="1" applyAlignment="1">
      <alignment horizontal="left" indent="1"/>
    </xf>
    <xf numFmtId="0" fontId="14" fillId="0" borderId="0" xfId="0" applyFont="1" applyFill="1" applyAlignment="1">
      <alignment horizontal="left" indent="1"/>
    </xf>
    <xf numFmtId="0" fontId="24" fillId="0" borderId="0" xfId="0" applyFont="1" applyFill="1" applyAlignment="1">
      <alignment horizontal="left" indent="1"/>
    </xf>
    <xf numFmtId="171" fontId="46" fillId="0" borderId="0" xfId="1" applyNumberFormat="1" applyFont="1" applyFill="1" applyBorder="1" applyAlignment="1"/>
    <xf numFmtId="178" fontId="27" fillId="0" borderId="0" xfId="0" applyNumberFormat="1" applyFont="1" applyFill="1" applyAlignment="1"/>
    <xf numFmtId="49" fontId="18" fillId="0" borderId="0" xfId="0" applyNumberFormat="1" applyFont="1" applyFill="1" applyAlignment="1">
      <alignment horizontal="left" indent="1"/>
    </xf>
    <xf numFmtId="170" fontId="29" fillId="0" borderId="1" xfId="0" applyNumberFormat="1" applyFont="1" applyFill="1" applyBorder="1"/>
    <xf numFmtId="173" fontId="29" fillId="0" borderId="0" xfId="0" applyNumberFormat="1" applyFont="1" applyFill="1"/>
    <xf numFmtId="171" fontId="27" fillId="0" borderId="2" xfId="0" applyNumberFormat="1" applyFont="1" applyFill="1" applyBorder="1" applyAlignment="1"/>
    <xf numFmtId="170" fontId="29" fillId="0" borderId="0" xfId="0" applyNumberFormat="1" applyFont="1" applyFill="1" applyBorder="1"/>
    <xf numFmtId="174" fontId="24" fillId="0" borderId="0" xfId="0" applyNumberFormat="1" applyFont="1" applyFill="1"/>
    <xf numFmtId="171" fontId="24" fillId="0" borderId="0" xfId="0" applyNumberFormat="1" applyFont="1" applyFill="1"/>
    <xf numFmtId="171" fontId="24" fillId="0" borderId="0" xfId="0" applyNumberFormat="1" applyFont="1" applyFill="1" applyAlignment="1"/>
    <xf numFmtId="0" fontId="27" fillId="3" borderId="0" xfId="0" applyFont="1" applyFill="1" applyBorder="1"/>
    <xf numFmtId="0" fontId="28" fillId="3" borderId="0" xfId="0" applyFont="1" applyFill="1" applyBorder="1"/>
    <xf numFmtId="0" fontId="29" fillId="3" borderId="2" xfId="0" applyFont="1" applyFill="1" applyBorder="1" applyAlignment="1">
      <alignment horizontal="centerContinuous"/>
    </xf>
    <xf numFmtId="0" fontId="28" fillId="3" borderId="2" xfId="0" applyFont="1" applyFill="1" applyBorder="1" applyAlignment="1">
      <alignment horizontal="centerContinuous"/>
    </xf>
    <xf numFmtId="0" fontId="29" fillId="3" borderId="7" xfId="0" applyFont="1" applyFill="1" applyBorder="1" applyAlignment="1">
      <alignment horizontal="centerContinuous"/>
    </xf>
    <xf numFmtId="0" fontId="27" fillId="3" borderId="2" xfId="0" applyFont="1" applyFill="1" applyBorder="1" applyAlignment="1">
      <alignment horizontal="centerContinuous"/>
    </xf>
    <xf numFmtId="0" fontId="29" fillId="3" borderId="2" xfId="0" applyFont="1" applyFill="1" applyBorder="1"/>
    <xf numFmtId="0" fontId="30" fillId="3" borderId="2" xfId="0" applyFont="1" applyFill="1" applyBorder="1"/>
    <xf numFmtId="164" fontId="29" fillId="3" borderId="2" xfId="0" applyNumberFormat="1" applyFont="1" applyFill="1" applyBorder="1" applyAlignment="1">
      <alignment horizontal="center"/>
    </xf>
    <xf numFmtId="164" fontId="29" fillId="3" borderId="7" xfId="0" applyNumberFormat="1" applyFont="1" applyFill="1" applyBorder="1" applyAlignment="1">
      <alignment horizontal="center"/>
    </xf>
    <xf numFmtId="164" fontId="29" fillId="3" borderId="6" xfId="0" applyNumberFormat="1" applyFont="1" applyFill="1" applyBorder="1" applyAlignment="1">
      <alignment horizontal="center"/>
    </xf>
    <xf numFmtId="0" fontId="27" fillId="3" borderId="2" xfId="0" applyFont="1" applyFill="1" applyBorder="1"/>
    <xf numFmtId="0" fontId="28" fillId="3" borderId="2" xfId="0" applyFont="1" applyFill="1" applyBorder="1"/>
    <xf numFmtId="0" fontId="27" fillId="3" borderId="2" xfId="0" applyFont="1" applyFill="1" applyBorder="1" applyAlignment="1"/>
    <xf numFmtId="0" fontId="28" fillId="3" borderId="0" xfId="0" applyFont="1" applyFill="1" applyBorder="1" applyAlignment="1">
      <alignment horizontal="left" indent="1"/>
    </xf>
    <xf numFmtId="0" fontId="27" fillId="3" borderId="0" xfId="0" applyFont="1" applyFill="1"/>
    <xf numFmtId="0" fontId="29" fillId="0" borderId="2" xfId="7" applyFont="1" applyBorder="1"/>
    <xf numFmtId="0" fontId="5" fillId="0" borderId="2" xfId="7" applyFont="1" applyBorder="1"/>
    <xf numFmtId="0" fontId="5" fillId="0" borderId="0" xfId="7" applyFont="1"/>
    <xf numFmtId="0" fontId="5" fillId="0" borderId="1" xfId="7" applyFont="1" applyBorder="1"/>
    <xf numFmtId="0" fontId="29" fillId="0" borderId="0" xfId="7" applyFont="1" applyBorder="1"/>
    <xf numFmtId="0" fontId="5" fillId="0" borderId="0" xfId="7" applyFont="1" applyBorder="1"/>
    <xf numFmtId="14" fontId="5" fillId="0" borderId="0" xfId="7" applyNumberFormat="1" applyFont="1" applyBorder="1"/>
    <xf numFmtId="187" fontId="44" fillId="0" borderId="0" xfId="0" applyNumberFormat="1" applyFont="1" applyFill="1" applyBorder="1"/>
    <xf numFmtId="0" fontId="52" fillId="0" borderId="0" xfId="7" applyFont="1" applyFill="1" applyBorder="1"/>
    <xf numFmtId="14" fontId="35" fillId="0" borderId="0" xfId="7" applyNumberFormat="1" applyFont="1" applyBorder="1"/>
    <xf numFmtId="1" fontId="35" fillId="0" borderId="0" xfId="7" applyNumberFormat="1" applyFont="1" applyBorder="1"/>
    <xf numFmtId="0" fontId="29" fillId="0" borderId="0" xfId="7" applyFont="1" applyFill="1" applyBorder="1"/>
    <xf numFmtId="1" fontId="35" fillId="0" borderId="0" xfId="7" applyNumberFormat="1" applyFont="1" applyFill="1" applyBorder="1"/>
    <xf numFmtId="0" fontId="35" fillId="0" borderId="0" xfId="7" applyFont="1" applyFill="1" applyBorder="1"/>
    <xf numFmtId="0" fontId="53" fillId="0" borderId="0" xfId="2" applyFont="1"/>
    <xf numFmtId="0" fontId="55" fillId="0" borderId="0" xfId="2" applyFont="1"/>
    <xf numFmtId="0" fontId="56" fillId="0" borderId="0" xfId="2" applyFont="1"/>
    <xf numFmtId="1" fontId="56" fillId="0" borderId="0" xfId="2" applyNumberFormat="1" applyFont="1"/>
    <xf numFmtId="0" fontId="57" fillId="4" borderId="10" xfId="7" applyFont="1" applyFill="1" applyBorder="1" applyAlignment="1">
      <alignment horizontal="left"/>
    </xf>
    <xf numFmtId="0" fontId="57" fillId="4" borderId="1" xfId="2" applyFont="1" applyFill="1" applyBorder="1"/>
    <xf numFmtId="0" fontId="58" fillId="4" borderId="1" xfId="2" applyFont="1" applyFill="1" applyBorder="1" applyAlignment="1">
      <alignment horizontal="centerContinuous"/>
    </xf>
    <xf numFmtId="0" fontId="59" fillId="4" borderId="1" xfId="2" applyFont="1" applyFill="1" applyBorder="1" applyAlignment="1">
      <alignment horizontal="centerContinuous"/>
    </xf>
    <xf numFmtId="0" fontId="60" fillId="4" borderId="1" xfId="2" applyFont="1" applyFill="1" applyBorder="1"/>
    <xf numFmtId="0" fontId="57" fillId="4" borderId="1" xfId="2" applyFont="1" applyFill="1" applyBorder="1" applyAlignment="1">
      <alignment horizontal="center"/>
    </xf>
    <xf numFmtId="0" fontId="60" fillId="4" borderId="1" xfId="2" applyFont="1" applyFill="1" applyBorder="1" applyAlignment="1">
      <alignment horizontal="centerContinuous"/>
    </xf>
    <xf numFmtId="0" fontId="60" fillId="4" borderId="11" xfId="2" applyFont="1" applyFill="1" applyBorder="1" applyAlignment="1">
      <alignment horizontal="centerContinuous"/>
    </xf>
    <xf numFmtId="0" fontId="60" fillId="4" borderId="12" xfId="2" applyFont="1" applyFill="1" applyBorder="1"/>
    <xf numFmtId="0" fontId="60" fillId="4" borderId="0" xfId="2" applyFont="1" applyFill="1" applyBorder="1"/>
    <xf numFmtId="0" fontId="57" fillId="4" borderId="0" xfId="2" applyFont="1" applyFill="1" applyBorder="1" applyAlignment="1">
      <alignment horizontal="center"/>
    </xf>
    <xf numFmtId="0" fontId="58" fillId="4" borderId="0" xfId="2" applyFont="1" applyFill="1" applyBorder="1" applyAlignment="1">
      <alignment horizontal="centerContinuous"/>
    </xf>
    <xf numFmtId="0" fontId="58" fillId="4" borderId="13" xfId="2" applyFont="1" applyFill="1" applyBorder="1" applyAlignment="1">
      <alignment horizontal="centerContinuous"/>
    </xf>
    <xf numFmtId="0" fontId="57" fillId="4" borderId="7" xfId="2" applyFont="1" applyFill="1" applyBorder="1"/>
    <xf numFmtId="0" fontId="57" fillId="4" borderId="2" xfId="2" applyFont="1" applyFill="1" applyBorder="1"/>
    <xf numFmtId="0" fontId="57" fillId="4" borderId="2" xfId="2" applyFont="1" applyFill="1" applyBorder="1" applyAlignment="1">
      <alignment horizontal="center"/>
    </xf>
    <xf numFmtId="14" fontId="57" fillId="4" borderId="2" xfId="2" applyNumberFormat="1" applyFont="1" applyFill="1" applyBorder="1" applyAlignment="1">
      <alignment horizontal="center"/>
    </xf>
    <xf numFmtId="14" fontId="57" fillId="4" borderId="14" xfId="2" applyNumberFormat="1" applyFont="1" applyFill="1" applyBorder="1" applyAlignment="1">
      <alignment horizontal="center"/>
    </xf>
    <xf numFmtId="44" fontId="56" fillId="0" borderId="0" xfId="2" applyNumberFormat="1" applyFont="1"/>
    <xf numFmtId="42" fontId="56" fillId="0" borderId="0" xfId="2" applyNumberFormat="1" applyFont="1"/>
    <xf numFmtId="42" fontId="56" fillId="0" borderId="0" xfId="2" applyNumberFormat="1" applyFont="1" applyBorder="1"/>
    <xf numFmtId="169" fontId="56" fillId="0" borderId="0" xfId="2" applyNumberFormat="1" applyFont="1"/>
    <xf numFmtId="43" fontId="56" fillId="0" borderId="0" xfId="2" applyNumberFormat="1" applyFont="1"/>
    <xf numFmtId="41" fontId="56" fillId="0" borderId="0" xfId="2" applyNumberFormat="1" applyFont="1"/>
    <xf numFmtId="0" fontId="56" fillId="0" borderId="10" xfId="2" applyFont="1" applyFill="1" applyBorder="1"/>
    <xf numFmtId="0" fontId="56" fillId="0" borderId="1" xfId="2" applyFont="1" applyFill="1" applyBorder="1"/>
    <xf numFmtId="44" fontId="56" fillId="0" borderId="1" xfId="2" applyNumberFormat="1" applyFont="1" applyFill="1" applyBorder="1"/>
    <xf numFmtId="42" fontId="56" fillId="0" borderId="1" xfId="2" applyNumberFormat="1" applyFont="1" applyBorder="1"/>
    <xf numFmtId="169" fontId="56" fillId="0" borderId="1" xfId="2" applyNumberFormat="1" applyFont="1" applyBorder="1"/>
    <xf numFmtId="169" fontId="56" fillId="0" borderId="11" xfId="2" applyNumberFormat="1" applyFont="1" applyBorder="1"/>
    <xf numFmtId="0" fontId="56" fillId="0" borderId="12" xfId="2" applyFont="1" applyFill="1" applyBorder="1"/>
    <xf numFmtId="0" fontId="56" fillId="0" borderId="0" xfId="2" applyFont="1" applyFill="1" applyBorder="1"/>
    <xf numFmtId="169" fontId="56" fillId="0" borderId="13" xfId="2" applyNumberFormat="1" applyFont="1" applyBorder="1"/>
    <xf numFmtId="0" fontId="55" fillId="5" borderId="15" xfId="2" applyFont="1" applyFill="1" applyBorder="1"/>
    <xf numFmtId="0" fontId="55" fillId="5" borderId="6" xfId="2" applyFont="1" applyFill="1" applyBorder="1"/>
    <xf numFmtId="44" fontId="55" fillId="5" borderId="6" xfId="2" applyNumberFormat="1" applyFont="1" applyFill="1" applyBorder="1"/>
    <xf numFmtId="42" fontId="55" fillId="5" borderId="6" xfId="2" applyNumberFormat="1" applyFont="1" applyFill="1" applyBorder="1"/>
    <xf numFmtId="169" fontId="55" fillId="5" borderId="6" xfId="2" applyNumberFormat="1" applyFont="1" applyFill="1" applyBorder="1"/>
    <xf numFmtId="169" fontId="55" fillId="5" borderId="16" xfId="2" applyNumberFormat="1" applyFont="1" applyFill="1" applyBorder="1"/>
    <xf numFmtId="0" fontId="55" fillId="0" borderId="0" xfId="2" applyFont="1" applyFill="1" applyBorder="1"/>
    <xf numFmtId="0" fontId="56" fillId="0" borderId="7" xfId="2" applyFont="1" applyFill="1" applyBorder="1"/>
    <xf numFmtId="0" fontId="55" fillId="0" borderId="2" xfId="2" applyFont="1" applyFill="1" applyBorder="1"/>
    <xf numFmtId="43" fontId="56" fillId="0" borderId="2" xfId="2" applyNumberFormat="1" applyFont="1" applyBorder="1"/>
    <xf numFmtId="41" fontId="56" fillId="0" borderId="2" xfId="2" applyNumberFormat="1" applyFont="1" applyBorder="1"/>
    <xf numFmtId="169" fontId="56" fillId="0" borderId="2" xfId="2" applyNumberFormat="1" applyFont="1" applyBorder="1"/>
    <xf numFmtId="169" fontId="56" fillId="0" borderId="14" xfId="2" applyNumberFormat="1" applyFont="1" applyBorder="1"/>
    <xf numFmtId="0" fontId="61" fillId="6" borderId="15" xfId="2" applyFont="1" applyFill="1" applyBorder="1"/>
    <xf numFmtId="0" fontId="61" fillId="6" borderId="6" xfId="2" applyFont="1" applyFill="1" applyBorder="1"/>
    <xf numFmtId="44" fontId="61" fillId="6" borderId="6" xfId="2" applyNumberFormat="1" applyFont="1" applyFill="1" applyBorder="1"/>
    <xf numFmtId="42" fontId="61" fillId="6" borderId="6" xfId="2" applyNumberFormat="1" applyFont="1" applyFill="1" applyBorder="1"/>
    <xf numFmtId="169" fontId="61" fillId="6" borderId="6" xfId="2" applyNumberFormat="1" applyFont="1" applyFill="1" applyBorder="1"/>
    <xf numFmtId="169" fontId="61" fillId="6" borderId="16" xfId="2" applyNumberFormat="1" applyFont="1" applyFill="1" applyBorder="1"/>
    <xf numFmtId="0" fontId="57" fillId="4" borderId="10" xfId="2" applyFont="1" applyFill="1" applyBorder="1"/>
    <xf numFmtId="0" fontId="60" fillId="4" borderId="11" xfId="2" applyFont="1" applyFill="1" applyBorder="1"/>
    <xf numFmtId="0" fontId="59" fillId="4" borderId="0" xfId="2" applyFont="1" applyFill="1" applyBorder="1" applyAlignment="1">
      <alignment horizontal="centerContinuous"/>
    </xf>
    <xf numFmtId="0" fontId="60" fillId="4" borderId="0" xfId="2" applyFont="1" applyFill="1" applyBorder="1" applyAlignment="1">
      <alignment horizontal="centerContinuous"/>
    </xf>
    <xf numFmtId="0" fontId="56" fillId="0" borderId="0" xfId="2" applyFont="1" applyAlignment="1">
      <alignment horizontal="center"/>
    </xf>
    <xf numFmtId="0" fontId="55" fillId="0" borderId="0" xfId="2" applyFont="1" applyAlignment="1">
      <alignment horizontal="center"/>
    </xf>
    <xf numFmtId="177" fontId="56" fillId="0" borderId="0" xfId="2" applyNumberFormat="1" applyFont="1"/>
    <xf numFmtId="177" fontId="56" fillId="0" borderId="1" xfId="2" applyNumberFormat="1" applyFont="1" applyBorder="1"/>
    <xf numFmtId="177" fontId="56" fillId="0" borderId="11" xfId="2" applyNumberFormat="1" applyFont="1" applyBorder="1"/>
    <xf numFmtId="177" fontId="56" fillId="0" borderId="13" xfId="2" applyNumberFormat="1" applyFont="1" applyBorder="1"/>
    <xf numFmtId="177" fontId="55" fillId="5" borderId="6" xfId="2" applyNumberFormat="1" applyFont="1" applyFill="1" applyBorder="1"/>
    <xf numFmtId="177" fontId="55" fillId="5" borderId="16" xfId="2" applyNumberFormat="1" applyFont="1" applyFill="1" applyBorder="1"/>
    <xf numFmtId="177" fontId="56" fillId="0" borderId="2" xfId="2" applyNumberFormat="1" applyFont="1" applyBorder="1"/>
    <xf numFmtId="177" fontId="56" fillId="0" borderId="14" xfId="2" applyNumberFormat="1" applyFont="1" applyBorder="1"/>
    <xf numFmtId="177" fontId="61" fillId="6" borderId="6" xfId="2" applyNumberFormat="1" applyFont="1" applyFill="1" applyBorder="1"/>
    <xf numFmtId="177" fontId="61" fillId="6" borderId="16" xfId="2" applyNumberFormat="1" applyFont="1" applyFill="1" applyBorder="1"/>
    <xf numFmtId="188" fontId="56" fillId="0" borderId="0" xfId="2" applyNumberFormat="1" applyFont="1"/>
    <xf numFmtId="0" fontId="58" fillId="4" borderId="1" xfId="7" applyFont="1" applyFill="1" applyBorder="1" applyAlignment="1">
      <alignment horizontal="left"/>
    </xf>
    <xf numFmtId="0" fontId="59" fillId="4" borderId="1" xfId="7" applyFont="1" applyFill="1" applyBorder="1" applyAlignment="1">
      <alignment horizontal="left"/>
    </xf>
    <xf numFmtId="0" fontId="57" fillId="4" borderId="11" xfId="7" applyFont="1" applyFill="1" applyBorder="1" applyAlignment="1">
      <alignment horizontal="right"/>
    </xf>
    <xf numFmtId="0" fontId="57" fillId="4" borderId="12" xfId="7" applyFont="1" applyFill="1" applyBorder="1" applyAlignment="1">
      <alignment horizontal="left"/>
    </xf>
    <xf numFmtId="0" fontId="58" fillId="4" borderId="0" xfId="7" applyFont="1" applyFill="1" applyBorder="1" applyAlignment="1">
      <alignment horizontal="left"/>
    </xf>
    <xf numFmtId="0" fontId="59" fillId="4" borderId="0" xfId="7" applyFont="1" applyFill="1" applyBorder="1" applyAlignment="1">
      <alignment horizontal="left"/>
    </xf>
    <xf numFmtId="0" fontId="57" fillId="4" borderId="13" xfId="7" applyFont="1" applyFill="1" applyBorder="1" applyAlignment="1">
      <alignment horizontal="right"/>
    </xf>
    <xf numFmtId="0" fontId="29" fillId="0" borderId="12" xfId="7" applyFont="1" applyBorder="1" applyAlignment="1">
      <alignment horizontal="centerContinuous"/>
    </xf>
    <xf numFmtId="0" fontId="5" fillId="0" borderId="0" xfId="7" applyFont="1" applyBorder="1" applyAlignment="1">
      <alignment horizontal="centerContinuous"/>
    </xf>
    <xf numFmtId="0" fontId="5" fillId="0" borderId="2" xfId="7" applyFont="1" applyBorder="1" applyAlignment="1">
      <alignment horizontal="centerContinuous"/>
    </xf>
    <xf numFmtId="0" fontId="5" fillId="0" borderId="14" xfId="7" applyFont="1" applyBorder="1" applyAlignment="1">
      <alignment horizontal="centerContinuous"/>
    </xf>
    <xf numFmtId="0" fontId="29" fillId="0" borderId="12" xfId="7" applyFont="1" applyFill="1" applyBorder="1" applyAlignment="1">
      <alignment horizontal="centerContinuous"/>
    </xf>
    <xf numFmtId="0" fontId="5" fillId="0" borderId="0" xfId="7" applyFont="1" applyFill="1" applyBorder="1" applyAlignment="1">
      <alignment horizontal="centerContinuous"/>
    </xf>
    <xf numFmtId="0" fontId="5" fillId="0" borderId="2" xfId="7" applyFont="1" applyFill="1" applyBorder="1" applyAlignment="1">
      <alignment horizontal="centerContinuous"/>
    </xf>
    <xf numFmtId="0" fontId="5" fillId="0" borderId="14" xfId="7" applyFont="1" applyFill="1" applyBorder="1" applyAlignment="1">
      <alignment horizontal="centerContinuous"/>
    </xf>
    <xf numFmtId="0" fontId="5" fillId="0" borderId="10" xfId="7" applyFont="1" applyBorder="1" applyAlignment="1">
      <alignment horizontal="center"/>
    </xf>
    <xf numFmtId="0" fontId="5" fillId="0" borderId="1" xfId="7" applyFont="1" applyBorder="1" applyAlignment="1">
      <alignment horizontal="center"/>
    </xf>
    <xf numFmtId="0" fontId="5" fillId="0" borderId="0" xfId="7" applyFont="1" applyBorder="1" applyAlignment="1">
      <alignment horizontal="center"/>
    </xf>
    <xf numFmtId="0" fontId="29" fillId="0" borderId="13" xfId="7" applyFont="1" applyBorder="1" applyAlignment="1">
      <alignment horizontal="center"/>
    </xf>
    <xf numFmtId="0" fontId="5" fillId="0" borderId="10" xfId="7" applyFont="1" applyFill="1" applyBorder="1" applyAlignment="1">
      <alignment horizontal="center"/>
    </xf>
    <xf numFmtId="0" fontId="5" fillId="0" borderId="1" xfId="7" applyFont="1" applyFill="1" applyBorder="1" applyAlignment="1">
      <alignment horizontal="center"/>
    </xf>
    <xf numFmtId="0" fontId="5" fillId="0" borderId="0" xfId="7" applyFont="1" applyFill="1" applyBorder="1" applyAlignment="1">
      <alignment horizontal="center"/>
    </xf>
    <xf numFmtId="0" fontId="29" fillId="0" borderId="13" xfId="7" applyFont="1" applyFill="1" applyBorder="1" applyAlignment="1">
      <alignment horizontal="center"/>
    </xf>
    <xf numFmtId="170" fontId="31" fillId="0" borderId="12" xfId="7" applyNumberFormat="1" applyFont="1" applyFill="1" applyBorder="1"/>
    <xf numFmtId="170" fontId="31" fillId="0" borderId="0" xfId="7" applyNumberFormat="1" applyFont="1" applyFill="1" applyBorder="1"/>
    <xf numFmtId="170" fontId="35" fillId="0" borderId="13" xfId="7" applyNumberFormat="1" applyFont="1" applyFill="1" applyBorder="1"/>
    <xf numFmtId="171" fontId="31" fillId="0" borderId="12" xfId="7" applyNumberFormat="1" applyFont="1" applyFill="1" applyBorder="1"/>
    <xf numFmtId="171" fontId="31" fillId="0" borderId="0" xfId="7" applyNumberFormat="1" applyFont="1" applyFill="1" applyBorder="1"/>
    <xf numFmtId="171" fontId="35" fillId="0" borderId="13" xfId="7" applyNumberFormat="1" applyFont="1" applyFill="1" applyBorder="1"/>
    <xf numFmtId="0" fontId="5" fillId="0" borderId="0" xfId="7" applyFont="1" applyAlignment="1">
      <alignment horizontal="left" indent="1"/>
    </xf>
    <xf numFmtId="171" fontId="35" fillId="0" borderId="12" xfId="7" applyNumberFormat="1" applyFont="1" applyFill="1" applyBorder="1"/>
    <xf numFmtId="171" fontId="35" fillId="0" borderId="0" xfId="7" applyNumberFormat="1" applyFont="1" applyFill="1" applyBorder="1"/>
    <xf numFmtId="0" fontId="5" fillId="0" borderId="0" xfId="7" applyFont="1" applyFill="1" applyBorder="1"/>
    <xf numFmtId="0" fontId="5" fillId="0" borderId="0" xfId="7" applyFont="1" applyFill="1" applyBorder="1" applyAlignment="1">
      <alignment horizontal="left" indent="1"/>
    </xf>
    <xf numFmtId="171" fontId="35" fillId="0" borderId="12" xfId="7" applyNumberFormat="1" applyFont="1" applyFill="1" applyBorder="1" applyAlignment="1">
      <alignment horizontal="right"/>
    </xf>
    <xf numFmtId="8" fontId="5" fillId="0" borderId="0" xfId="7" applyNumberFormat="1" applyFont="1"/>
    <xf numFmtId="6" fontId="5" fillId="0" borderId="0" xfId="7" applyNumberFormat="1" applyFont="1"/>
    <xf numFmtId="9" fontId="62" fillId="0" borderId="12" xfId="7" applyNumberFormat="1" applyFont="1" applyFill="1" applyBorder="1"/>
    <xf numFmtId="9" fontId="62" fillId="0" borderId="0" xfId="7" applyNumberFormat="1" applyFont="1" applyFill="1" applyBorder="1"/>
    <xf numFmtId="168" fontId="31" fillId="0" borderId="13" xfId="7" applyNumberFormat="1" applyFont="1" applyFill="1" applyBorder="1"/>
    <xf numFmtId="168" fontId="5" fillId="0" borderId="0" xfId="7" applyNumberFormat="1" applyFont="1"/>
    <xf numFmtId="168" fontId="62" fillId="0" borderId="13" xfId="7" applyNumberFormat="1" applyFont="1" applyFill="1" applyBorder="1"/>
    <xf numFmtId="0" fontId="5" fillId="0" borderId="12" xfId="7" applyFont="1" applyFill="1" applyBorder="1"/>
    <xf numFmtId="6" fontId="5" fillId="0" borderId="0" xfId="7" applyNumberFormat="1" applyFont="1" applyFill="1" applyBorder="1"/>
    <xf numFmtId="9" fontId="5" fillId="0" borderId="13" xfId="7" applyNumberFormat="1" applyFont="1" applyFill="1" applyBorder="1"/>
    <xf numFmtId="0" fontId="5" fillId="0" borderId="13" xfId="7" applyFont="1" applyFill="1" applyBorder="1"/>
    <xf numFmtId="170" fontId="35" fillId="0" borderId="12" xfId="7" applyNumberFormat="1" applyFont="1" applyFill="1" applyBorder="1"/>
    <xf numFmtId="170" fontId="35" fillId="0" borderId="0" xfId="7" applyNumberFormat="1" applyFont="1" applyFill="1" applyBorder="1"/>
    <xf numFmtId="0" fontId="5" fillId="0" borderId="12" xfId="7" applyFont="1" applyBorder="1"/>
    <xf numFmtId="0" fontId="5" fillId="0" borderId="13" xfId="7" applyFont="1" applyBorder="1"/>
    <xf numFmtId="8" fontId="5" fillId="0" borderId="0" xfId="7" applyNumberFormat="1" applyFont="1" applyBorder="1"/>
    <xf numFmtId="8" fontId="5" fillId="0" borderId="0" xfId="7" applyNumberFormat="1" applyFont="1" applyFill="1" applyBorder="1"/>
    <xf numFmtId="0" fontId="29" fillId="0" borderId="7" xfId="7" applyFont="1" applyBorder="1" applyAlignment="1">
      <alignment horizontal="centerContinuous"/>
    </xf>
    <xf numFmtId="0" fontId="5" fillId="0" borderId="13" xfId="7" applyFont="1" applyBorder="1" applyAlignment="1">
      <alignment horizontal="centerContinuous"/>
    </xf>
    <xf numFmtId="0" fontId="5" fillId="0" borderId="0" xfId="7" applyFont="1" applyAlignment="1">
      <alignment horizontal="left"/>
    </xf>
    <xf numFmtId="0" fontId="29" fillId="7" borderId="12" xfId="7" applyFont="1" applyFill="1" applyBorder="1" applyAlignment="1">
      <alignment horizontal="centerContinuous"/>
    </xf>
    <xf numFmtId="0" fontId="5" fillId="7" borderId="0" xfId="7" applyFont="1" applyFill="1" applyBorder="1" applyAlignment="1">
      <alignment horizontal="centerContinuous"/>
    </xf>
    <xf numFmtId="170" fontId="35" fillId="0" borderId="17" xfId="7" applyNumberFormat="1" applyFont="1" applyFill="1" applyBorder="1"/>
    <xf numFmtId="170" fontId="31" fillId="0" borderId="17" xfId="7" applyNumberFormat="1" applyFont="1" applyFill="1" applyBorder="1"/>
    <xf numFmtId="171" fontId="31" fillId="0" borderId="17" xfId="7" applyNumberFormat="1" applyFont="1" applyFill="1" applyBorder="1"/>
    <xf numFmtId="171" fontId="35" fillId="0" borderId="17" xfId="7" applyNumberFormat="1" applyFont="1" applyFill="1" applyBorder="1"/>
    <xf numFmtId="0" fontId="5" fillId="7" borderId="13" xfId="7" applyFont="1" applyFill="1" applyBorder="1" applyAlignment="1">
      <alignment horizontal="centerContinuous"/>
    </xf>
    <xf numFmtId="0" fontId="29" fillId="7" borderId="7" xfId="7" applyFont="1" applyFill="1" applyBorder="1" applyAlignment="1">
      <alignment horizontal="centerContinuous"/>
    </xf>
    <xf numFmtId="0" fontId="5" fillId="7" borderId="2" xfId="7" applyFont="1" applyFill="1" applyBorder="1" applyAlignment="1">
      <alignment horizontal="centerContinuous"/>
    </xf>
    <xf numFmtId="14" fontId="5" fillId="0" borderId="12" xfId="7" applyNumberFormat="1" applyFont="1" applyBorder="1" applyAlignment="1">
      <alignment horizontal="center"/>
    </xf>
    <xf numFmtId="14" fontId="5" fillId="0" borderId="0" xfId="7" applyNumberFormat="1" applyFont="1" applyBorder="1" applyAlignment="1">
      <alignment horizontal="center"/>
    </xf>
    <xf numFmtId="0" fontId="5" fillId="7" borderId="17" xfId="7" applyFont="1" applyFill="1" applyBorder="1" applyAlignment="1">
      <alignment horizontal="centerContinuous"/>
    </xf>
    <xf numFmtId="0" fontId="29" fillId="7" borderId="10" xfId="7" applyFont="1" applyFill="1" applyBorder="1" applyAlignment="1">
      <alignment horizontal="centerContinuous"/>
    </xf>
    <xf numFmtId="0" fontId="5" fillId="7" borderId="1" xfId="7" applyFont="1" applyFill="1" applyBorder="1" applyAlignment="1">
      <alignment horizontal="centerContinuous"/>
    </xf>
    <xf numFmtId="0" fontId="31" fillId="0" borderId="17" xfId="7" applyFont="1" applyBorder="1" applyAlignment="1">
      <alignment horizontal="centerContinuous"/>
    </xf>
    <xf numFmtId="49" fontId="31" fillId="0" borderId="17" xfId="7" applyNumberFormat="1" applyFont="1" applyBorder="1" applyAlignment="1">
      <alignment horizontal="centerContinuous"/>
    </xf>
    <xf numFmtId="186" fontId="31" fillId="0" borderId="17" xfId="7" applyNumberFormat="1" applyFont="1" applyBorder="1" applyAlignment="1">
      <alignment horizontal="centerContinuous"/>
    </xf>
    <xf numFmtId="0" fontId="5" fillId="7" borderId="11" xfId="7" applyFont="1" applyFill="1" applyBorder="1" applyAlignment="1">
      <alignment horizontal="centerContinuous"/>
    </xf>
    <xf numFmtId="170" fontId="62" fillId="0" borderId="17" xfId="7" applyNumberFormat="1" applyFont="1" applyFill="1" applyBorder="1"/>
    <xf numFmtId="171" fontId="62" fillId="0" borderId="17" xfId="7" applyNumberFormat="1" applyFont="1" applyFill="1" applyBorder="1"/>
    <xf numFmtId="0" fontId="5" fillId="7" borderId="18" xfId="7" applyFont="1" applyFill="1" applyBorder="1" applyAlignment="1">
      <alignment horizontal="centerContinuous"/>
    </xf>
    <xf numFmtId="44" fontId="31" fillId="0" borderId="17" xfId="7" applyNumberFormat="1" applyFont="1" applyFill="1" applyBorder="1"/>
    <xf numFmtId="44" fontId="31" fillId="0" borderId="17" xfId="7" applyNumberFormat="1" applyFont="1" applyBorder="1"/>
    <xf numFmtId="44" fontId="62" fillId="0" borderId="17" xfId="7" applyNumberFormat="1" applyFont="1" applyBorder="1"/>
    <xf numFmtId="4" fontId="31" fillId="0" borderId="17" xfId="7" applyNumberFormat="1" applyFont="1" applyFill="1" applyBorder="1" applyAlignment="1">
      <alignment horizontal="right"/>
    </xf>
    <xf numFmtId="4" fontId="31" fillId="0" borderId="17" xfId="7" applyNumberFormat="1" applyFont="1" applyBorder="1" applyAlignment="1">
      <alignment horizontal="right"/>
    </xf>
    <xf numFmtId="0" fontId="5" fillId="7" borderId="12" xfId="7" applyFont="1" applyFill="1" applyBorder="1"/>
    <xf numFmtId="0" fontId="5" fillId="7" borderId="0" xfId="7" applyFont="1" applyFill="1" applyBorder="1"/>
    <xf numFmtId="0" fontId="5" fillId="7" borderId="13" xfId="7" applyFont="1" applyFill="1" applyBorder="1"/>
    <xf numFmtId="0" fontId="29" fillId="0" borderId="15" xfId="7" applyFont="1" applyBorder="1" applyAlignment="1">
      <alignment horizontal="center"/>
    </xf>
    <xf numFmtId="0" fontId="29" fillId="0" borderId="6" xfId="7" applyFont="1" applyBorder="1" applyAlignment="1">
      <alignment horizontal="center"/>
    </xf>
    <xf numFmtId="0" fontId="29" fillId="0" borderId="16" xfId="7" applyFont="1" applyBorder="1" applyAlignment="1">
      <alignment horizontal="center"/>
    </xf>
    <xf numFmtId="189" fontId="31" fillId="0" borderId="17" xfId="7" applyNumberFormat="1" applyFont="1" applyBorder="1"/>
    <xf numFmtId="44" fontId="31" fillId="0" borderId="17" xfId="7" applyNumberFormat="1" applyFont="1" applyBorder="1" applyAlignment="1">
      <alignment horizontal="right"/>
    </xf>
    <xf numFmtId="189" fontId="5" fillId="0" borderId="17" xfId="7" applyNumberFormat="1" applyFont="1" applyBorder="1"/>
    <xf numFmtId="189" fontId="5" fillId="0" borderId="0" xfId="7" applyNumberFormat="1" applyFont="1"/>
    <xf numFmtId="0" fontId="5" fillId="8" borderId="12" xfId="7" applyFont="1" applyFill="1" applyBorder="1"/>
    <xf numFmtId="189" fontId="31" fillId="8" borderId="6" xfId="7" applyNumberFormat="1" applyFont="1" applyFill="1" applyBorder="1"/>
    <xf numFmtId="44" fontId="31" fillId="8" borderId="6" xfId="7" applyNumberFormat="1" applyFont="1" applyFill="1" applyBorder="1" applyAlignment="1">
      <alignment horizontal="right"/>
    </xf>
    <xf numFmtId="4" fontId="5" fillId="8" borderId="16" xfId="7" applyNumberFormat="1" applyFont="1" applyFill="1" applyBorder="1"/>
    <xf numFmtId="170" fontId="5" fillId="0" borderId="0" xfId="7" applyNumberFormat="1" applyFont="1"/>
    <xf numFmtId="170" fontId="31" fillId="0" borderId="17" xfId="7" applyNumberFormat="1" applyFont="1" applyBorder="1"/>
    <xf numFmtId="42" fontId="31" fillId="0" borderId="17" xfId="7" applyNumberFormat="1" applyFont="1" applyBorder="1"/>
    <xf numFmtId="44" fontId="31" fillId="0" borderId="6" xfId="7" applyNumberFormat="1" applyFont="1" applyBorder="1"/>
    <xf numFmtId="170" fontId="35" fillId="0" borderId="17" xfId="7" applyNumberFormat="1" applyFont="1" applyBorder="1"/>
    <xf numFmtId="189" fontId="31" fillId="8" borderId="1" xfId="7" applyNumberFormat="1" applyFont="1" applyFill="1" applyBorder="1"/>
    <xf numFmtId="44" fontId="31" fillId="8" borderId="1" xfId="7" applyNumberFormat="1" applyFont="1" applyFill="1" applyBorder="1" applyAlignment="1">
      <alignment horizontal="right"/>
    </xf>
    <xf numFmtId="4" fontId="5" fillId="8" borderId="11" xfId="7" applyNumberFormat="1" applyFont="1" applyFill="1" applyBorder="1"/>
    <xf numFmtId="189" fontId="31" fillId="8" borderId="13" xfId="7" applyNumberFormat="1" applyFont="1" applyFill="1" applyBorder="1"/>
    <xf numFmtId="189" fontId="31" fillId="0" borderId="17" xfId="7" applyNumberFormat="1" applyFont="1" applyFill="1" applyBorder="1"/>
    <xf numFmtId="189" fontId="35" fillId="0" borderId="17" xfId="7" applyNumberFormat="1" applyFont="1" applyFill="1" applyBorder="1"/>
    <xf numFmtId="189" fontId="31" fillId="8" borderId="0" xfId="7" applyNumberFormat="1" applyFont="1" applyFill="1" applyBorder="1"/>
    <xf numFmtId="189" fontId="31" fillId="8" borderId="16" xfId="7" applyNumberFormat="1" applyFont="1" applyFill="1" applyBorder="1"/>
    <xf numFmtId="0" fontId="5" fillId="7" borderId="7" xfId="7" applyFont="1" applyFill="1" applyBorder="1"/>
    <xf numFmtId="0" fontId="5" fillId="7" borderId="2" xfId="7" applyFont="1" applyFill="1" applyBorder="1"/>
    <xf numFmtId="4" fontId="29" fillId="0" borderId="17" xfId="7" applyNumberFormat="1" applyFont="1" applyBorder="1"/>
    <xf numFmtId="0" fontId="5" fillId="0" borderId="10" xfId="7" applyFont="1" applyBorder="1"/>
    <xf numFmtId="0" fontId="5" fillId="0" borderId="11" xfId="7" applyFont="1" applyBorder="1"/>
    <xf numFmtId="170" fontId="5" fillId="0" borderId="17" xfId="7" applyNumberFormat="1" applyFont="1" applyBorder="1"/>
    <xf numFmtId="4" fontId="31" fillId="0" borderId="17" xfId="7" applyNumberFormat="1" applyFont="1" applyBorder="1"/>
    <xf numFmtId="14" fontId="5" fillId="0" borderId="1" xfId="7" applyNumberFormat="1" applyFont="1" applyBorder="1" applyAlignment="1">
      <alignment horizontal="center"/>
    </xf>
    <xf numFmtId="14" fontId="5" fillId="0" borderId="11" xfId="7" applyNumberFormat="1" applyFont="1" applyBorder="1" applyAlignment="1">
      <alignment horizontal="center"/>
    </xf>
    <xf numFmtId="0" fontId="5" fillId="0" borderId="10" xfId="7" applyFont="1" applyBorder="1" applyAlignment="1">
      <alignment horizontal="centerContinuous"/>
    </xf>
    <xf numFmtId="190" fontId="35" fillId="0" borderId="10" xfId="7" applyNumberFormat="1" applyFont="1" applyBorder="1"/>
    <xf numFmtId="190" fontId="35" fillId="0" borderId="1" xfId="7" applyNumberFormat="1" applyFont="1" applyBorder="1"/>
    <xf numFmtId="190" fontId="35" fillId="0" borderId="11" xfId="7" applyNumberFormat="1" applyFont="1" applyBorder="1"/>
    <xf numFmtId="190" fontId="35" fillId="0" borderId="12" xfId="7" applyNumberFormat="1" applyFont="1" applyBorder="1"/>
    <xf numFmtId="190" fontId="35" fillId="0" borderId="0" xfId="7" applyNumberFormat="1" applyFont="1" applyBorder="1"/>
    <xf numFmtId="190" fontId="35" fillId="0" borderId="13" xfId="7" applyNumberFormat="1" applyFont="1" applyBorder="1"/>
    <xf numFmtId="190" fontId="35" fillId="0" borderId="7" xfId="7" applyNumberFormat="1" applyFont="1" applyBorder="1"/>
    <xf numFmtId="190" fontId="35" fillId="0" borderId="2" xfId="7" applyNumberFormat="1" applyFont="1" applyBorder="1"/>
    <xf numFmtId="190" fontId="35" fillId="0" borderId="14" xfId="7" applyNumberFormat="1" applyFont="1" applyBorder="1"/>
    <xf numFmtId="0" fontId="5" fillId="7" borderId="0" xfId="7" applyFont="1" applyFill="1"/>
    <xf numFmtId="0" fontId="5" fillId="7" borderId="11" xfId="7" applyFont="1" applyFill="1" applyBorder="1"/>
    <xf numFmtId="0" fontId="5" fillId="7" borderId="10" xfId="7" applyFont="1" applyFill="1" applyBorder="1"/>
    <xf numFmtId="0" fontId="5" fillId="7" borderId="1" xfId="7" applyFont="1" applyFill="1" applyBorder="1"/>
    <xf numFmtId="171" fontId="35" fillId="0" borderId="17" xfId="7" applyNumberFormat="1" applyFont="1" applyBorder="1"/>
    <xf numFmtId="190" fontId="35" fillId="0" borderId="17" xfId="7" applyNumberFormat="1" applyFont="1" applyBorder="1"/>
    <xf numFmtId="0" fontId="4" fillId="0" borderId="12" xfId="7" applyFont="1" applyFill="1" applyBorder="1"/>
    <xf numFmtId="0" fontId="4" fillId="0" borderId="0" xfId="7" applyFont="1" applyFill="1" applyBorder="1"/>
    <xf numFmtId="6" fontId="4" fillId="0" borderId="0" xfId="7" applyNumberFormat="1" applyFont="1" applyFill="1" applyBorder="1"/>
    <xf numFmtId="9" fontId="4" fillId="0" borderId="13" xfId="7" applyNumberFormat="1" applyFont="1" applyFill="1" applyBorder="1"/>
    <xf numFmtId="0" fontId="4" fillId="0" borderId="0" xfId="7" applyFont="1"/>
    <xf numFmtId="6" fontId="4" fillId="0" borderId="0" xfId="7" applyNumberFormat="1" applyFont="1"/>
    <xf numFmtId="171" fontId="4" fillId="0" borderId="0" xfId="7" applyNumberFormat="1" applyFont="1"/>
    <xf numFmtId="170" fontId="31" fillId="0" borderId="17" xfId="3" applyNumberFormat="1" applyFont="1" applyFill="1" applyBorder="1"/>
    <xf numFmtId="171" fontId="35" fillId="0" borderId="17" xfId="3" applyNumberFormat="1" applyFont="1" applyFill="1" applyBorder="1"/>
    <xf numFmtId="171" fontId="31" fillId="0" borderId="17" xfId="3" applyNumberFormat="1" applyFont="1" applyFill="1" applyBorder="1"/>
    <xf numFmtId="0" fontId="3" fillId="0" borderId="0" xfId="7" applyFont="1" applyFill="1" applyBorder="1"/>
    <xf numFmtId="0" fontId="28" fillId="0" borderId="0" xfId="7" applyFont="1" applyFill="1" applyBorder="1"/>
    <xf numFmtId="49" fontId="53" fillId="0" borderId="0" xfId="2" applyNumberFormat="1" applyFont="1"/>
    <xf numFmtId="0" fontId="34" fillId="0" borderId="0" xfId="2" applyFont="1"/>
    <xf numFmtId="0" fontId="35" fillId="0" borderId="0" xfId="2" applyFont="1"/>
    <xf numFmtId="0" fontId="41" fillId="0" borderId="0" xfId="2"/>
    <xf numFmtId="0" fontId="2" fillId="0" borderId="0" xfId="8"/>
    <xf numFmtId="0" fontId="57" fillId="4" borderId="1" xfId="2" applyFont="1" applyFill="1" applyBorder="1" applyAlignment="1">
      <alignment horizontal="centerContinuous"/>
    </xf>
    <xf numFmtId="0" fontId="58" fillId="4" borderId="11" xfId="2" applyFont="1" applyFill="1" applyBorder="1" applyAlignment="1">
      <alignment horizontal="centerContinuous"/>
    </xf>
    <xf numFmtId="0" fontId="57" fillId="4" borderId="12" xfId="2" applyFont="1" applyFill="1" applyBorder="1"/>
    <xf numFmtId="0" fontId="57" fillId="4" borderId="0" xfId="2" applyFont="1" applyFill="1" applyBorder="1"/>
    <xf numFmtId="0" fontId="57" fillId="4" borderId="0" xfId="2" applyFont="1" applyFill="1" applyBorder="1" applyAlignment="1">
      <alignment horizontal="centerContinuous"/>
    </xf>
    <xf numFmtId="0" fontId="57" fillId="4" borderId="13" xfId="2" applyFont="1" applyFill="1" applyBorder="1" applyAlignment="1">
      <alignment horizontal="center"/>
    </xf>
    <xf numFmtId="0" fontId="57" fillId="4" borderId="7" xfId="2" applyFont="1" applyFill="1" applyBorder="1" applyAlignment="1">
      <alignment horizontal="center"/>
    </xf>
    <xf numFmtId="0" fontId="57" fillId="4" borderId="14" xfId="2" applyFont="1" applyFill="1" applyBorder="1" applyAlignment="1">
      <alignment horizontal="center"/>
    </xf>
    <xf numFmtId="0" fontId="63" fillId="0" borderId="0" xfId="5" applyFont="1" applyFill="1" applyBorder="1" applyAlignment="1">
      <alignment horizontal="left" vertical="top" wrapText="1"/>
    </xf>
    <xf numFmtId="191" fontId="64" fillId="0" borderId="0" xfId="5" applyNumberFormat="1" applyFont="1" applyFill="1" applyAlignment="1">
      <alignment horizontal="left" vertical="top"/>
    </xf>
    <xf numFmtId="42" fontId="56" fillId="0" borderId="0" xfId="0" applyNumberFormat="1" applyFont="1" applyFill="1" applyAlignment="1">
      <alignment horizontal="right" vertical="top" wrapText="1"/>
    </xf>
    <xf numFmtId="42" fontId="65" fillId="0" borderId="0" xfId="0" applyNumberFormat="1" applyFont="1" applyFill="1" applyAlignment="1">
      <alignment horizontal="right" vertical="top" wrapText="1"/>
    </xf>
    <xf numFmtId="190" fontId="56" fillId="0" borderId="0" xfId="9" applyNumberFormat="1" applyFont="1" applyFill="1" applyBorder="1"/>
    <xf numFmtId="41" fontId="65" fillId="0" borderId="0" xfId="0" applyNumberFormat="1" applyFont="1" applyFill="1" applyBorder="1" applyAlignment="1">
      <alignment horizontal="right" vertical="top" wrapText="1"/>
    </xf>
    <xf numFmtId="41" fontId="65" fillId="0" borderId="0" xfId="0" applyNumberFormat="1" applyFont="1" applyFill="1" applyAlignment="1">
      <alignment horizontal="right" vertical="top" wrapText="1"/>
    </xf>
    <xf numFmtId="0" fontId="2" fillId="0" borderId="0" xfId="8" applyFont="1"/>
    <xf numFmtId="41" fontId="56" fillId="0" borderId="0" xfId="0" applyNumberFormat="1" applyFont="1" applyFill="1" applyAlignment="1">
      <alignment horizontal="right" vertical="top" wrapText="1"/>
    </xf>
    <xf numFmtId="192" fontId="65" fillId="0" borderId="0" xfId="0" applyNumberFormat="1" applyFont="1" applyFill="1" applyAlignment="1">
      <alignment horizontal="right" vertical="top" wrapText="1"/>
    </xf>
    <xf numFmtId="0" fontId="45" fillId="0" borderId="0" xfId="8" applyFont="1"/>
    <xf numFmtId="41" fontId="56" fillId="0" borderId="0" xfId="0" applyNumberFormat="1" applyFont="1" applyFill="1" applyBorder="1" applyAlignment="1">
      <alignment horizontal="right" vertical="top" wrapText="1"/>
    </xf>
    <xf numFmtId="193" fontId="35" fillId="0" borderId="0" xfId="2" applyNumberFormat="1" applyFont="1" applyAlignment="1">
      <alignment horizontal="right"/>
    </xf>
    <xf numFmtId="194" fontId="66" fillId="0" borderId="0" xfId="2" applyNumberFormat="1" applyFont="1"/>
    <xf numFmtId="190" fontId="35" fillId="0" borderId="0" xfId="2" applyNumberFormat="1" applyFont="1" applyAlignment="1">
      <alignment horizontal="right"/>
    </xf>
    <xf numFmtId="0" fontId="35" fillId="0" borderId="0" xfId="2" applyFont="1" applyFill="1" applyBorder="1"/>
    <xf numFmtId="0" fontId="56" fillId="0" borderId="10" xfId="2" applyFont="1" applyFill="1" applyBorder="1" applyAlignment="1">
      <alignment horizontal="right"/>
    </xf>
    <xf numFmtId="0" fontId="56" fillId="0" borderId="1" xfId="2" applyFont="1" applyFill="1" applyBorder="1" applyAlignment="1">
      <alignment horizontal="right"/>
    </xf>
    <xf numFmtId="190" fontId="56" fillId="0" borderId="1" xfId="2" applyNumberFormat="1" applyFont="1" applyBorder="1"/>
    <xf numFmtId="190" fontId="56" fillId="0" borderId="11" xfId="2" applyNumberFormat="1" applyFont="1" applyBorder="1"/>
    <xf numFmtId="0" fontId="56" fillId="0" borderId="12" xfId="2" applyFont="1" applyFill="1" applyBorder="1" applyAlignment="1">
      <alignment horizontal="right"/>
    </xf>
    <xf numFmtId="0" fontId="56" fillId="0" borderId="0" xfId="2" applyFont="1" applyFill="1" applyBorder="1" applyAlignment="1">
      <alignment horizontal="right"/>
    </xf>
    <xf numFmtId="190" fontId="56" fillId="0" borderId="0" xfId="2" applyNumberFormat="1" applyFont="1"/>
    <xf numFmtId="190" fontId="56" fillId="0" borderId="13" xfId="2" applyNumberFormat="1" applyFont="1" applyBorder="1"/>
    <xf numFmtId="0" fontId="34" fillId="0" borderId="0" xfId="2" applyFont="1" applyFill="1" applyBorder="1"/>
    <xf numFmtId="0" fontId="55" fillId="5" borderId="15" xfId="2" applyFont="1" applyFill="1" applyBorder="1" applyAlignment="1">
      <alignment horizontal="right"/>
    </xf>
    <xf numFmtId="0" fontId="55" fillId="5" borderId="6" xfId="2" applyFont="1" applyFill="1" applyBorder="1" applyAlignment="1">
      <alignment horizontal="right"/>
    </xf>
    <xf numFmtId="190" fontId="55" fillId="5" borderId="6" xfId="2" applyNumberFormat="1" applyFont="1" applyFill="1" applyBorder="1"/>
    <xf numFmtId="190" fontId="55" fillId="5" borderId="16" xfId="2" applyNumberFormat="1" applyFont="1" applyFill="1" applyBorder="1"/>
    <xf numFmtId="0" fontId="56" fillId="0" borderId="7" xfId="2" applyFont="1" applyFill="1" applyBorder="1" applyAlignment="1">
      <alignment horizontal="right"/>
    </xf>
    <xf numFmtId="0" fontId="56" fillId="0" borderId="2" xfId="2" applyFont="1" applyFill="1" applyBorder="1" applyAlignment="1">
      <alignment horizontal="right"/>
    </xf>
    <xf numFmtId="190" fontId="56" fillId="0" borderId="2" xfId="2" applyNumberFormat="1" applyFont="1" applyBorder="1"/>
    <xf numFmtId="190" fontId="56" fillId="0" borderId="14" xfId="2" applyNumberFormat="1" applyFont="1" applyBorder="1"/>
    <xf numFmtId="0" fontId="41" fillId="0" borderId="0" xfId="2" applyFont="1"/>
    <xf numFmtId="171" fontId="56" fillId="0" borderId="0" xfId="2" applyNumberFormat="1" applyFont="1"/>
    <xf numFmtId="171" fontId="34" fillId="0" borderId="0" xfId="0" applyNumberFormat="1" applyFont="1" applyAlignment="1">
      <alignment horizontal="right" vertical="top" wrapText="1"/>
    </xf>
    <xf numFmtId="0" fontId="67" fillId="0" borderId="0" xfId="10"/>
    <xf numFmtId="0" fontId="68" fillId="0" borderId="0" xfId="10" applyFont="1"/>
    <xf numFmtId="0" fontId="1" fillId="0" borderId="0" xfId="8" applyFont="1"/>
    <xf numFmtId="190" fontId="41" fillId="0" borderId="0" xfId="2" applyNumberFormat="1"/>
    <xf numFmtId="0" fontId="55" fillId="0" borderId="0" xfId="2" applyFont="1" applyBorder="1"/>
    <xf numFmtId="0" fontId="56" fillId="0" borderId="0" xfId="2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35" fillId="0" borderId="0" xfId="2" applyFont="1" applyBorder="1"/>
    <xf numFmtId="170" fontId="1" fillId="0" borderId="0" xfId="0" applyNumberFormat="1" applyFont="1"/>
    <xf numFmtId="169" fontId="35" fillId="0" borderId="0" xfId="2" applyNumberFormat="1" applyFont="1" applyBorder="1"/>
    <xf numFmtId="196" fontId="31" fillId="2" borderId="9" xfId="2" applyNumberFormat="1" applyFont="1" applyFill="1" applyBorder="1" applyAlignment="1">
      <alignment horizontal="center"/>
    </xf>
    <xf numFmtId="0" fontId="35" fillId="0" borderId="0" xfId="2" applyFont="1" applyBorder="1" applyAlignment="1">
      <alignment horizontal="left" indent="1"/>
    </xf>
    <xf numFmtId="171" fontId="1" fillId="0" borderId="0" xfId="0" applyNumberFormat="1" applyFont="1" applyBorder="1"/>
    <xf numFmtId="0" fontId="35" fillId="0" borderId="2" xfId="2" applyFont="1" applyBorder="1" applyAlignment="1">
      <alignment horizontal="left" indent="1"/>
    </xf>
    <xf numFmtId="0" fontId="35" fillId="0" borderId="2" xfId="2" applyFont="1" applyBorder="1"/>
    <xf numFmtId="171" fontId="1" fillId="0" borderId="2" xfId="0" applyNumberFormat="1" applyFont="1" applyBorder="1"/>
    <xf numFmtId="0" fontId="34" fillId="0" borderId="0" xfId="2" applyFont="1" applyBorder="1"/>
    <xf numFmtId="170" fontId="29" fillId="0" borderId="0" xfId="0" applyNumberFormat="1" applyFont="1"/>
    <xf numFmtId="0" fontId="34" fillId="0" borderId="0" xfId="2" applyFont="1" applyAlignment="1">
      <alignment horizontal="left" indent="1"/>
    </xf>
    <xf numFmtId="171" fontId="34" fillId="0" borderId="0" xfId="2" applyNumberFormat="1" applyFont="1"/>
    <xf numFmtId="0" fontId="35" fillId="0" borderId="1" xfId="2" applyFont="1" applyBorder="1"/>
    <xf numFmtId="0" fontId="28" fillId="3" borderId="0" xfId="0" applyFont="1" applyFill="1"/>
    <xf numFmtId="0" fontId="27" fillId="3" borderId="0" xfId="0" applyFont="1" applyFill="1" applyAlignment="1"/>
    <xf numFmtId="0" fontId="0" fillId="0" borderId="0" xfId="0" applyBorder="1"/>
    <xf numFmtId="0" fontId="36" fillId="0" borderId="0" xfId="2" applyFont="1" applyBorder="1"/>
    <xf numFmtId="0" fontId="1" fillId="0" borderId="0" xfId="0" applyFont="1"/>
    <xf numFmtId="0" fontId="34" fillId="0" borderId="1" xfId="2" applyFont="1" applyBorder="1" applyAlignment="1">
      <alignment horizontal="left" indent="1"/>
    </xf>
    <xf numFmtId="171" fontId="34" fillId="0" borderId="1" xfId="2" applyNumberFormat="1" applyFont="1" applyBorder="1"/>
    <xf numFmtId="189" fontId="62" fillId="0" borderId="1" xfId="0" applyNumberFormat="1" applyFont="1" applyBorder="1"/>
    <xf numFmtId="44" fontId="62" fillId="0" borderId="1" xfId="0" applyNumberFormat="1" applyFont="1" applyBorder="1" applyAlignment="1">
      <alignment horizontal="right"/>
    </xf>
    <xf numFmtId="189" fontId="35" fillId="0" borderId="1" xfId="0" applyNumberFormat="1" applyFont="1" applyBorder="1"/>
    <xf numFmtId="189" fontId="62" fillId="0" borderId="0" xfId="0" applyNumberFormat="1" applyFont="1" applyBorder="1"/>
    <xf numFmtId="43" fontId="62" fillId="0" borderId="0" xfId="0" applyNumberFormat="1" applyFont="1" applyBorder="1" applyAlignment="1">
      <alignment horizontal="right"/>
    </xf>
    <xf numFmtId="189" fontId="35" fillId="0" borderId="0" xfId="0" applyNumberFormat="1" applyFont="1" applyBorder="1"/>
    <xf numFmtId="0" fontId="34" fillId="0" borderId="1" xfId="2" applyFont="1" applyBorder="1"/>
    <xf numFmtId="189" fontId="29" fillId="0" borderId="1" xfId="0" applyNumberFormat="1" applyFont="1" applyBorder="1"/>
    <xf numFmtId="0" fontId="29" fillId="3" borderId="0" xfId="0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53" fillId="0" borderId="0" xfId="0" applyFont="1" applyFill="1"/>
    <xf numFmtId="0" fontId="70" fillId="0" borderId="0" xfId="0" applyFont="1"/>
    <xf numFmtId="0" fontId="71" fillId="4" borderId="15" xfId="0" applyFont="1" applyFill="1" applyBorder="1"/>
    <xf numFmtId="0" fontId="71" fillId="4" borderId="6" xfId="0" applyFont="1" applyFill="1" applyBorder="1"/>
    <xf numFmtId="0" fontId="72" fillId="4" borderId="6" xfId="0" applyFont="1" applyFill="1" applyBorder="1"/>
    <xf numFmtId="0" fontId="72" fillId="4" borderId="16" xfId="0" applyFont="1" applyFill="1" applyBorder="1"/>
    <xf numFmtId="0" fontId="69" fillId="0" borderId="0" xfId="0" applyFont="1"/>
    <xf numFmtId="0" fontId="73" fillId="4" borderId="10" xfId="2" applyFont="1" applyFill="1" applyBorder="1"/>
    <xf numFmtId="0" fontId="73" fillId="4" borderId="1" xfId="2" applyFont="1" applyFill="1" applyBorder="1"/>
    <xf numFmtId="0" fontId="73" fillId="4" borderId="11" xfId="2" applyFont="1" applyFill="1" applyBorder="1"/>
    <xf numFmtId="0" fontId="73" fillId="4" borderId="12" xfId="2" applyFont="1" applyFill="1" applyBorder="1"/>
    <xf numFmtId="0" fontId="73" fillId="4" borderId="0" xfId="2" applyFont="1" applyFill="1" applyBorder="1"/>
    <xf numFmtId="0" fontId="73" fillId="4" borderId="0" xfId="2" applyFont="1" applyFill="1" applyBorder="1" applyAlignment="1">
      <alignment horizontal="center"/>
    </xf>
    <xf numFmtId="0" fontId="73" fillId="4" borderId="13" xfId="2" applyFont="1" applyFill="1" applyBorder="1" applyAlignment="1">
      <alignment horizontal="center"/>
    </xf>
    <xf numFmtId="0" fontId="73" fillId="4" borderId="7" xfId="2" applyFont="1" applyFill="1" applyBorder="1"/>
    <xf numFmtId="0" fontId="73" fillId="4" borderId="2" xfId="2" applyFont="1" applyFill="1" applyBorder="1"/>
    <xf numFmtId="0" fontId="73" fillId="4" borderId="2" xfId="2" applyFont="1" applyFill="1" applyBorder="1" applyAlignment="1">
      <alignment horizontal="center"/>
    </xf>
    <xf numFmtId="0" fontId="73" fillId="4" borderId="14" xfId="2" applyFont="1" applyFill="1" applyBorder="1" applyAlignment="1">
      <alignment horizontal="center"/>
    </xf>
    <xf numFmtId="199" fontId="37" fillId="0" borderId="0" xfId="0" applyNumberFormat="1" applyFont="1" applyBorder="1"/>
    <xf numFmtId="183" fontId="37" fillId="0" borderId="0" xfId="0" applyNumberFormat="1" applyFont="1" applyBorder="1"/>
    <xf numFmtId="199" fontId="37" fillId="0" borderId="0" xfId="0" applyNumberFormat="1" applyFont="1" applyFill="1" applyBorder="1"/>
    <xf numFmtId="0" fontId="34" fillId="5" borderId="15" xfId="2" applyFont="1" applyFill="1" applyBorder="1" applyAlignment="1">
      <alignment horizontal="left"/>
    </xf>
    <xf numFmtId="43" fontId="34" fillId="5" borderId="16" xfId="2" applyNumberFormat="1" applyFont="1" applyFill="1" applyBorder="1"/>
    <xf numFmtId="0" fontId="74" fillId="6" borderId="15" xfId="2" applyFont="1" applyFill="1" applyBorder="1"/>
    <xf numFmtId="0" fontId="74" fillId="6" borderId="6" xfId="2" applyFont="1" applyFill="1" applyBorder="1"/>
    <xf numFmtId="42" fontId="74" fillId="6" borderId="6" xfId="2" applyNumberFormat="1" applyFont="1" applyFill="1" applyBorder="1"/>
    <xf numFmtId="9" fontId="74" fillId="6" borderId="6" xfId="2" applyNumberFormat="1" applyFont="1" applyFill="1" applyBorder="1"/>
    <xf numFmtId="43" fontId="74" fillId="6" borderId="16" xfId="2" applyNumberFormat="1" applyFont="1" applyFill="1" applyBorder="1"/>
    <xf numFmtId="0" fontId="74" fillId="6" borderId="10" xfId="2" applyFont="1" applyFill="1" applyBorder="1"/>
    <xf numFmtId="0" fontId="74" fillId="6" borderId="1" xfId="2" applyFont="1" applyFill="1" applyBorder="1"/>
    <xf numFmtId="176" fontId="74" fillId="6" borderId="1" xfId="2" applyNumberFormat="1" applyFont="1" applyFill="1" applyBorder="1"/>
    <xf numFmtId="0" fontId="74" fillId="6" borderId="7" xfId="2" applyFont="1" applyFill="1" applyBorder="1"/>
    <xf numFmtId="0" fontId="74" fillId="6" borderId="2" xfId="2" applyFont="1" applyFill="1" applyBorder="1"/>
    <xf numFmtId="176" fontId="74" fillId="6" borderId="2" xfId="2" applyNumberFormat="1" applyFont="1" applyFill="1" applyBorder="1"/>
    <xf numFmtId="0" fontId="1" fillId="0" borderId="0" xfId="0" applyFont="1" applyBorder="1"/>
    <xf numFmtId="0" fontId="1" fillId="3" borderId="0" xfId="0" applyFont="1" applyFill="1"/>
    <xf numFmtId="0" fontId="1" fillId="3" borderId="0" xfId="0" applyFont="1" applyFill="1" applyBorder="1"/>
    <xf numFmtId="0" fontId="1" fillId="3" borderId="2" xfId="0" applyFont="1" applyFill="1" applyBorder="1" applyAlignment="1">
      <alignment horizontal="centerContinuous"/>
    </xf>
    <xf numFmtId="0" fontId="75" fillId="0" borderId="0" xfId="0" applyFont="1" applyAlignment="1">
      <alignment horizontal="left" indent="1"/>
    </xf>
    <xf numFmtId="0" fontId="0" fillId="0" borderId="0" xfId="0" applyFont="1"/>
    <xf numFmtId="49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 indent="1"/>
    </xf>
    <xf numFmtId="0" fontId="70" fillId="0" borderId="0" xfId="0" applyFont="1" applyBorder="1"/>
    <xf numFmtId="0" fontId="75" fillId="0" borderId="0" xfId="0" applyFont="1"/>
    <xf numFmtId="0" fontId="1" fillId="0" borderId="0" xfId="0" applyFont="1" applyAlignment="1"/>
    <xf numFmtId="170" fontId="31" fillId="0" borderId="0" xfId="11" applyNumberFormat="1" applyFont="1" applyFill="1" applyBorder="1"/>
    <xf numFmtId="171" fontId="31" fillId="0" borderId="0" xfId="11" applyNumberFormat="1" applyFont="1" applyFill="1" applyBorder="1"/>
    <xf numFmtId="171" fontId="44" fillId="0" borderId="0" xfId="0" applyNumberFormat="1" applyFont="1" applyBorder="1"/>
    <xf numFmtId="0" fontId="1" fillId="0" borderId="2" xfId="0" applyFont="1" applyBorder="1" applyAlignment="1"/>
    <xf numFmtId="171" fontId="35" fillId="0" borderId="2" xfId="11" applyNumberFormat="1" applyFont="1" applyFill="1" applyBorder="1"/>
    <xf numFmtId="171" fontId="29" fillId="0" borderId="0" xfId="0" applyNumberFormat="1" applyFont="1" applyAlignment="1"/>
    <xf numFmtId="43" fontId="1" fillId="0" borderId="0" xfId="0" applyNumberFormat="1" applyFont="1" applyAlignment="1"/>
    <xf numFmtId="0" fontId="31" fillId="0" borderId="0" xfId="0" applyFont="1" applyAlignment="1"/>
    <xf numFmtId="171" fontId="42" fillId="0" borderId="0" xfId="11" applyNumberFormat="1" applyFont="1" applyFill="1" applyBorder="1"/>
    <xf numFmtId="171" fontId="44" fillId="0" borderId="2" xfId="0" applyNumberFormat="1" applyFont="1" applyBorder="1"/>
    <xf numFmtId="197" fontId="37" fillId="0" borderId="0" xfId="0" applyNumberFormat="1" applyFont="1"/>
    <xf numFmtId="197" fontId="0" fillId="0" borderId="0" xfId="0" applyNumberFormat="1"/>
    <xf numFmtId="164" fontId="29" fillId="3" borderId="16" xfId="0" applyNumberFormat="1" applyFont="1" applyFill="1" applyBorder="1" applyAlignment="1">
      <alignment horizontal="center"/>
    </xf>
    <xf numFmtId="0" fontId="1" fillId="3" borderId="0" xfId="0" applyFont="1" applyFill="1" applyAlignment="1"/>
    <xf numFmtId="170" fontId="62" fillId="0" borderId="0" xfId="0" applyNumberFormat="1" applyFont="1"/>
    <xf numFmtId="171" fontId="62" fillId="0" borderId="0" xfId="0" applyNumberFormat="1" applyFont="1"/>
    <xf numFmtId="0" fontId="28" fillId="0" borderId="0" xfId="0" applyFont="1" applyAlignment="1">
      <alignment horizontal="left" indent="1"/>
    </xf>
    <xf numFmtId="170" fontId="43" fillId="0" borderId="0" xfId="0" applyNumberFormat="1" applyFont="1" applyBorder="1"/>
    <xf numFmtId="0" fontId="70" fillId="9" borderId="0" xfId="0" applyFont="1" applyFill="1"/>
    <xf numFmtId="0" fontId="28" fillId="9" borderId="0" xfId="0" applyFont="1" applyFill="1" applyBorder="1"/>
    <xf numFmtId="171" fontId="43" fillId="9" borderId="0" xfId="0" applyNumberFormat="1" applyFont="1" applyFill="1" applyBorder="1"/>
    <xf numFmtId="0" fontId="28" fillId="10" borderId="0" xfId="0" applyFont="1" applyFill="1" applyBorder="1"/>
    <xf numFmtId="0" fontId="70" fillId="10" borderId="0" xfId="0" applyFont="1" applyFill="1"/>
    <xf numFmtId="171" fontId="29" fillId="10" borderId="0" xfId="0" applyNumberFormat="1" applyFont="1" applyFill="1"/>
    <xf numFmtId="177" fontId="35" fillId="0" borderId="0" xfId="2" applyNumberFormat="1" applyFont="1"/>
    <xf numFmtId="197" fontId="31" fillId="2" borderId="9" xfId="0" applyNumberFormat="1" applyFont="1" applyFill="1" applyBorder="1" applyAlignment="1">
      <alignment horizontal="center"/>
    </xf>
    <xf numFmtId="197" fontId="35" fillId="2" borderId="9" xfId="0" applyNumberFormat="1" applyFont="1" applyFill="1" applyBorder="1" applyAlignment="1">
      <alignment horizontal="center"/>
    </xf>
    <xf numFmtId="195" fontId="31" fillId="2" borderId="9" xfId="0" applyNumberFormat="1" applyFont="1" applyFill="1" applyBorder="1"/>
    <xf numFmtId="184" fontId="31" fillId="2" borderId="9" xfId="0" applyNumberFormat="1" applyFont="1" applyFill="1" applyBorder="1"/>
    <xf numFmtId="169" fontId="36" fillId="0" borderId="0" xfId="2" applyNumberFormat="1" applyFont="1" applyBorder="1"/>
    <xf numFmtId="174" fontId="35" fillId="2" borderId="19" xfId="0" applyNumberFormat="1" applyFont="1" applyFill="1" applyBorder="1"/>
    <xf numFmtId="0" fontId="34" fillId="10" borderId="10" xfId="2" applyFont="1" applyFill="1" applyBorder="1"/>
    <xf numFmtId="0" fontId="35" fillId="10" borderId="1" xfId="2" applyFont="1" applyFill="1" applyBorder="1"/>
    <xf numFmtId="44" fontId="34" fillId="10" borderId="11" xfId="2" applyNumberFormat="1" applyFont="1" applyFill="1" applyBorder="1"/>
    <xf numFmtId="0" fontId="34" fillId="10" borderId="7" xfId="2" applyFont="1" applyFill="1" applyBorder="1"/>
    <xf numFmtId="0" fontId="35" fillId="10" borderId="2" xfId="2" applyFont="1" applyFill="1" applyBorder="1"/>
    <xf numFmtId="169" fontId="34" fillId="10" borderId="14" xfId="2" applyNumberFormat="1" applyFont="1" applyFill="1" applyBorder="1"/>
    <xf numFmtId="1" fontId="76" fillId="0" borderId="0" xfId="0" applyNumberFormat="1" applyFont="1"/>
    <xf numFmtId="0" fontId="76" fillId="0" borderId="0" xfId="0" applyFont="1"/>
    <xf numFmtId="200" fontId="0" fillId="0" borderId="0" xfId="0" applyNumberFormat="1" applyBorder="1"/>
    <xf numFmtId="198" fontId="33" fillId="0" borderId="0" xfId="0" applyNumberFormat="1" applyFont="1" applyBorder="1"/>
    <xf numFmtId="0" fontId="34" fillId="5" borderId="6" xfId="2" applyFont="1" applyFill="1" applyBorder="1" applyAlignment="1"/>
    <xf numFmtId="0" fontId="1" fillId="0" borderId="0" xfId="0" quotePrefix="1" applyFont="1" applyAlignment="1"/>
    <xf numFmtId="0" fontId="72" fillId="0" borderId="0" xfId="0" applyFont="1" applyFill="1" applyBorder="1"/>
    <xf numFmtId="170" fontId="37" fillId="0" borderId="0" xfId="0" applyNumberFormat="1" applyFont="1" applyBorder="1"/>
    <xf numFmtId="171" fontId="37" fillId="0" borderId="0" xfId="0" applyNumberFormat="1" applyFont="1" applyBorder="1"/>
    <xf numFmtId="199" fontId="34" fillId="5" borderId="6" xfId="2" applyNumberFormat="1" applyFont="1" applyFill="1" applyBorder="1" applyAlignment="1"/>
    <xf numFmtId="170" fontId="34" fillId="5" borderId="6" xfId="2" applyNumberFormat="1" applyFont="1" applyFill="1" applyBorder="1"/>
    <xf numFmtId="183" fontId="34" fillId="5" borderId="6" xfId="2" applyNumberFormat="1" applyFont="1" applyFill="1" applyBorder="1"/>
    <xf numFmtId="199" fontId="74" fillId="6" borderId="6" xfId="2" applyNumberFormat="1" applyFont="1" applyFill="1" applyBorder="1" applyAlignment="1"/>
    <xf numFmtId="0" fontId="74" fillId="6" borderId="12" xfId="2" applyFont="1" applyFill="1" applyBorder="1"/>
    <xf numFmtId="0" fontId="74" fillId="6" borderId="0" xfId="2" applyFont="1" applyFill="1" applyBorder="1"/>
    <xf numFmtId="176" fontId="74" fillId="6" borderId="0" xfId="2" applyNumberFormat="1" applyFont="1" applyFill="1" applyBorder="1"/>
    <xf numFmtId="198" fontId="74" fillId="6" borderId="11" xfId="2" applyNumberFormat="1" applyFont="1" applyFill="1" applyBorder="1"/>
    <xf numFmtId="198" fontId="74" fillId="6" borderId="13" xfId="2" applyNumberFormat="1" applyFont="1" applyFill="1" applyBorder="1"/>
    <xf numFmtId="198" fontId="74" fillId="6" borderId="14" xfId="2" applyNumberFormat="1" applyFont="1" applyFill="1" applyBorder="1"/>
    <xf numFmtId="198" fontId="74" fillId="6" borderId="16" xfId="2" applyNumberFormat="1" applyFont="1" applyFill="1" applyBorder="1"/>
    <xf numFmtId="0" fontId="35" fillId="0" borderId="1" xfId="2" applyFont="1" applyFill="1" applyBorder="1"/>
    <xf numFmtId="199" fontId="35" fillId="0" borderId="1" xfId="2" applyNumberFormat="1" applyFont="1" applyFill="1" applyBorder="1" applyAlignment="1"/>
    <xf numFmtId="170" fontId="35" fillId="0" borderId="1" xfId="2" applyNumberFormat="1" applyFont="1" applyFill="1" applyBorder="1"/>
    <xf numFmtId="183" fontId="35" fillId="0" borderId="1" xfId="2" applyNumberFormat="1" applyFont="1" applyFill="1" applyBorder="1"/>
    <xf numFmtId="168" fontId="35" fillId="0" borderId="1" xfId="2" applyNumberFormat="1" applyFont="1" applyFill="1" applyBorder="1"/>
    <xf numFmtId="43" fontId="35" fillId="0" borderId="1" xfId="2" applyNumberFormat="1" applyFont="1" applyFill="1" applyBorder="1"/>
    <xf numFmtId="199" fontId="35" fillId="0" borderId="0" xfId="2" applyNumberFormat="1" applyFont="1" applyFill="1" applyBorder="1" applyAlignment="1"/>
    <xf numFmtId="171" fontId="35" fillId="0" borderId="0" xfId="2" applyNumberFormat="1" applyFont="1" applyFill="1" applyBorder="1"/>
    <xf numFmtId="183" fontId="35" fillId="0" borderId="0" xfId="2" applyNumberFormat="1" applyFont="1" applyFill="1" applyBorder="1"/>
    <xf numFmtId="168" fontId="35" fillId="0" borderId="0" xfId="2" applyNumberFormat="1" applyFont="1" applyFill="1" applyBorder="1"/>
    <xf numFmtId="43" fontId="35" fillId="0" borderId="0" xfId="2" applyNumberFormat="1" applyFont="1" applyFill="1" applyBorder="1"/>
    <xf numFmtId="9" fontId="56" fillId="0" borderId="0" xfId="2" applyNumberFormat="1" applyFont="1"/>
    <xf numFmtId="0" fontId="0" fillId="0" borderId="0" xfId="0" applyFont="1" applyBorder="1"/>
    <xf numFmtId="0" fontId="0" fillId="0" borderId="0" xfId="0" applyFont="1" applyFill="1" applyBorder="1"/>
    <xf numFmtId="201" fontId="0" fillId="0" borderId="0" xfId="0" applyNumberFormat="1" applyFont="1" applyBorder="1"/>
    <xf numFmtId="202" fontId="0" fillId="0" borderId="0" xfId="0" applyNumberFormat="1" applyFont="1" applyBorder="1"/>
    <xf numFmtId="183" fontId="37" fillId="0" borderId="0" xfId="0" applyNumberFormat="1" applyFont="1" applyBorder="1" applyAlignment="1">
      <alignment horizontal="center"/>
    </xf>
    <xf numFmtId="183" fontId="33" fillId="0" borderId="0" xfId="0" applyNumberFormat="1" applyFont="1" applyBorder="1" applyAlignment="1">
      <alignment horizontal="center"/>
    </xf>
    <xf numFmtId="200" fontId="0" fillId="0" borderId="0" xfId="0" applyNumberFormat="1" applyFont="1" applyFill="1" applyBorder="1" applyAlignment="1">
      <alignment horizontal="center"/>
    </xf>
    <xf numFmtId="198" fontId="62" fillId="2" borderId="9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Continuous"/>
    </xf>
    <xf numFmtId="0" fontId="28" fillId="0" borderId="0" xfId="0" applyFont="1" applyAlignment="1"/>
    <xf numFmtId="0" fontId="29" fillId="0" borderId="0" xfId="0" applyFont="1" applyAlignment="1"/>
    <xf numFmtId="0" fontId="77" fillId="4" borderId="10" xfId="0" applyFont="1" applyFill="1" applyBorder="1"/>
    <xf numFmtId="0" fontId="77" fillId="4" borderId="6" xfId="0" applyFont="1" applyFill="1" applyBorder="1"/>
    <xf numFmtId="0" fontId="74" fillId="4" borderId="6" xfId="0" applyFont="1" applyFill="1" applyBorder="1" applyAlignment="1">
      <alignment horizontal="centerContinuous"/>
    </xf>
    <xf numFmtId="0" fontId="74" fillId="4" borderId="16" xfId="0" applyFont="1" applyFill="1" applyBorder="1" applyAlignment="1">
      <alignment horizontal="centerContinuous"/>
    </xf>
    <xf numFmtId="0" fontId="77" fillId="4" borderId="12" xfId="0" applyFont="1" applyFill="1" applyBorder="1"/>
    <xf numFmtId="169" fontId="66" fillId="11" borderId="12" xfId="0" applyNumberFormat="1" applyFont="1" applyFill="1" applyBorder="1"/>
    <xf numFmtId="203" fontId="74" fillId="11" borderId="0" xfId="0" applyNumberFormat="1" applyFont="1" applyFill="1" applyBorder="1" applyAlignment="1">
      <alignment horizontal="center"/>
    </xf>
    <xf numFmtId="203" fontId="74" fillId="11" borderId="14" xfId="0" applyNumberFormat="1" applyFont="1" applyFill="1" applyBorder="1" applyAlignment="1">
      <alignment horizontal="center"/>
    </xf>
    <xf numFmtId="44" fontId="0" fillId="0" borderId="10" xfId="0" applyNumberFormat="1" applyFont="1" applyBorder="1" applyAlignment="1"/>
    <xf numFmtId="44" fontId="0" fillId="0" borderId="1" xfId="0" applyNumberFormat="1" applyFont="1" applyBorder="1" applyAlignment="1"/>
    <xf numFmtId="44" fontId="1" fillId="0" borderId="1" xfId="0" applyNumberFormat="1" applyFont="1" applyBorder="1" applyAlignment="1"/>
    <xf numFmtId="44" fontId="1" fillId="0" borderId="0" xfId="0" applyNumberFormat="1" applyFont="1" applyAlignment="1"/>
    <xf numFmtId="43" fontId="0" fillId="0" borderId="12" xfId="0" applyNumberFormat="1" applyFont="1" applyBorder="1" applyAlignment="1"/>
    <xf numFmtId="43" fontId="0" fillId="0" borderId="0" xfId="0" applyNumberFormat="1" applyFont="1" applyBorder="1" applyAlignment="1"/>
    <xf numFmtId="43" fontId="1" fillId="0" borderId="0" xfId="0" applyNumberFormat="1" applyFont="1" applyBorder="1" applyAlignment="1"/>
    <xf numFmtId="203" fontId="74" fillId="11" borderId="18" xfId="0" applyNumberFormat="1" applyFont="1" applyFill="1" applyBorder="1" applyAlignment="1">
      <alignment horizontal="center"/>
    </xf>
    <xf numFmtId="43" fontId="1" fillId="0" borderId="12" xfId="0" applyNumberFormat="1" applyFont="1" applyBorder="1" applyAlignment="1"/>
    <xf numFmtId="164" fontId="74" fillId="11" borderId="0" xfId="0" applyNumberFormat="1" applyFont="1" applyFill="1" applyBorder="1" applyAlignment="1">
      <alignment horizontal="center"/>
    </xf>
    <xf numFmtId="164" fontId="74" fillId="11" borderId="18" xfId="0" applyNumberFormat="1" applyFont="1" applyFill="1" applyBorder="1" applyAlignment="1">
      <alignment horizontal="center"/>
    </xf>
    <xf numFmtId="0" fontId="74" fillId="4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9" fillId="8" borderId="2" xfId="0" applyFont="1" applyFill="1" applyBorder="1" applyAlignment="1"/>
    <xf numFmtId="0" fontId="1" fillId="8" borderId="2" xfId="0" applyFont="1" applyFill="1" applyBorder="1" applyAlignment="1"/>
    <xf numFmtId="0" fontId="1" fillId="8" borderId="2" xfId="0" applyFont="1" applyFill="1" applyBorder="1"/>
  </cellXfs>
  <cellStyles count="12">
    <cellStyle name="Hyperlink" xfId="10" builtinId="8"/>
    <cellStyle name="Normal" xfId="0" builtinId="0" customBuiltin="1"/>
    <cellStyle name="Normal 2" xfId="2"/>
    <cellStyle name="Normal 3" xfId="3"/>
    <cellStyle name="Normal 3 2" xfId="7"/>
    <cellStyle name="Normal 3 3" xfId="9"/>
    <cellStyle name="Normal 3 4" xfId="11"/>
    <cellStyle name="Normal 4" xfId="4"/>
    <cellStyle name="Normal 4 2" xfId="8"/>
    <cellStyle name="Normal 5" xfId="6"/>
    <cellStyle name="Note" xfId="1" builtinId="10" customBuiltin="1"/>
    <cellStyle name="TextNormal" xfId="5"/>
  </cellStyles>
  <dxfs count="0"/>
  <tableStyles count="0" defaultTableStyle="TableStyleMedium2" defaultPivotStyle="PivotStyleLight16"/>
  <colors>
    <mruColors>
      <color rgb="FF0000FF"/>
      <color rgb="FFFFFF99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T513"/>
  <sheetViews>
    <sheetView showGridLines="0" tabSelected="1" topLeftCell="A405" zoomScale="85" zoomScaleNormal="85" workbookViewId="0">
      <selection activeCell="D417" sqref="D417"/>
    </sheetView>
  </sheetViews>
  <sheetFormatPr defaultRowHeight="14.4" outlineLevelRow="1" x14ac:dyDescent="0.3"/>
  <cols>
    <col min="1" max="2" width="2.77734375" style="1" customWidth="1"/>
    <col min="3" max="3" width="45.6640625" style="1" customWidth="1"/>
    <col min="4" max="4" width="12.77734375" style="2" customWidth="1"/>
    <col min="5" max="6" width="10.77734375" style="2" customWidth="1"/>
    <col min="7" max="13" width="10.77734375" style="14" customWidth="1"/>
    <col min="14" max="18" width="10.77734375" style="1" customWidth="1"/>
    <col min="19" max="19" width="2.77734375" style="1" customWidth="1"/>
    <col min="20" max="16384" width="8.88671875" style="1"/>
  </cols>
  <sheetData>
    <row r="2" spans="2:18" ht="18" x14ac:dyDescent="0.35">
      <c r="B2" s="9" t="str">
        <f>Company_Name&amp;" - Operating Model"</f>
        <v>Jazz Pharmaceuticals plc - Operating Model</v>
      </c>
    </row>
    <row r="3" spans="2:18" x14ac:dyDescent="0.3">
      <c r="B3" s="13" t="s">
        <v>4</v>
      </c>
    </row>
    <row r="5" spans="2:18" x14ac:dyDescent="0.3">
      <c r="B5" s="267" t="s">
        <v>122</v>
      </c>
      <c r="C5" s="272"/>
      <c r="D5" s="273"/>
      <c r="E5" s="273"/>
      <c r="F5" s="273"/>
      <c r="G5" s="274"/>
      <c r="H5" s="274"/>
      <c r="I5" s="273"/>
      <c r="J5" s="274"/>
      <c r="K5" s="274"/>
      <c r="L5" s="274"/>
      <c r="M5" s="274"/>
      <c r="N5" s="272"/>
      <c r="O5" s="272"/>
      <c r="P5" s="272"/>
      <c r="Q5" s="272"/>
      <c r="R5" s="272"/>
    </row>
    <row r="6" spans="2:18" x14ac:dyDescent="0.3">
      <c r="B6" s="11"/>
      <c r="C6" s="5"/>
      <c r="D6" s="4"/>
      <c r="E6" s="4"/>
      <c r="F6" s="4"/>
      <c r="G6" s="15"/>
      <c r="H6" s="15"/>
      <c r="I6" s="4"/>
      <c r="J6" s="15"/>
      <c r="K6" s="15"/>
      <c r="L6" s="15"/>
      <c r="M6" s="15"/>
      <c r="N6" s="5"/>
      <c r="O6" s="5"/>
      <c r="P6" s="5"/>
      <c r="Q6" s="5"/>
      <c r="R6" s="5"/>
    </row>
    <row r="7" spans="2:18" x14ac:dyDescent="0.3">
      <c r="C7" s="1" t="s">
        <v>1</v>
      </c>
      <c r="D7" s="113" t="s">
        <v>195</v>
      </c>
      <c r="E7" s="113"/>
      <c r="G7" s="48" t="s">
        <v>19</v>
      </c>
      <c r="J7" s="29">
        <v>0.18</v>
      </c>
      <c r="K7" s="58"/>
      <c r="L7" s="58"/>
      <c r="M7" s="59"/>
      <c r="N7" s="54"/>
    </row>
    <row r="8" spans="2:18" x14ac:dyDescent="0.3">
      <c r="C8" s="203" t="s">
        <v>94</v>
      </c>
      <c r="D8" s="204" t="s">
        <v>98</v>
      </c>
      <c r="K8" s="61"/>
      <c r="L8" s="58"/>
      <c r="M8" s="60"/>
      <c r="N8" s="54"/>
    </row>
    <row r="9" spans="2:18" x14ac:dyDescent="0.3">
      <c r="C9" s="1" t="s">
        <v>2</v>
      </c>
      <c r="D9" s="49">
        <v>1000</v>
      </c>
      <c r="F9" s="53"/>
      <c r="G9" s="53"/>
      <c r="H9" s="53"/>
      <c r="I9" s="60"/>
      <c r="J9" s="58"/>
      <c r="K9" s="58"/>
      <c r="L9" s="58"/>
      <c r="M9" s="59"/>
      <c r="N9" s="54"/>
    </row>
    <row r="10" spans="2:18" x14ac:dyDescent="0.3">
      <c r="D10" s="1"/>
      <c r="F10" s="56"/>
      <c r="G10" s="53"/>
      <c r="H10" s="53"/>
      <c r="I10" s="57"/>
      <c r="J10" s="58"/>
      <c r="K10" s="58"/>
      <c r="L10" s="58"/>
      <c r="M10" s="62"/>
      <c r="N10" s="54"/>
    </row>
    <row r="11" spans="2:18" x14ac:dyDescent="0.3">
      <c r="C11" s="136" t="s">
        <v>129</v>
      </c>
      <c r="D11" s="200">
        <v>41639</v>
      </c>
      <c r="F11" s="56"/>
      <c r="G11" s="53"/>
      <c r="H11" s="53"/>
      <c r="I11" s="63"/>
      <c r="J11" s="58"/>
      <c r="K11" s="58"/>
      <c r="L11" s="58"/>
      <c r="M11" s="58"/>
      <c r="N11" s="54"/>
    </row>
    <row r="12" spans="2:18" x14ac:dyDescent="0.3">
      <c r="C12" s="201" t="s">
        <v>197</v>
      </c>
      <c r="D12" s="202">
        <f>DATE(YEAR(Hist_Year)+1,MONTH(Hist_Year),DAY(Hist_Year))</f>
        <v>42004</v>
      </c>
      <c r="F12" s="56"/>
      <c r="G12" s="53"/>
      <c r="H12" s="53"/>
      <c r="I12" s="63"/>
      <c r="J12" s="58"/>
      <c r="K12" s="58"/>
      <c r="L12" s="58"/>
      <c r="M12" s="58"/>
      <c r="N12" s="54"/>
    </row>
    <row r="13" spans="2:18" x14ac:dyDescent="0.3">
      <c r="C13" s="201" t="s">
        <v>196</v>
      </c>
      <c r="D13" s="200">
        <v>41729</v>
      </c>
      <c r="F13" s="56"/>
      <c r="G13" s="53"/>
      <c r="H13" s="53"/>
      <c r="I13" s="63"/>
      <c r="J13" s="58"/>
      <c r="K13" s="58"/>
      <c r="L13" s="58"/>
      <c r="M13" s="58"/>
      <c r="N13" s="54"/>
    </row>
    <row r="14" spans="2:18" x14ac:dyDescent="0.3">
      <c r="C14" s="64" t="s">
        <v>59</v>
      </c>
      <c r="D14" s="200">
        <v>41768</v>
      </c>
      <c r="K14" s="58"/>
      <c r="L14" s="58"/>
      <c r="M14" s="65"/>
    </row>
    <row r="15" spans="2:18" x14ac:dyDescent="0.3">
      <c r="D15" s="1"/>
      <c r="K15" s="61"/>
      <c r="L15" s="58"/>
      <c r="M15" s="66"/>
    </row>
    <row r="16" spans="2:18" x14ac:dyDescent="0.3">
      <c r="C16" s="64" t="s">
        <v>66</v>
      </c>
      <c r="D16" s="50">
        <v>129.44999999999999</v>
      </c>
    </row>
    <row r="17" spans="1:18" x14ac:dyDescent="0.3">
      <c r="D17" s="52"/>
      <c r="E17" s="51"/>
    </row>
    <row r="18" spans="1:18" x14ac:dyDescent="0.3">
      <c r="B18" s="267" t="s">
        <v>194</v>
      </c>
      <c r="C18" s="272"/>
      <c r="D18" s="273"/>
      <c r="E18" s="273"/>
      <c r="F18" s="273"/>
      <c r="G18" s="274"/>
      <c r="H18" s="274"/>
      <c r="I18" s="274"/>
      <c r="J18" s="274"/>
      <c r="K18" s="274"/>
      <c r="L18" s="274"/>
      <c r="M18" s="274"/>
      <c r="N18" s="272"/>
      <c r="O18" s="272"/>
      <c r="P18" s="272"/>
      <c r="Q18" s="272"/>
      <c r="R18" s="272"/>
    </row>
    <row r="19" spans="1:18" x14ac:dyDescent="0.3">
      <c r="B19" s="5"/>
      <c r="C19" s="5"/>
      <c r="D19" s="4"/>
      <c r="E19" s="4"/>
      <c r="F19" s="4"/>
    </row>
    <row r="20" spans="1:18" x14ac:dyDescent="0.3">
      <c r="B20" s="5"/>
      <c r="C20" s="120" t="s">
        <v>120</v>
      </c>
      <c r="D20" s="206">
        <v>44926</v>
      </c>
      <c r="E20" s="4"/>
      <c r="F20" s="4"/>
    </row>
    <row r="21" spans="1:18" x14ac:dyDescent="0.3">
      <c r="B21" s="5"/>
      <c r="C21" s="120" t="s">
        <v>123</v>
      </c>
      <c r="D21" s="205">
        <v>10000</v>
      </c>
      <c r="E21" s="4"/>
      <c r="F21" s="4"/>
    </row>
    <row r="22" spans="1:18" x14ac:dyDescent="0.3">
      <c r="B22" s="5"/>
      <c r="C22" s="162" t="s">
        <v>124</v>
      </c>
      <c r="D22" s="29">
        <v>0</v>
      </c>
      <c r="E22" s="4"/>
      <c r="F22" s="4"/>
    </row>
    <row r="23" spans="1:18" x14ac:dyDescent="0.3">
      <c r="B23" s="5"/>
      <c r="C23" s="120" t="s">
        <v>125</v>
      </c>
      <c r="D23" s="29">
        <v>0</v>
      </c>
      <c r="E23" s="4"/>
      <c r="F23" s="4"/>
    </row>
    <row r="24" spans="1:18" x14ac:dyDescent="0.3">
      <c r="B24" s="5"/>
      <c r="C24" s="120"/>
      <c r="D24" s="4"/>
      <c r="E24" s="4"/>
      <c r="F24" s="4"/>
    </row>
    <row r="25" spans="1:18" x14ac:dyDescent="0.3">
      <c r="B25" s="5"/>
      <c r="C25" s="209" t="s">
        <v>201</v>
      </c>
      <c r="D25" s="29">
        <v>0</v>
      </c>
      <c r="E25" s="4"/>
      <c r="F25" s="4"/>
    </row>
    <row r="26" spans="1:18" x14ac:dyDescent="0.3">
      <c r="B26" s="5"/>
      <c r="C26" s="209" t="s">
        <v>202</v>
      </c>
      <c r="D26" s="29">
        <v>0</v>
      </c>
      <c r="E26" s="4"/>
      <c r="F26" s="4"/>
    </row>
    <row r="27" spans="1:18" x14ac:dyDescent="0.3">
      <c r="B27" s="5"/>
      <c r="C27" s="120"/>
      <c r="D27" s="4"/>
      <c r="E27" s="4"/>
      <c r="F27" s="4"/>
    </row>
    <row r="28" spans="1:18" x14ac:dyDescent="0.3">
      <c r="B28" s="5"/>
      <c r="C28" s="163" t="s">
        <v>159</v>
      </c>
      <c r="D28" s="29">
        <v>0</v>
      </c>
      <c r="E28" s="4"/>
      <c r="F28" s="4"/>
    </row>
    <row r="29" spans="1:18" x14ac:dyDescent="0.3">
      <c r="B29" s="5"/>
      <c r="C29" s="212" t="s">
        <v>203</v>
      </c>
      <c r="D29" s="29">
        <v>0.6</v>
      </c>
      <c r="E29" s="4"/>
      <c r="F29" s="4"/>
    </row>
    <row r="30" spans="1:18" x14ac:dyDescent="0.3">
      <c r="B30" s="5"/>
      <c r="C30" s="120"/>
      <c r="D30" s="4"/>
      <c r="E30" s="4"/>
      <c r="F30" s="4"/>
    </row>
    <row r="31" spans="1:18" x14ac:dyDescent="0.3">
      <c r="B31" s="5"/>
      <c r="C31" s="120"/>
      <c r="D31" s="4"/>
      <c r="E31" s="4"/>
      <c r="F31" s="4"/>
    </row>
    <row r="32" spans="1:18" x14ac:dyDescent="0.3">
      <c r="A32" s="5"/>
      <c r="B32" s="261"/>
      <c r="C32" s="261"/>
      <c r="D32" s="262"/>
      <c r="E32" s="263" t="s">
        <v>3</v>
      </c>
      <c r="F32" s="264"/>
      <c r="G32" s="263"/>
      <c r="H32" s="263"/>
      <c r="I32" s="265" t="s">
        <v>5</v>
      </c>
      <c r="J32" s="263"/>
      <c r="K32" s="263"/>
      <c r="L32" s="263"/>
      <c r="M32" s="263"/>
      <c r="N32" s="266"/>
      <c r="O32" s="266"/>
      <c r="P32" s="266"/>
      <c r="Q32" s="266"/>
      <c r="R32" s="266"/>
    </row>
    <row r="33" spans="1:19" x14ac:dyDescent="0.3">
      <c r="A33" s="80"/>
      <c r="B33" s="267" t="s">
        <v>15</v>
      </c>
      <c r="C33" s="267"/>
      <c r="D33" s="268" t="s">
        <v>0</v>
      </c>
      <c r="E33" s="269">
        <f>EOMONTH(F33,-12)</f>
        <v>40543</v>
      </c>
      <c r="F33" s="269">
        <f>EOMONTH(G33,-12)</f>
        <v>40908</v>
      </c>
      <c r="G33" s="269">
        <f>EOMONTH(H33,-12)</f>
        <v>41274</v>
      </c>
      <c r="H33" s="269">
        <f>Hist_Year</f>
        <v>41639</v>
      </c>
      <c r="I33" s="270">
        <f>EOMONTH(H33,12)</f>
        <v>42004</v>
      </c>
      <c r="J33" s="269">
        <f>EOMONTH(I33,12)</f>
        <v>42369</v>
      </c>
      <c r="K33" s="269">
        <f t="shared" ref="K33:M33" si="0">EOMONTH(J33,12)</f>
        <v>42735</v>
      </c>
      <c r="L33" s="269">
        <f t="shared" si="0"/>
        <v>43100</v>
      </c>
      <c r="M33" s="269">
        <f t="shared" si="0"/>
        <v>43465</v>
      </c>
      <c r="N33" s="269">
        <f t="shared" ref="N33" si="1">EOMONTH(M33,12)</f>
        <v>43830</v>
      </c>
      <c r="O33" s="271">
        <f t="shared" ref="O33" si="2">EOMONTH(N33,12)</f>
        <v>44196</v>
      </c>
      <c r="P33" s="269">
        <f t="shared" ref="P33" si="3">EOMONTH(O33,12)</f>
        <v>44561</v>
      </c>
      <c r="Q33" s="269">
        <f t="shared" ref="Q33" si="4">EOMONTH(P33,12)</f>
        <v>44926</v>
      </c>
      <c r="R33" s="269">
        <f t="shared" ref="R33" si="5">EOMONTH(Q33,12)</f>
        <v>45291</v>
      </c>
    </row>
    <row r="34" spans="1:19" hidden="1" outlineLevel="1" x14ac:dyDescent="0.3">
      <c r="A34" s="80"/>
      <c r="B34" s="5"/>
      <c r="C34" s="5"/>
      <c r="D34" s="4"/>
      <c r="E34" s="16"/>
      <c r="F34" s="16"/>
      <c r="G34" s="16"/>
      <c r="H34" s="16"/>
      <c r="I34" s="16"/>
      <c r="J34" s="16"/>
      <c r="K34" s="16"/>
      <c r="L34" s="16"/>
      <c r="M34" s="19"/>
      <c r="N34" s="5"/>
      <c r="O34" s="82"/>
    </row>
    <row r="35" spans="1:19" hidden="1" outlineLevel="1" x14ac:dyDescent="0.3">
      <c r="A35" s="80"/>
      <c r="B35" s="5"/>
      <c r="C35" s="10" t="s">
        <v>136</v>
      </c>
      <c r="D35" s="6"/>
      <c r="E35" s="146"/>
      <c r="F35" s="146"/>
      <c r="G35" s="146"/>
      <c r="H35" s="146"/>
      <c r="I35" s="146"/>
      <c r="J35" s="146"/>
      <c r="K35" s="146"/>
      <c r="L35" s="146"/>
      <c r="M35" s="146"/>
      <c r="N35" s="7"/>
      <c r="O35" s="147"/>
      <c r="P35" s="7"/>
      <c r="Q35" s="7"/>
      <c r="R35" s="7"/>
    </row>
    <row r="36" spans="1:19" hidden="1" outlineLevel="1" x14ac:dyDescent="0.3">
      <c r="A36" s="80"/>
      <c r="B36" s="5"/>
      <c r="C36" s="11"/>
      <c r="D36" s="4"/>
      <c r="E36" s="16"/>
      <c r="F36" s="16"/>
      <c r="G36" s="16"/>
      <c r="H36" s="16"/>
      <c r="I36" s="16"/>
      <c r="J36" s="16"/>
      <c r="K36" s="16"/>
      <c r="L36" s="16"/>
      <c r="M36" s="16"/>
      <c r="N36" s="5"/>
      <c r="O36" s="82"/>
    </row>
    <row r="37" spans="1:19" ht="14.4" hidden="1" customHeight="1" outlineLevel="1" x14ac:dyDescent="0.3">
      <c r="A37" s="80"/>
      <c r="B37" s="5"/>
      <c r="C37" s="98" t="s">
        <v>90</v>
      </c>
      <c r="D37" s="4" t="s">
        <v>87</v>
      </c>
      <c r="E37" s="99">
        <v>175000</v>
      </c>
      <c r="F37" s="99">
        <v>175000</v>
      </c>
      <c r="G37" s="99">
        <v>157000</v>
      </c>
      <c r="H37" s="99">
        <v>157000</v>
      </c>
      <c r="I37" s="133">
        <f>+H37</f>
        <v>157000</v>
      </c>
      <c r="J37" s="133">
        <f t="shared" ref="J37:R37" si="6">+I37</f>
        <v>157000</v>
      </c>
      <c r="K37" s="133">
        <f t="shared" si="6"/>
        <v>157000</v>
      </c>
      <c r="L37" s="133">
        <f t="shared" si="6"/>
        <v>157000</v>
      </c>
      <c r="M37" s="133">
        <f t="shared" si="6"/>
        <v>157000</v>
      </c>
      <c r="N37" s="133">
        <f t="shared" si="6"/>
        <v>157000</v>
      </c>
      <c r="O37" s="133">
        <f t="shared" si="6"/>
        <v>157000</v>
      </c>
      <c r="P37" s="133">
        <f t="shared" si="6"/>
        <v>157000</v>
      </c>
      <c r="Q37" s="133">
        <f t="shared" si="6"/>
        <v>157000</v>
      </c>
      <c r="R37" s="133">
        <f t="shared" si="6"/>
        <v>157000</v>
      </c>
    </row>
    <row r="38" spans="1:19" ht="14.4" hidden="1" customHeight="1" outlineLevel="1" x14ac:dyDescent="0.3">
      <c r="A38" s="80"/>
      <c r="B38" s="5"/>
      <c r="C38" s="98" t="s">
        <v>113</v>
      </c>
      <c r="D38" s="4" t="s">
        <v>87</v>
      </c>
      <c r="E38" s="99">
        <v>8500</v>
      </c>
      <c r="F38" s="99">
        <v>9000</v>
      </c>
      <c r="G38" s="99">
        <v>10000</v>
      </c>
      <c r="H38" s="99">
        <v>11250</v>
      </c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90"/>
    </row>
    <row r="39" spans="1:19" ht="14.4" hidden="1" customHeight="1" outlineLevel="1" x14ac:dyDescent="0.3">
      <c r="A39" s="5"/>
      <c r="B39" s="5"/>
      <c r="C39" s="98" t="s">
        <v>114</v>
      </c>
      <c r="D39" s="4" t="s">
        <v>87</v>
      </c>
      <c r="E39" s="131">
        <f>+E38</f>
        <v>8500</v>
      </c>
      <c r="F39" s="131">
        <f>AVERAGE(E38,F38)</f>
        <v>8750</v>
      </c>
      <c r="G39" s="131">
        <f t="shared" ref="G39:H39" si="7">AVERAGE(F38,G38)</f>
        <v>9500</v>
      </c>
      <c r="H39" s="131">
        <f t="shared" si="7"/>
        <v>10625</v>
      </c>
      <c r="I39" s="138">
        <f>+I37*I43</f>
        <v>12560</v>
      </c>
      <c r="J39" s="138">
        <f t="shared" ref="J39:R39" si="8">+J37*J43</f>
        <v>15700</v>
      </c>
      <c r="K39" s="138">
        <f t="shared" si="8"/>
        <v>18840</v>
      </c>
      <c r="L39" s="138">
        <f t="shared" si="8"/>
        <v>21980.000000000004</v>
      </c>
      <c r="M39" s="138">
        <f t="shared" si="8"/>
        <v>25120</v>
      </c>
      <c r="N39" s="138">
        <f t="shared" si="8"/>
        <v>28260</v>
      </c>
      <c r="O39" s="138">
        <f t="shared" si="8"/>
        <v>31400</v>
      </c>
      <c r="P39" s="138">
        <f t="shared" si="8"/>
        <v>34540</v>
      </c>
      <c r="Q39" s="138">
        <f t="shared" si="8"/>
        <v>37680</v>
      </c>
      <c r="R39" s="138">
        <f t="shared" si="8"/>
        <v>37680</v>
      </c>
      <c r="S39" s="90"/>
    </row>
    <row r="40" spans="1:19" ht="14.4" hidden="1" customHeight="1" outlineLevel="1" x14ac:dyDescent="0.3">
      <c r="A40" s="5"/>
      <c r="B40" s="5"/>
      <c r="C40" s="134" t="s">
        <v>119</v>
      </c>
      <c r="D40" s="127" t="s">
        <v>10</v>
      </c>
      <c r="E40" s="141" t="s">
        <v>97</v>
      </c>
      <c r="F40" s="135">
        <f>+F39/E39-1</f>
        <v>2.9411764705882248E-2</v>
      </c>
      <c r="G40" s="135">
        <f t="shared" ref="G40:H40" si="9">+G39/F39-1</f>
        <v>8.5714285714285632E-2</v>
      </c>
      <c r="H40" s="135">
        <f t="shared" si="9"/>
        <v>0.11842105263157898</v>
      </c>
      <c r="I40" s="135">
        <f>+I39/H39-1</f>
        <v>0.1821176470588235</v>
      </c>
      <c r="J40" s="135">
        <f t="shared" ref="J40:R40" si="10">+J39/I39-1</f>
        <v>0.25</v>
      </c>
      <c r="K40" s="135">
        <f t="shared" si="10"/>
        <v>0.19999999999999996</v>
      </c>
      <c r="L40" s="135">
        <f t="shared" si="10"/>
        <v>0.16666666666666696</v>
      </c>
      <c r="M40" s="135">
        <f t="shared" si="10"/>
        <v>0.14285714285714257</v>
      </c>
      <c r="N40" s="135">
        <f t="shared" si="10"/>
        <v>0.125</v>
      </c>
      <c r="O40" s="135">
        <f t="shared" si="10"/>
        <v>0.11111111111111116</v>
      </c>
      <c r="P40" s="135">
        <f t="shared" si="10"/>
        <v>0.10000000000000009</v>
      </c>
      <c r="Q40" s="135">
        <f t="shared" si="10"/>
        <v>9.0909090909090828E-2</v>
      </c>
      <c r="R40" s="135">
        <f t="shared" si="10"/>
        <v>0</v>
      </c>
      <c r="S40" s="90"/>
    </row>
    <row r="41" spans="1:19" ht="14.4" hidden="1" customHeight="1" outlineLevel="1" x14ac:dyDescent="0.3">
      <c r="A41" s="5"/>
      <c r="B41" s="5"/>
      <c r="C41" s="98"/>
      <c r="D41" s="97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211"/>
      <c r="S41" s="90"/>
    </row>
    <row r="42" spans="1:19" ht="14.4" hidden="1" customHeight="1" outlineLevel="1" x14ac:dyDescent="0.3">
      <c r="A42" s="5"/>
      <c r="B42" s="5"/>
      <c r="C42" s="98" t="s">
        <v>117</v>
      </c>
      <c r="D42" s="4" t="s">
        <v>10</v>
      </c>
      <c r="E42" s="132">
        <f>+E39/E37</f>
        <v>4.8571428571428571E-2</v>
      </c>
      <c r="F42" s="132">
        <f t="shared" ref="F42:H42" si="11">+F39/F37</f>
        <v>0.05</v>
      </c>
      <c r="G42" s="132">
        <f t="shared" si="11"/>
        <v>6.0509554140127389E-2</v>
      </c>
      <c r="H42" s="132">
        <f t="shared" si="11"/>
        <v>6.7675159235668789E-2</v>
      </c>
      <c r="I42" s="130">
        <v>0.08</v>
      </c>
      <c r="J42" s="130">
        <v>0.1</v>
      </c>
      <c r="K42" s="130">
        <v>0.12</v>
      </c>
      <c r="L42" s="130">
        <v>0.14000000000000001</v>
      </c>
      <c r="M42" s="130">
        <v>0.16</v>
      </c>
      <c r="N42" s="130">
        <v>0.18</v>
      </c>
      <c r="O42" s="130">
        <v>0.2</v>
      </c>
      <c r="P42" s="130">
        <v>0.22</v>
      </c>
      <c r="Q42" s="130">
        <v>0.24</v>
      </c>
      <c r="R42" s="130">
        <v>0.24</v>
      </c>
      <c r="S42" s="90"/>
    </row>
    <row r="43" spans="1:19" ht="14.4" hidden="1" customHeight="1" outlineLevel="1" x14ac:dyDescent="0.3">
      <c r="A43" s="5"/>
      <c r="B43" s="5"/>
      <c r="C43" s="98" t="s">
        <v>126</v>
      </c>
      <c r="D43" s="4" t="s">
        <v>10</v>
      </c>
      <c r="E43" s="132"/>
      <c r="F43" s="132"/>
      <c r="G43" s="132"/>
      <c r="H43" s="132"/>
      <c r="I43" s="100">
        <f t="shared" ref="I43:R43" si="12">+I42*(1+Xyrem_Market_Penetration_Toggle)</f>
        <v>0.08</v>
      </c>
      <c r="J43" s="100">
        <f t="shared" si="12"/>
        <v>0.1</v>
      </c>
      <c r="K43" s="100">
        <f t="shared" si="12"/>
        <v>0.12</v>
      </c>
      <c r="L43" s="100">
        <f t="shared" si="12"/>
        <v>0.14000000000000001</v>
      </c>
      <c r="M43" s="100">
        <f t="shared" si="12"/>
        <v>0.16</v>
      </c>
      <c r="N43" s="100">
        <f t="shared" si="12"/>
        <v>0.18</v>
      </c>
      <c r="O43" s="100">
        <f t="shared" si="12"/>
        <v>0.2</v>
      </c>
      <c r="P43" s="100">
        <f t="shared" si="12"/>
        <v>0.22</v>
      </c>
      <c r="Q43" s="100">
        <f t="shared" si="12"/>
        <v>0.24</v>
      </c>
      <c r="R43" s="100">
        <f t="shared" si="12"/>
        <v>0.24</v>
      </c>
      <c r="S43" s="90"/>
    </row>
    <row r="44" spans="1:19" ht="14.4" hidden="1" customHeight="1" outlineLevel="1" x14ac:dyDescent="0.3">
      <c r="A44" s="5"/>
      <c r="B44" s="5"/>
      <c r="C44" s="98"/>
      <c r="D44" s="4"/>
      <c r="E44" s="132"/>
      <c r="F44" s="132"/>
      <c r="G44" s="132"/>
      <c r="H44" s="132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90"/>
    </row>
    <row r="45" spans="1:19" ht="14.4" hidden="1" customHeight="1" outlineLevel="1" x14ac:dyDescent="0.3">
      <c r="A45" s="80"/>
      <c r="B45" s="5"/>
      <c r="C45" s="98" t="s">
        <v>112</v>
      </c>
      <c r="D45" s="4" t="s">
        <v>118</v>
      </c>
      <c r="E45" s="145">
        <f>+E49/E39*(Units*Units)</f>
        <v>16780</v>
      </c>
      <c r="F45" s="145">
        <f>+F49/F39*(Units*Units)</f>
        <v>26668.342857142859</v>
      </c>
      <c r="G45" s="145">
        <f>+G49/G39*(Units*Units)</f>
        <v>39859.26315789474</v>
      </c>
      <c r="H45" s="145">
        <f>+H49/H39*(Units*Units)</f>
        <v>53563.576470588247</v>
      </c>
      <c r="I45" s="145">
        <f t="shared" ref="I45:R45" si="13">IF(I33&gt;=Generics_Year,Xyrem_Generics_Price,+H45*(1+I47))</f>
        <v>61598.112941176478</v>
      </c>
      <c r="J45" s="145">
        <f t="shared" si="13"/>
        <v>68989.886494117658</v>
      </c>
      <c r="K45" s="145">
        <f t="shared" si="13"/>
        <v>77268.672873411779</v>
      </c>
      <c r="L45" s="145">
        <f t="shared" si="13"/>
        <v>86540.913618221195</v>
      </c>
      <c r="M45" s="145">
        <f t="shared" si="13"/>
        <v>95195.004980043319</v>
      </c>
      <c r="N45" s="145">
        <f t="shared" si="13"/>
        <v>104714.50547804766</v>
      </c>
      <c r="O45" s="145">
        <f t="shared" si="13"/>
        <v>113091.66591629149</v>
      </c>
      <c r="P45" s="145">
        <f t="shared" si="13"/>
        <v>122138.99918959482</v>
      </c>
      <c r="Q45" s="145">
        <f t="shared" si="13"/>
        <v>10000</v>
      </c>
      <c r="R45" s="145">
        <f t="shared" si="13"/>
        <v>10000</v>
      </c>
    </row>
    <row r="46" spans="1:19" ht="14.4" hidden="1" customHeight="1" outlineLevel="1" x14ac:dyDescent="0.3">
      <c r="A46" s="5"/>
      <c r="B46" s="5"/>
      <c r="C46" s="134" t="s">
        <v>128</v>
      </c>
      <c r="D46" s="4" t="s">
        <v>10</v>
      </c>
      <c r="E46" s="141" t="s">
        <v>97</v>
      </c>
      <c r="F46" s="135">
        <f>+F45/E45-1</f>
        <v>0.58929337646858526</v>
      </c>
      <c r="G46" s="135">
        <f t="shared" ref="G46:H46" si="14">+G45/F45-1</f>
        <v>0.49462842034891641</v>
      </c>
      <c r="H46" s="135">
        <f t="shared" si="14"/>
        <v>0.34381752764486717</v>
      </c>
      <c r="I46" s="130">
        <v>0.15</v>
      </c>
      <c r="J46" s="130">
        <v>0.12</v>
      </c>
      <c r="K46" s="130">
        <v>0.12</v>
      </c>
      <c r="L46" s="130">
        <v>0.12</v>
      </c>
      <c r="M46" s="130">
        <v>0.1</v>
      </c>
      <c r="N46" s="130">
        <v>0.1</v>
      </c>
      <c r="O46" s="130">
        <v>0.08</v>
      </c>
      <c r="P46" s="130">
        <v>0.08</v>
      </c>
      <c r="Q46" s="130">
        <v>0.06</v>
      </c>
      <c r="R46" s="130">
        <v>0.06</v>
      </c>
      <c r="S46" s="90"/>
    </row>
    <row r="47" spans="1:19" ht="14.4" hidden="1" customHeight="1" outlineLevel="1" x14ac:dyDescent="0.3">
      <c r="A47" s="5"/>
      <c r="B47" s="5"/>
      <c r="C47" s="134" t="s">
        <v>127</v>
      </c>
      <c r="D47" s="4" t="s">
        <v>10</v>
      </c>
      <c r="E47" s="99"/>
      <c r="F47" s="99"/>
      <c r="G47" s="99"/>
      <c r="H47" s="99"/>
      <c r="I47" s="100">
        <f t="shared" ref="I47:R47" si="15">+I46*(1+Xyrem_Price_Increase_Toggle)</f>
        <v>0.15</v>
      </c>
      <c r="J47" s="100">
        <f t="shared" si="15"/>
        <v>0.12</v>
      </c>
      <c r="K47" s="100">
        <f t="shared" si="15"/>
        <v>0.12</v>
      </c>
      <c r="L47" s="100">
        <f t="shared" si="15"/>
        <v>0.12</v>
      </c>
      <c r="M47" s="100">
        <f t="shared" si="15"/>
        <v>0.1</v>
      </c>
      <c r="N47" s="100">
        <f t="shared" si="15"/>
        <v>0.1</v>
      </c>
      <c r="O47" s="100">
        <f t="shared" si="15"/>
        <v>0.08</v>
      </c>
      <c r="P47" s="100">
        <f t="shared" si="15"/>
        <v>0.08</v>
      </c>
      <c r="Q47" s="100">
        <f t="shared" si="15"/>
        <v>0.06</v>
      </c>
      <c r="R47" s="100">
        <f t="shared" si="15"/>
        <v>0.06</v>
      </c>
      <c r="S47" s="90"/>
    </row>
    <row r="48" spans="1:19" ht="14.4" hidden="1" customHeight="1" outlineLevel="1" x14ac:dyDescent="0.3">
      <c r="A48" s="5"/>
      <c r="B48" s="5"/>
      <c r="C48" s="98"/>
      <c r="D48" s="97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0"/>
    </row>
    <row r="49" spans="1:19" ht="14.4" hidden="1" customHeight="1" outlineLevel="1" x14ac:dyDescent="0.3">
      <c r="A49" s="5"/>
      <c r="B49" s="5"/>
      <c r="C49" s="98" t="s">
        <v>115</v>
      </c>
      <c r="D49" s="127" t="s">
        <v>116</v>
      </c>
      <c r="E49" s="34">
        <v>142.63</v>
      </c>
      <c r="F49" s="34">
        <v>233.34800000000001</v>
      </c>
      <c r="G49" s="34">
        <v>378.66300000000001</v>
      </c>
      <c r="H49" s="34">
        <v>569.11300000000006</v>
      </c>
      <c r="I49" s="43">
        <f t="shared" ref="I49:R49" si="16">+I45*I39/(Units*Units)</f>
        <v>773.67229854117659</v>
      </c>
      <c r="J49" s="43">
        <f t="shared" si="16"/>
        <v>1083.1412179576473</v>
      </c>
      <c r="K49" s="43">
        <f t="shared" si="16"/>
        <v>1455.7417969350779</v>
      </c>
      <c r="L49" s="43">
        <f t="shared" si="16"/>
        <v>1902.1692813285022</v>
      </c>
      <c r="M49" s="43">
        <f t="shared" si="16"/>
        <v>2391.2985250986881</v>
      </c>
      <c r="N49" s="43">
        <f t="shared" si="16"/>
        <v>2959.2319248096269</v>
      </c>
      <c r="O49" s="43">
        <f t="shared" si="16"/>
        <v>3551.0783097715525</v>
      </c>
      <c r="P49" s="43">
        <f t="shared" si="16"/>
        <v>4218.6810320086051</v>
      </c>
      <c r="Q49" s="43">
        <f t="shared" si="16"/>
        <v>376.8</v>
      </c>
      <c r="R49" s="43">
        <f t="shared" si="16"/>
        <v>376.8</v>
      </c>
      <c r="S49" s="90"/>
    </row>
    <row r="50" spans="1:19" hidden="1" outlineLevel="1" x14ac:dyDescent="0.3">
      <c r="C50" s="134" t="s">
        <v>121</v>
      </c>
      <c r="D50" s="4" t="s">
        <v>10</v>
      </c>
      <c r="E50" s="141" t="s">
        <v>97</v>
      </c>
      <c r="F50" s="135">
        <f>+F49/E49-1</f>
        <v>0.63603729930589648</v>
      </c>
      <c r="G50" s="135">
        <f t="shared" ref="G50" si="17">+G49/F49-1</f>
        <v>0.622739427807395</v>
      </c>
      <c r="H50" s="135">
        <f t="shared" ref="H50" si="18">+H49/G49-1</f>
        <v>0.50295381381333804</v>
      </c>
      <c r="I50" s="135">
        <f>+I49/H49-1</f>
        <v>0.35943529411764708</v>
      </c>
      <c r="J50" s="135">
        <f t="shared" ref="J50:R50" si="19">+J49/I49-1</f>
        <v>0.40000000000000013</v>
      </c>
      <c r="K50" s="135">
        <f t="shared" si="19"/>
        <v>0.34399999999999986</v>
      </c>
      <c r="L50" s="135">
        <f t="shared" si="19"/>
        <v>0.30666666666666687</v>
      </c>
      <c r="M50" s="135">
        <f t="shared" si="19"/>
        <v>0.2571428571428569</v>
      </c>
      <c r="N50" s="135">
        <f t="shared" si="19"/>
        <v>0.23750000000000027</v>
      </c>
      <c r="O50" s="135">
        <f t="shared" si="19"/>
        <v>0.20000000000000018</v>
      </c>
      <c r="P50" s="135">
        <f t="shared" si="19"/>
        <v>0.18800000000000017</v>
      </c>
      <c r="Q50" s="135">
        <f t="shared" si="19"/>
        <v>-0.91068298429270023</v>
      </c>
      <c r="R50" s="135">
        <f t="shared" si="19"/>
        <v>0</v>
      </c>
    </row>
    <row r="51" spans="1:19" ht="14.4" hidden="1" customHeight="1" outlineLevel="1" x14ac:dyDescent="0.3">
      <c r="A51" s="80"/>
      <c r="B51" s="5"/>
      <c r="C51" s="5"/>
      <c r="D51" s="4"/>
      <c r="E51" s="16"/>
      <c r="F51" s="114"/>
      <c r="G51" s="114"/>
      <c r="H51" s="114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82"/>
    </row>
    <row r="52" spans="1:19" ht="14.4" hidden="1" customHeight="1" outlineLevel="1" x14ac:dyDescent="0.3">
      <c r="A52" s="80"/>
      <c r="B52" s="5"/>
      <c r="C52" s="10" t="s">
        <v>137</v>
      </c>
      <c r="D52" s="6"/>
      <c r="E52" s="146"/>
      <c r="F52" s="148"/>
      <c r="G52" s="148"/>
      <c r="H52" s="148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82"/>
    </row>
    <row r="53" spans="1:19" ht="14.4" hidden="1" customHeight="1" outlineLevel="1" x14ac:dyDescent="0.3">
      <c r="A53" s="80"/>
      <c r="B53" s="5"/>
      <c r="C53" s="5"/>
      <c r="D53" s="4"/>
      <c r="E53" s="16"/>
      <c r="F53" s="114"/>
      <c r="G53" s="114"/>
      <c r="H53" s="114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82"/>
    </row>
    <row r="54" spans="1:19" hidden="1" outlineLevel="1" x14ac:dyDescent="0.3">
      <c r="A54" s="80"/>
      <c r="B54" s="5"/>
      <c r="C54" s="110" t="s">
        <v>91</v>
      </c>
      <c r="D54" s="4" t="s">
        <v>87</v>
      </c>
      <c r="E54" s="99">
        <v>3600</v>
      </c>
      <c r="F54" s="99">
        <v>3600</v>
      </c>
      <c r="G54" s="99">
        <v>3600</v>
      </c>
      <c r="H54" s="99">
        <v>3600</v>
      </c>
      <c r="I54" s="133">
        <f>+H54</f>
        <v>3600</v>
      </c>
      <c r="J54" s="133">
        <f t="shared" ref="J54:R54" si="20">+I54</f>
        <v>3600</v>
      </c>
      <c r="K54" s="133">
        <f t="shared" si="20"/>
        <v>3600</v>
      </c>
      <c r="L54" s="133">
        <f t="shared" si="20"/>
        <v>3600</v>
      </c>
      <c r="M54" s="133">
        <f t="shared" si="20"/>
        <v>3600</v>
      </c>
      <c r="N54" s="133">
        <f t="shared" si="20"/>
        <v>3600</v>
      </c>
      <c r="O54" s="133">
        <f t="shared" si="20"/>
        <v>3600</v>
      </c>
      <c r="P54" s="133">
        <f t="shared" si="20"/>
        <v>3600</v>
      </c>
      <c r="Q54" s="133">
        <f t="shared" si="20"/>
        <v>3600</v>
      </c>
      <c r="R54" s="133">
        <f t="shared" si="20"/>
        <v>3600</v>
      </c>
      <c r="S54" s="102"/>
    </row>
    <row r="55" spans="1:19" hidden="1" outlineLevel="1" x14ac:dyDescent="0.3">
      <c r="A55" s="80"/>
      <c r="B55" s="5"/>
      <c r="C55" s="139" t="s">
        <v>131</v>
      </c>
      <c r="D55" s="4" t="s">
        <v>87</v>
      </c>
      <c r="E55" s="99" t="s">
        <v>97</v>
      </c>
      <c r="F55" s="99" t="s">
        <v>97</v>
      </c>
      <c r="G55" s="131">
        <f>+G63/G60*(Units*Units)</f>
        <v>421.71658172678627</v>
      </c>
      <c r="H55" s="131">
        <f>+H54*H58</f>
        <v>540</v>
      </c>
      <c r="I55" s="131">
        <f>+I58*I54</f>
        <v>612</v>
      </c>
      <c r="J55" s="131">
        <f t="shared" ref="J55:R55" si="21">+J58*J54</f>
        <v>684</v>
      </c>
      <c r="K55" s="131">
        <f t="shared" si="21"/>
        <v>756</v>
      </c>
      <c r="L55" s="131">
        <f t="shared" si="21"/>
        <v>828</v>
      </c>
      <c r="M55" s="131">
        <f t="shared" si="21"/>
        <v>900</v>
      </c>
      <c r="N55" s="131">
        <f t="shared" si="21"/>
        <v>900</v>
      </c>
      <c r="O55" s="131">
        <f t="shared" si="21"/>
        <v>972.00000000000011</v>
      </c>
      <c r="P55" s="131">
        <f t="shared" si="21"/>
        <v>972.00000000000011</v>
      </c>
      <c r="Q55" s="131">
        <f t="shared" si="21"/>
        <v>1044</v>
      </c>
      <c r="R55" s="131">
        <f t="shared" si="21"/>
        <v>1044</v>
      </c>
      <c r="S55" s="102"/>
    </row>
    <row r="56" spans="1:19" hidden="1" outlineLevel="1" x14ac:dyDescent="0.3">
      <c r="A56" s="80"/>
      <c r="B56" s="5"/>
      <c r="C56" s="134" t="s">
        <v>119</v>
      </c>
      <c r="D56" s="127" t="s">
        <v>10</v>
      </c>
      <c r="E56" s="141" t="s">
        <v>97</v>
      </c>
      <c r="F56" s="141" t="s">
        <v>97</v>
      </c>
      <c r="G56" s="141" t="s">
        <v>97</v>
      </c>
      <c r="H56" s="135">
        <f>+H55/G55-1</f>
        <v>0.28048083333333329</v>
      </c>
      <c r="I56" s="135">
        <f>+I55/H55-1</f>
        <v>0.1333333333333333</v>
      </c>
      <c r="J56" s="135">
        <f t="shared" ref="J56:R56" si="22">+J55/I55-1</f>
        <v>0.11764705882352944</v>
      </c>
      <c r="K56" s="135">
        <f t="shared" si="22"/>
        <v>0.10526315789473695</v>
      </c>
      <c r="L56" s="135">
        <f t="shared" si="22"/>
        <v>9.5238095238095344E-2</v>
      </c>
      <c r="M56" s="135">
        <f t="shared" si="22"/>
        <v>8.6956521739130377E-2</v>
      </c>
      <c r="N56" s="135">
        <f t="shared" si="22"/>
        <v>0</v>
      </c>
      <c r="O56" s="135">
        <f t="shared" si="22"/>
        <v>8.0000000000000071E-2</v>
      </c>
      <c r="P56" s="135">
        <f t="shared" si="22"/>
        <v>0</v>
      </c>
      <c r="Q56" s="135">
        <f t="shared" si="22"/>
        <v>7.4074074074073959E-2</v>
      </c>
      <c r="R56" s="135">
        <f t="shared" si="22"/>
        <v>0</v>
      </c>
      <c r="S56" s="102"/>
    </row>
    <row r="57" spans="1:19" hidden="1" outlineLevel="1" x14ac:dyDescent="0.3">
      <c r="A57" s="80"/>
      <c r="B57" s="5"/>
      <c r="C57" s="110"/>
      <c r="D57" s="97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102"/>
    </row>
    <row r="58" spans="1:19" hidden="1" outlineLevel="1" x14ac:dyDescent="0.3">
      <c r="A58" s="80"/>
      <c r="B58" s="5"/>
      <c r="C58" s="98" t="s">
        <v>132</v>
      </c>
      <c r="D58" s="4" t="s">
        <v>10</v>
      </c>
      <c r="E58" s="141" t="s">
        <v>97</v>
      </c>
      <c r="F58" s="141" t="s">
        <v>97</v>
      </c>
      <c r="G58" s="140">
        <f>+G55/G54</f>
        <v>0.11714349492410729</v>
      </c>
      <c r="H58" s="103">
        <v>0.15</v>
      </c>
      <c r="I58" s="130">
        <v>0.17</v>
      </c>
      <c r="J58" s="130">
        <v>0.19</v>
      </c>
      <c r="K58" s="130">
        <v>0.21</v>
      </c>
      <c r="L58" s="130">
        <v>0.23</v>
      </c>
      <c r="M58" s="130">
        <v>0.25</v>
      </c>
      <c r="N58" s="130">
        <v>0.25</v>
      </c>
      <c r="O58" s="130">
        <v>0.27</v>
      </c>
      <c r="P58" s="130">
        <v>0.27</v>
      </c>
      <c r="Q58" s="130">
        <v>0.28999999999999998</v>
      </c>
      <c r="R58" s="130">
        <v>0.28999999999999998</v>
      </c>
      <c r="S58" s="102"/>
    </row>
    <row r="59" spans="1:19" hidden="1" outlineLevel="1" x14ac:dyDescent="0.3">
      <c r="A59" s="80"/>
      <c r="B59" s="5"/>
      <c r="C59" s="110"/>
      <c r="D59" s="97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102"/>
    </row>
    <row r="60" spans="1:19" hidden="1" outlineLevel="1" x14ac:dyDescent="0.3">
      <c r="A60" s="80"/>
      <c r="B60" s="5"/>
      <c r="C60" s="98" t="s">
        <v>133</v>
      </c>
      <c r="D60" s="4" t="s">
        <v>118</v>
      </c>
      <c r="E60" s="141" t="s">
        <v>97</v>
      </c>
      <c r="F60" s="141" t="s">
        <v>97</v>
      </c>
      <c r="G60" s="145">
        <f>+H60*(1-H61)</f>
        <v>313006.4259259259</v>
      </c>
      <c r="H60" s="145">
        <f>+H63/H55*(Units*Units)</f>
        <v>322687.03703703702</v>
      </c>
      <c r="I60" s="145">
        <f>+H60*(1+I61)</f>
        <v>332367.64814814815</v>
      </c>
      <c r="J60" s="145">
        <f t="shared" ref="J60:R60" si="23">+I60*(1+J61)</f>
        <v>342338.6775925926</v>
      </c>
      <c r="K60" s="145">
        <f t="shared" si="23"/>
        <v>352608.8379203704</v>
      </c>
      <c r="L60" s="145">
        <f t="shared" si="23"/>
        <v>363187.10305798153</v>
      </c>
      <c r="M60" s="145">
        <f t="shared" si="23"/>
        <v>374082.716149721</v>
      </c>
      <c r="N60" s="145">
        <f t="shared" si="23"/>
        <v>385305.19763421267</v>
      </c>
      <c r="O60" s="145">
        <f t="shared" si="23"/>
        <v>396864.35356323904</v>
      </c>
      <c r="P60" s="145">
        <f t="shared" si="23"/>
        <v>408770.2841701362</v>
      </c>
      <c r="Q60" s="145">
        <f t="shared" si="23"/>
        <v>421033.39269524033</v>
      </c>
      <c r="R60" s="145">
        <f t="shared" si="23"/>
        <v>433664.39447609754</v>
      </c>
      <c r="S60" s="102"/>
    </row>
    <row r="61" spans="1:19" hidden="1" outlineLevel="1" x14ac:dyDescent="0.3">
      <c r="A61" s="80"/>
      <c r="B61" s="5"/>
      <c r="C61" s="134" t="s">
        <v>128</v>
      </c>
      <c r="D61" s="4" t="s">
        <v>10</v>
      </c>
      <c r="E61" s="141" t="s">
        <v>97</v>
      </c>
      <c r="F61" s="141" t="s">
        <v>97</v>
      </c>
      <c r="G61" s="141" t="s">
        <v>97</v>
      </c>
      <c r="H61" s="141">
        <v>0.03</v>
      </c>
      <c r="I61" s="130">
        <v>0.03</v>
      </c>
      <c r="J61" s="142">
        <f>+I61</f>
        <v>0.03</v>
      </c>
      <c r="K61" s="142">
        <f t="shared" ref="K61:R61" si="24">+J61</f>
        <v>0.03</v>
      </c>
      <c r="L61" s="142">
        <f t="shared" si="24"/>
        <v>0.03</v>
      </c>
      <c r="M61" s="142">
        <f t="shared" si="24"/>
        <v>0.03</v>
      </c>
      <c r="N61" s="142">
        <f t="shared" si="24"/>
        <v>0.03</v>
      </c>
      <c r="O61" s="142">
        <f t="shared" si="24"/>
        <v>0.03</v>
      </c>
      <c r="P61" s="142">
        <f t="shared" si="24"/>
        <v>0.03</v>
      </c>
      <c r="Q61" s="142">
        <f t="shared" si="24"/>
        <v>0.03</v>
      </c>
      <c r="R61" s="142">
        <f t="shared" si="24"/>
        <v>0.03</v>
      </c>
      <c r="S61" s="102"/>
    </row>
    <row r="62" spans="1:19" hidden="1" outlineLevel="1" x14ac:dyDescent="0.3">
      <c r="A62" s="80"/>
      <c r="B62" s="5"/>
      <c r="C62" s="110"/>
      <c r="D62" s="97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102"/>
    </row>
    <row r="63" spans="1:19" hidden="1" outlineLevel="1" x14ac:dyDescent="0.3">
      <c r="A63" s="80"/>
      <c r="B63" s="5"/>
      <c r="C63" s="98" t="s">
        <v>130</v>
      </c>
      <c r="D63" s="127" t="s">
        <v>116</v>
      </c>
      <c r="E63" s="34">
        <v>0</v>
      </c>
      <c r="F63" s="34">
        <v>0</v>
      </c>
      <c r="G63" s="34">
        <v>132</v>
      </c>
      <c r="H63" s="34">
        <v>174.251</v>
      </c>
      <c r="I63" s="43">
        <f t="shared" ref="I63:R63" si="25">+I60*I55/(Units*Units)</f>
        <v>203.40900066666666</v>
      </c>
      <c r="J63" s="43">
        <f t="shared" si="25"/>
        <v>234.15965547333332</v>
      </c>
      <c r="K63" s="43">
        <f t="shared" si="25"/>
        <v>266.5722814678</v>
      </c>
      <c r="L63" s="43">
        <f t="shared" si="25"/>
        <v>300.71892133200873</v>
      </c>
      <c r="M63" s="43">
        <f t="shared" si="25"/>
        <v>336.67444453474889</v>
      </c>
      <c r="N63" s="43">
        <f t="shared" si="25"/>
        <v>346.77467787079144</v>
      </c>
      <c r="O63" s="43">
        <f t="shared" si="25"/>
        <v>385.7521516634684</v>
      </c>
      <c r="P63" s="43">
        <f t="shared" si="25"/>
        <v>397.32471621337243</v>
      </c>
      <c r="Q63" s="43">
        <f t="shared" si="25"/>
        <v>439.55886197383086</v>
      </c>
      <c r="R63" s="43">
        <f t="shared" si="25"/>
        <v>452.74562783304583</v>
      </c>
      <c r="S63" s="102"/>
    </row>
    <row r="64" spans="1:19" hidden="1" outlineLevel="1" x14ac:dyDescent="0.3">
      <c r="A64" s="80"/>
      <c r="B64" s="5"/>
      <c r="C64" s="134" t="s">
        <v>121</v>
      </c>
      <c r="D64" s="4" t="s">
        <v>10</v>
      </c>
      <c r="E64" s="141" t="s">
        <v>97</v>
      </c>
      <c r="F64" s="141" t="s">
        <v>97</v>
      </c>
      <c r="G64" s="141" t="s">
        <v>97</v>
      </c>
      <c r="H64" s="135">
        <f t="shared" ref="H64:I64" si="26">+H63/G63-1</f>
        <v>0.32008333333333328</v>
      </c>
      <c r="I64" s="135">
        <f t="shared" si="26"/>
        <v>0.16733333333333333</v>
      </c>
      <c r="J64" s="135">
        <f t="shared" ref="J64" si="27">+J63/I63-1</f>
        <v>0.15117647058823525</v>
      </c>
      <c r="K64" s="135">
        <f t="shared" ref="K64" si="28">+K63/J63-1</f>
        <v>0.138421052631579</v>
      </c>
      <c r="L64" s="135">
        <f t="shared" ref="L64" si="29">+L63/K63-1</f>
        <v>0.12809523809523826</v>
      </c>
      <c r="M64" s="135">
        <f t="shared" ref="M64" si="30">+M63/L63-1</f>
        <v>0.11956521739130421</v>
      </c>
      <c r="N64" s="135">
        <f t="shared" ref="N64" si="31">+N63/M63-1</f>
        <v>3.0000000000000249E-2</v>
      </c>
      <c r="O64" s="135">
        <f t="shared" ref="O64" si="32">+O63/N63-1</f>
        <v>0.11240000000000006</v>
      </c>
      <c r="P64" s="135">
        <f t="shared" ref="P64" si="33">+P63/O63-1</f>
        <v>3.0000000000000027E-2</v>
      </c>
      <c r="Q64" s="135">
        <f t="shared" ref="Q64" si="34">+Q63/P63-1</f>
        <v>0.10629629629629611</v>
      </c>
      <c r="R64" s="135">
        <f t="shared" ref="R64" si="35">+R63/Q63-1</f>
        <v>3.0000000000000027E-2</v>
      </c>
      <c r="S64" s="102"/>
    </row>
    <row r="65" spans="1:19" hidden="1" outlineLevel="1" x14ac:dyDescent="0.3">
      <c r="A65" s="80"/>
      <c r="B65" s="5"/>
      <c r="C65" s="110"/>
      <c r="D65" s="97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102"/>
    </row>
    <row r="66" spans="1:19" hidden="1" outlineLevel="1" x14ac:dyDescent="0.3">
      <c r="A66" s="80"/>
      <c r="B66" s="5"/>
      <c r="C66" s="150" t="s">
        <v>138</v>
      </c>
      <c r="D66" s="151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02"/>
    </row>
    <row r="67" spans="1:19" hidden="1" outlineLevel="1" x14ac:dyDescent="0.3">
      <c r="A67" s="80"/>
      <c r="B67" s="5"/>
      <c r="C67" s="110"/>
      <c r="D67" s="97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102"/>
    </row>
    <row r="68" spans="1:19" hidden="1" outlineLevel="1" x14ac:dyDescent="0.3">
      <c r="A68" s="80"/>
      <c r="B68" s="5"/>
      <c r="C68" s="143" t="s">
        <v>141</v>
      </c>
      <c r="D68" s="4" t="s">
        <v>87</v>
      </c>
      <c r="E68" s="99" t="s">
        <v>97</v>
      </c>
      <c r="F68" s="99" t="s">
        <v>97</v>
      </c>
      <c r="G68" s="99" t="s">
        <v>97</v>
      </c>
      <c r="H68" s="99">
        <v>35000</v>
      </c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102"/>
    </row>
    <row r="69" spans="1:19" hidden="1" outlineLevel="1" x14ac:dyDescent="0.3">
      <c r="A69" s="80"/>
      <c r="B69" s="5"/>
      <c r="C69" s="143" t="s">
        <v>142</v>
      </c>
      <c r="D69" s="4" t="s">
        <v>87</v>
      </c>
      <c r="E69" s="99" t="s">
        <v>97</v>
      </c>
      <c r="F69" s="99" t="s">
        <v>97</v>
      </c>
      <c r="G69" s="99" t="s">
        <v>97</v>
      </c>
      <c r="H69" s="99">
        <v>6300</v>
      </c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102"/>
    </row>
    <row r="70" spans="1:19" hidden="1" outlineLevel="1" x14ac:dyDescent="0.3">
      <c r="A70" s="80"/>
      <c r="B70" s="5"/>
      <c r="C70" s="143" t="s">
        <v>143</v>
      </c>
      <c r="D70" s="4" t="s">
        <v>87</v>
      </c>
      <c r="E70" s="99" t="s">
        <v>97</v>
      </c>
      <c r="F70" s="99" t="s">
        <v>97</v>
      </c>
      <c r="G70" s="99" t="s">
        <v>97</v>
      </c>
      <c r="H70" s="99">
        <v>3600</v>
      </c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102"/>
    </row>
    <row r="71" spans="1:19" hidden="1" outlineLevel="1" x14ac:dyDescent="0.3">
      <c r="A71" s="80"/>
      <c r="B71" s="5"/>
      <c r="C71" s="143" t="s">
        <v>144</v>
      </c>
      <c r="D71" s="4" t="s">
        <v>87</v>
      </c>
      <c r="E71" s="99" t="s">
        <v>97</v>
      </c>
      <c r="F71" s="99" t="s">
        <v>97</v>
      </c>
      <c r="G71" s="99" t="s">
        <v>97</v>
      </c>
      <c r="H71" s="99">
        <v>1800</v>
      </c>
      <c r="I71" s="133">
        <f>+H71</f>
        <v>1800</v>
      </c>
      <c r="J71" s="133">
        <f t="shared" ref="J71:R71" si="36">+I71</f>
        <v>1800</v>
      </c>
      <c r="K71" s="133">
        <f t="shared" si="36"/>
        <v>1800</v>
      </c>
      <c r="L71" s="133">
        <f t="shared" si="36"/>
        <v>1800</v>
      </c>
      <c r="M71" s="133">
        <f t="shared" si="36"/>
        <v>1800</v>
      </c>
      <c r="N71" s="133">
        <f t="shared" si="36"/>
        <v>1800</v>
      </c>
      <c r="O71" s="133">
        <f t="shared" si="36"/>
        <v>1800</v>
      </c>
      <c r="P71" s="133">
        <f t="shared" si="36"/>
        <v>1800</v>
      </c>
      <c r="Q71" s="133">
        <f t="shared" si="36"/>
        <v>1800</v>
      </c>
      <c r="R71" s="133">
        <f t="shared" si="36"/>
        <v>1800</v>
      </c>
      <c r="S71" s="102"/>
    </row>
    <row r="72" spans="1:19" hidden="1" outlineLevel="1" x14ac:dyDescent="0.3">
      <c r="A72" s="80"/>
      <c r="B72" s="5"/>
      <c r="C72" s="143" t="s">
        <v>139</v>
      </c>
      <c r="D72" s="4" t="s">
        <v>87</v>
      </c>
      <c r="E72" s="99" t="s">
        <v>97</v>
      </c>
      <c r="F72" s="99" t="s">
        <v>97</v>
      </c>
      <c r="G72" s="99" t="s">
        <v>97</v>
      </c>
      <c r="H72" s="99">
        <v>1200</v>
      </c>
      <c r="I72" s="131">
        <f>+I73*($H$72/$H$73)</f>
        <v>1350</v>
      </c>
      <c r="J72" s="131">
        <f t="shared" ref="J72:R72" si="37">+J73*($H$72/$H$73)</f>
        <v>1620</v>
      </c>
      <c r="K72" s="131">
        <f t="shared" si="37"/>
        <v>1890</v>
      </c>
      <c r="L72" s="131">
        <f t="shared" si="37"/>
        <v>2160</v>
      </c>
      <c r="M72" s="131">
        <f t="shared" si="37"/>
        <v>2430</v>
      </c>
      <c r="N72" s="131">
        <f t="shared" si="37"/>
        <v>2430</v>
      </c>
      <c r="O72" s="131">
        <f t="shared" si="37"/>
        <v>2430</v>
      </c>
      <c r="P72" s="131">
        <f t="shared" si="37"/>
        <v>2430</v>
      </c>
      <c r="Q72" s="131">
        <f t="shared" si="37"/>
        <v>2430</v>
      </c>
      <c r="R72" s="131">
        <f t="shared" si="37"/>
        <v>2430</v>
      </c>
      <c r="S72" s="102"/>
    </row>
    <row r="73" spans="1:19" hidden="1" outlineLevel="1" x14ac:dyDescent="0.3">
      <c r="A73" s="80"/>
      <c r="B73" s="5"/>
      <c r="C73" s="143" t="s">
        <v>140</v>
      </c>
      <c r="D73" s="4" t="s">
        <v>87</v>
      </c>
      <c r="E73" s="99" t="s">
        <v>97</v>
      </c>
      <c r="F73" s="99" t="s">
        <v>97</v>
      </c>
      <c r="G73" s="99" t="s">
        <v>97</v>
      </c>
      <c r="H73" s="99">
        <v>800</v>
      </c>
      <c r="I73" s="131">
        <f>+I71*I76</f>
        <v>900</v>
      </c>
      <c r="J73" s="131">
        <f t="shared" ref="J73:R73" si="38">+J71*J76</f>
        <v>1080</v>
      </c>
      <c r="K73" s="131">
        <f t="shared" si="38"/>
        <v>1260</v>
      </c>
      <c r="L73" s="131">
        <f t="shared" si="38"/>
        <v>1440</v>
      </c>
      <c r="M73" s="131">
        <f t="shared" si="38"/>
        <v>1620</v>
      </c>
      <c r="N73" s="131">
        <f t="shared" si="38"/>
        <v>1620</v>
      </c>
      <c r="O73" s="131">
        <f t="shared" si="38"/>
        <v>1620</v>
      </c>
      <c r="P73" s="131">
        <f t="shared" si="38"/>
        <v>1620</v>
      </c>
      <c r="Q73" s="131">
        <f t="shared" si="38"/>
        <v>1620</v>
      </c>
      <c r="R73" s="131">
        <f t="shared" si="38"/>
        <v>1620</v>
      </c>
      <c r="S73" s="102"/>
    </row>
    <row r="74" spans="1:19" hidden="1" outlineLevel="1" x14ac:dyDescent="0.3">
      <c r="A74" s="80"/>
      <c r="B74" s="5"/>
      <c r="C74" s="110"/>
      <c r="D74" s="97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102"/>
    </row>
    <row r="75" spans="1:19" hidden="1" outlineLevel="1" x14ac:dyDescent="0.3">
      <c r="A75" s="80"/>
      <c r="B75" s="5"/>
      <c r="C75" s="98" t="s">
        <v>145</v>
      </c>
      <c r="D75" s="4" t="s">
        <v>10</v>
      </c>
      <c r="E75" s="141" t="s">
        <v>97</v>
      </c>
      <c r="F75" s="141" t="s">
        <v>97</v>
      </c>
      <c r="G75" s="141" t="s">
        <v>97</v>
      </c>
      <c r="H75" s="135">
        <f>+H73/H71</f>
        <v>0.44444444444444442</v>
      </c>
      <c r="I75" s="130">
        <v>0.5</v>
      </c>
      <c r="J75" s="130">
        <v>0.6</v>
      </c>
      <c r="K75" s="130">
        <v>0.7</v>
      </c>
      <c r="L75" s="130">
        <v>0.8</v>
      </c>
      <c r="M75" s="130">
        <v>0.9</v>
      </c>
      <c r="N75" s="130">
        <v>0.9</v>
      </c>
      <c r="O75" s="130">
        <v>0.9</v>
      </c>
      <c r="P75" s="130">
        <v>0.9</v>
      </c>
      <c r="Q75" s="130">
        <v>0.9</v>
      </c>
      <c r="R75" s="130">
        <v>0.9</v>
      </c>
      <c r="S75" s="102"/>
    </row>
    <row r="76" spans="1:19" hidden="1" outlineLevel="1" x14ac:dyDescent="0.3">
      <c r="A76" s="80"/>
      <c r="B76" s="5"/>
      <c r="C76" s="143" t="s">
        <v>147</v>
      </c>
      <c r="D76" s="4" t="s">
        <v>10</v>
      </c>
      <c r="E76" s="99"/>
      <c r="F76" s="99"/>
      <c r="G76" s="99"/>
      <c r="H76" s="99"/>
      <c r="I76" s="100">
        <f t="shared" ref="I76:R76" si="39">+I75*(1+Defiteleo_Market_Penetration_Toggle)</f>
        <v>0.5</v>
      </c>
      <c r="J76" s="100">
        <f t="shared" si="39"/>
        <v>0.6</v>
      </c>
      <c r="K76" s="100">
        <f t="shared" si="39"/>
        <v>0.7</v>
      </c>
      <c r="L76" s="100">
        <f t="shared" si="39"/>
        <v>0.8</v>
      </c>
      <c r="M76" s="100">
        <f t="shared" si="39"/>
        <v>0.9</v>
      </c>
      <c r="N76" s="100">
        <f t="shared" si="39"/>
        <v>0.9</v>
      </c>
      <c r="O76" s="100">
        <f t="shared" si="39"/>
        <v>0.9</v>
      </c>
      <c r="P76" s="100">
        <f t="shared" si="39"/>
        <v>0.9</v>
      </c>
      <c r="Q76" s="100">
        <f t="shared" si="39"/>
        <v>0.9</v>
      </c>
      <c r="R76" s="100">
        <f t="shared" si="39"/>
        <v>0.9</v>
      </c>
      <c r="S76" s="102"/>
    </row>
    <row r="77" spans="1:19" hidden="1" outlineLevel="1" x14ac:dyDescent="0.3">
      <c r="A77" s="80"/>
      <c r="B77" s="5"/>
      <c r="C77" s="110"/>
      <c r="D77" s="97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102"/>
    </row>
    <row r="78" spans="1:19" hidden="1" outlineLevel="1" x14ac:dyDescent="0.3">
      <c r="A78" s="80"/>
      <c r="B78" s="5"/>
      <c r="C78" s="98" t="s">
        <v>135</v>
      </c>
      <c r="D78" s="4" t="s">
        <v>118</v>
      </c>
      <c r="E78" s="141" t="s">
        <v>97</v>
      </c>
      <c r="F78" s="141" t="s">
        <v>97</v>
      </c>
      <c r="G78" s="141" t="s">
        <v>97</v>
      </c>
      <c r="H78" s="145">
        <f>+H82/H72*(Units*Units)</f>
        <v>37245.457749999994</v>
      </c>
      <c r="I78" s="145">
        <f>+H78*(1+I80)</f>
        <v>42832.276412499989</v>
      </c>
      <c r="J78" s="145">
        <f t="shared" ref="J78:R78" si="40">+I78*(1+J80)</f>
        <v>49257.117874374984</v>
      </c>
      <c r="K78" s="145">
        <f t="shared" si="40"/>
        <v>56645.685555531229</v>
      </c>
      <c r="L78" s="145">
        <f t="shared" si="40"/>
        <v>65142.538388860907</v>
      </c>
      <c r="M78" s="145">
        <f t="shared" si="40"/>
        <v>74913.919147190041</v>
      </c>
      <c r="N78" s="145">
        <f t="shared" si="40"/>
        <v>86151.007019268538</v>
      </c>
      <c r="O78" s="145">
        <f t="shared" si="40"/>
        <v>99073.658072158811</v>
      </c>
      <c r="P78" s="145">
        <f t="shared" si="40"/>
        <v>113934.70678298263</v>
      </c>
      <c r="Q78" s="145">
        <f t="shared" si="40"/>
        <v>131024.91280043001</v>
      </c>
      <c r="R78" s="145">
        <f t="shared" si="40"/>
        <v>150678.64972049452</v>
      </c>
      <c r="S78" s="102"/>
    </row>
    <row r="79" spans="1:19" hidden="1" outlineLevel="1" x14ac:dyDescent="0.3">
      <c r="A79" s="80"/>
      <c r="B79" s="5"/>
      <c r="C79" s="134" t="s">
        <v>128</v>
      </c>
      <c r="D79" s="4" t="s">
        <v>10</v>
      </c>
      <c r="E79" s="141" t="s">
        <v>97</v>
      </c>
      <c r="F79" s="141" t="s">
        <v>97</v>
      </c>
      <c r="G79" s="141" t="s">
        <v>97</v>
      </c>
      <c r="H79" s="141" t="s">
        <v>97</v>
      </c>
      <c r="I79" s="130">
        <v>0.15</v>
      </c>
      <c r="J79" s="130">
        <v>0.15</v>
      </c>
      <c r="K79" s="130">
        <v>0.15</v>
      </c>
      <c r="L79" s="130">
        <v>0.15</v>
      </c>
      <c r="M79" s="130">
        <v>0.15</v>
      </c>
      <c r="N79" s="130">
        <v>0.15</v>
      </c>
      <c r="O79" s="130">
        <v>0.15</v>
      </c>
      <c r="P79" s="130">
        <v>0.15</v>
      </c>
      <c r="Q79" s="130">
        <v>0.15</v>
      </c>
      <c r="R79" s="130">
        <v>0.15</v>
      </c>
      <c r="S79" s="102"/>
    </row>
    <row r="80" spans="1:19" hidden="1" outlineLevel="1" x14ac:dyDescent="0.3">
      <c r="A80" s="80"/>
      <c r="B80" s="5"/>
      <c r="C80" s="134" t="s">
        <v>127</v>
      </c>
      <c r="D80" s="4" t="s">
        <v>10</v>
      </c>
      <c r="E80" s="99"/>
      <c r="F80" s="99"/>
      <c r="G80" s="99"/>
      <c r="H80" s="99"/>
      <c r="I80" s="100">
        <f t="shared" ref="I80:R80" si="41">+I79*(1+Defiteleo_Price_Increase_Toggle)</f>
        <v>0.15</v>
      </c>
      <c r="J80" s="100">
        <f t="shared" si="41"/>
        <v>0.15</v>
      </c>
      <c r="K80" s="100">
        <f t="shared" si="41"/>
        <v>0.15</v>
      </c>
      <c r="L80" s="100">
        <f t="shared" si="41"/>
        <v>0.15</v>
      </c>
      <c r="M80" s="100">
        <f t="shared" si="41"/>
        <v>0.15</v>
      </c>
      <c r="N80" s="100">
        <f t="shared" si="41"/>
        <v>0.15</v>
      </c>
      <c r="O80" s="100">
        <f t="shared" si="41"/>
        <v>0.15</v>
      </c>
      <c r="P80" s="100">
        <f t="shared" si="41"/>
        <v>0.15</v>
      </c>
      <c r="Q80" s="100">
        <f t="shared" si="41"/>
        <v>0.15</v>
      </c>
      <c r="R80" s="100">
        <f t="shared" si="41"/>
        <v>0.15</v>
      </c>
      <c r="S80" s="102"/>
    </row>
    <row r="81" spans="1:19" hidden="1" outlineLevel="1" x14ac:dyDescent="0.3">
      <c r="A81" s="80"/>
      <c r="B81" s="5"/>
      <c r="C81" s="110"/>
      <c r="D81" s="97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102"/>
    </row>
    <row r="82" spans="1:19" hidden="1" outlineLevel="1" x14ac:dyDescent="0.3">
      <c r="A82" s="80"/>
      <c r="B82" s="5"/>
      <c r="C82" s="143" t="s">
        <v>134</v>
      </c>
      <c r="D82" s="127" t="s">
        <v>116</v>
      </c>
      <c r="E82" s="43">
        <f>13.182*1.3261</f>
        <v>17.480650200000003</v>
      </c>
      <c r="F82" s="43">
        <f>16.886*1.3931</f>
        <v>23.523886599999997</v>
      </c>
      <c r="G82" s="43">
        <f>22.774*1.2859</f>
        <v>29.285086600000003</v>
      </c>
      <c r="H82" s="43">
        <f>33.653*1.3281</f>
        <v>44.694549299999998</v>
      </c>
      <c r="I82" s="43">
        <f t="shared" ref="I82:R82" si="42">+I72*I78/(Units*Units)</f>
        <v>57.823573156874986</v>
      </c>
      <c r="J82" s="43">
        <f t="shared" si="42"/>
        <v>79.796530956487473</v>
      </c>
      <c r="K82" s="43">
        <f t="shared" si="42"/>
        <v>107.06034569995401</v>
      </c>
      <c r="L82" s="43">
        <f t="shared" si="42"/>
        <v>140.70788291993955</v>
      </c>
      <c r="M82" s="43">
        <f t="shared" si="42"/>
        <v>182.04082352767182</v>
      </c>
      <c r="N82" s="43">
        <f t="shared" si="42"/>
        <v>209.34694705682253</v>
      </c>
      <c r="O82" s="43">
        <f t="shared" si="42"/>
        <v>240.74898911534589</v>
      </c>
      <c r="P82" s="43">
        <f t="shared" si="42"/>
        <v>276.8613374826478</v>
      </c>
      <c r="Q82" s="43">
        <f t="shared" si="42"/>
        <v>318.39053810504498</v>
      </c>
      <c r="R82" s="43">
        <f t="shared" si="42"/>
        <v>366.14911882080168</v>
      </c>
      <c r="S82" s="102"/>
    </row>
    <row r="83" spans="1:19" hidden="1" outlineLevel="1" x14ac:dyDescent="0.3">
      <c r="A83" s="80"/>
      <c r="B83" s="5"/>
      <c r="C83" s="134" t="s">
        <v>121</v>
      </c>
      <c r="D83" s="4" t="s">
        <v>10</v>
      </c>
      <c r="E83" s="135">
        <f>+E82/(4.904*1.3935)-1</f>
        <v>1.5579976891077254</v>
      </c>
      <c r="F83" s="135">
        <f>+F82/E82-1</f>
        <v>0.34571004687228357</v>
      </c>
      <c r="G83" s="135">
        <f t="shared" ref="G83:I83" si="43">+G82/F82-1</f>
        <v>0.24490850929369845</v>
      </c>
      <c r="H83" s="135">
        <f t="shared" si="43"/>
        <v>0.526188053000328</v>
      </c>
      <c r="I83" s="135">
        <f t="shared" si="43"/>
        <v>0.29374999999999973</v>
      </c>
      <c r="J83" s="135">
        <f t="shared" ref="J83" si="44">+J82/I82-1</f>
        <v>0.37999999999999989</v>
      </c>
      <c r="K83" s="135">
        <f t="shared" ref="K83" si="45">+K82/J82-1</f>
        <v>0.34166666666666656</v>
      </c>
      <c r="L83" s="135">
        <f t="shared" ref="L83" si="46">+L82/K82-1</f>
        <v>0.31428571428571428</v>
      </c>
      <c r="M83" s="135">
        <f t="shared" ref="M83" si="47">+M82/L82-1</f>
        <v>0.29375000000000018</v>
      </c>
      <c r="N83" s="135">
        <f t="shared" ref="N83" si="48">+N82/M82-1</f>
        <v>0.14999999999999969</v>
      </c>
      <c r="O83" s="135">
        <f t="shared" ref="O83" si="49">+O82/N82-1</f>
        <v>0.14999999999999991</v>
      </c>
      <c r="P83" s="135">
        <f t="shared" ref="P83" si="50">+P82/O82-1</f>
        <v>0.15000000000000013</v>
      </c>
      <c r="Q83" s="135">
        <f t="shared" ref="Q83" si="51">+Q82/P82-1</f>
        <v>0.15000000000000013</v>
      </c>
      <c r="R83" s="135">
        <f t="shared" ref="R83" si="52">+R82/Q82-1</f>
        <v>0.14999999999999991</v>
      </c>
      <c r="S83" s="102"/>
    </row>
    <row r="84" spans="1:19" hidden="1" outlineLevel="1" x14ac:dyDescent="0.3">
      <c r="A84" s="80"/>
      <c r="B84" s="5"/>
      <c r="C84" s="110"/>
      <c r="D84" s="97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102"/>
    </row>
    <row r="85" spans="1:19" hidden="1" outlineLevel="1" x14ac:dyDescent="0.3">
      <c r="A85" s="80"/>
      <c r="B85" s="5"/>
      <c r="C85" s="72" t="s">
        <v>148</v>
      </c>
      <c r="D85" s="151"/>
      <c r="E85" s="154"/>
      <c r="F85" s="154"/>
      <c r="G85" s="154"/>
      <c r="H85" s="154"/>
      <c r="I85" s="155"/>
      <c r="J85" s="155"/>
      <c r="K85" s="155"/>
      <c r="L85" s="155"/>
      <c r="M85" s="155"/>
      <c r="N85" s="7"/>
      <c r="O85" s="147"/>
      <c r="P85" s="7"/>
      <c r="Q85" s="7"/>
      <c r="R85" s="7"/>
    </row>
    <row r="86" spans="1:19" hidden="1" outlineLevel="1" x14ac:dyDescent="0.3">
      <c r="A86" s="80"/>
      <c r="B86" s="5"/>
      <c r="D86" s="1"/>
      <c r="E86" s="1"/>
      <c r="F86" s="1"/>
      <c r="G86" s="1"/>
      <c r="H86" s="1"/>
      <c r="I86" s="1"/>
      <c r="J86" s="1"/>
      <c r="K86" s="1"/>
      <c r="L86" s="1"/>
      <c r="M86" s="1"/>
      <c r="S86" s="90"/>
    </row>
    <row r="87" spans="1:19" hidden="1" outlineLevel="1" x14ac:dyDescent="0.3">
      <c r="A87" s="80"/>
      <c r="B87" s="5"/>
      <c r="C87" s="98" t="s">
        <v>151</v>
      </c>
      <c r="D87" s="4" t="s">
        <v>87</v>
      </c>
      <c r="E87" s="131">
        <f>+E39</f>
        <v>8500</v>
      </c>
      <c r="F87" s="131">
        <f t="shared" ref="F87:R87" si="53">+F39</f>
        <v>8750</v>
      </c>
      <c r="G87" s="131">
        <f t="shared" si="53"/>
        <v>9500</v>
      </c>
      <c r="H87" s="131">
        <f t="shared" si="53"/>
        <v>10625</v>
      </c>
      <c r="I87" s="131">
        <f t="shared" si="53"/>
        <v>12560</v>
      </c>
      <c r="J87" s="131">
        <f t="shared" si="53"/>
        <v>15700</v>
      </c>
      <c r="K87" s="131">
        <f t="shared" si="53"/>
        <v>18840</v>
      </c>
      <c r="L87" s="131">
        <f t="shared" si="53"/>
        <v>21980.000000000004</v>
      </c>
      <c r="M87" s="131">
        <f t="shared" si="53"/>
        <v>25120</v>
      </c>
      <c r="N87" s="131">
        <f t="shared" si="53"/>
        <v>28260</v>
      </c>
      <c r="O87" s="131">
        <f t="shared" si="53"/>
        <v>31400</v>
      </c>
      <c r="P87" s="131">
        <f t="shared" si="53"/>
        <v>34540</v>
      </c>
      <c r="Q87" s="131">
        <f t="shared" si="53"/>
        <v>37680</v>
      </c>
      <c r="R87" s="131">
        <f t="shared" si="53"/>
        <v>37680</v>
      </c>
      <c r="S87" s="90"/>
    </row>
    <row r="88" spans="1:19" hidden="1" outlineLevel="1" x14ac:dyDescent="0.3">
      <c r="A88" s="80"/>
      <c r="B88" s="5"/>
      <c r="D88" s="1"/>
      <c r="E88" s="1"/>
      <c r="F88" s="1"/>
      <c r="G88" s="1"/>
      <c r="H88" s="1"/>
      <c r="I88" s="1"/>
      <c r="J88" s="1"/>
      <c r="K88" s="1"/>
      <c r="L88" s="1"/>
      <c r="M88" s="1"/>
      <c r="S88" s="90"/>
    </row>
    <row r="89" spans="1:19" hidden="1" outlineLevel="1" x14ac:dyDescent="0.3">
      <c r="A89" s="80"/>
      <c r="B89" s="5"/>
      <c r="C89" s="98" t="s">
        <v>152</v>
      </c>
      <c r="D89" s="4" t="s">
        <v>10</v>
      </c>
      <c r="E89" s="132"/>
      <c r="F89" s="132"/>
      <c r="G89" s="132"/>
      <c r="H89" s="132"/>
      <c r="I89" s="130">
        <v>0</v>
      </c>
      <c r="J89" s="130">
        <v>0</v>
      </c>
      <c r="K89" s="130">
        <v>0</v>
      </c>
      <c r="L89" s="130">
        <v>2.5000000000000001E-2</v>
      </c>
      <c r="M89" s="130">
        <v>0.05</v>
      </c>
      <c r="N89" s="130">
        <v>7.4999999999999997E-2</v>
      </c>
      <c r="O89" s="130">
        <v>7.4999999999999997E-2</v>
      </c>
      <c r="P89" s="130">
        <v>0.1</v>
      </c>
      <c r="Q89" s="130">
        <v>0.1</v>
      </c>
      <c r="R89" s="130">
        <v>0.125</v>
      </c>
      <c r="S89" s="90"/>
    </row>
    <row r="90" spans="1:19" hidden="1" outlineLevel="1" x14ac:dyDescent="0.3">
      <c r="A90" s="80"/>
      <c r="B90" s="5"/>
      <c r="C90" s="98" t="s">
        <v>153</v>
      </c>
      <c r="D90" s="4" t="s">
        <v>10</v>
      </c>
      <c r="E90" s="132"/>
      <c r="F90" s="132"/>
      <c r="G90" s="132"/>
      <c r="H90" s="132"/>
      <c r="I90" s="100">
        <f t="shared" ref="I90:R90" si="54">+I89*(1+JZP110_Market_Penetration_Toggle)</f>
        <v>0</v>
      </c>
      <c r="J90" s="100">
        <f t="shared" si="54"/>
        <v>0</v>
      </c>
      <c r="K90" s="100">
        <f t="shared" si="54"/>
        <v>0</v>
      </c>
      <c r="L90" s="100">
        <f t="shared" si="54"/>
        <v>2.5000000000000001E-2</v>
      </c>
      <c r="M90" s="100">
        <f t="shared" si="54"/>
        <v>0.05</v>
      </c>
      <c r="N90" s="100">
        <f t="shared" si="54"/>
        <v>7.4999999999999997E-2</v>
      </c>
      <c r="O90" s="100">
        <f t="shared" si="54"/>
        <v>7.4999999999999997E-2</v>
      </c>
      <c r="P90" s="100">
        <f t="shared" si="54"/>
        <v>0.1</v>
      </c>
      <c r="Q90" s="100">
        <f t="shared" si="54"/>
        <v>0.1</v>
      </c>
      <c r="R90" s="100">
        <f t="shared" si="54"/>
        <v>0.125</v>
      </c>
      <c r="S90" s="90"/>
    </row>
    <row r="91" spans="1:19" hidden="1" outlineLevel="1" x14ac:dyDescent="0.3">
      <c r="A91" s="80"/>
      <c r="B91" s="5"/>
      <c r="C91" s="98"/>
      <c r="D91" s="4"/>
      <c r="E91" s="132"/>
      <c r="F91" s="132"/>
      <c r="G91" s="132"/>
      <c r="H91" s="132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90"/>
    </row>
    <row r="92" spans="1:19" hidden="1" outlineLevel="1" x14ac:dyDescent="0.3">
      <c r="A92" s="80"/>
      <c r="B92" s="5"/>
      <c r="C92" s="98" t="s">
        <v>158</v>
      </c>
      <c r="D92" s="4" t="s">
        <v>87</v>
      </c>
      <c r="E92" s="132"/>
      <c r="F92" s="132"/>
      <c r="G92" s="132"/>
      <c r="H92" s="132"/>
      <c r="I92" s="131">
        <f>+I87*I90</f>
        <v>0</v>
      </c>
      <c r="J92" s="131">
        <f t="shared" ref="J92:R92" si="55">+J87*J90</f>
        <v>0</v>
      </c>
      <c r="K92" s="131">
        <f t="shared" si="55"/>
        <v>0</v>
      </c>
      <c r="L92" s="131">
        <f t="shared" si="55"/>
        <v>549.50000000000011</v>
      </c>
      <c r="M92" s="131">
        <f t="shared" si="55"/>
        <v>1256</v>
      </c>
      <c r="N92" s="131">
        <f t="shared" si="55"/>
        <v>2119.5</v>
      </c>
      <c r="O92" s="131">
        <f t="shared" si="55"/>
        <v>2355</v>
      </c>
      <c r="P92" s="131">
        <f t="shared" si="55"/>
        <v>3454</v>
      </c>
      <c r="Q92" s="131">
        <f t="shared" si="55"/>
        <v>3768</v>
      </c>
      <c r="R92" s="131">
        <f t="shared" si="55"/>
        <v>4710</v>
      </c>
      <c r="S92" s="90"/>
    </row>
    <row r="93" spans="1:19" hidden="1" outlineLevel="1" x14ac:dyDescent="0.3">
      <c r="A93" s="80"/>
      <c r="B93" s="5"/>
      <c r="C93" s="98"/>
      <c r="D93" s="4"/>
      <c r="E93" s="132"/>
      <c r="F93" s="132"/>
      <c r="G93" s="132"/>
      <c r="H93" s="132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90"/>
    </row>
    <row r="94" spans="1:19" hidden="1" outlineLevel="1" x14ac:dyDescent="0.3">
      <c r="A94" s="80"/>
      <c r="B94" s="5"/>
      <c r="C94" s="98" t="s">
        <v>154</v>
      </c>
      <c r="D94" s="4" t="s">
        <v>118</v>
      </c>
      <c r="E94" s="145"/>
      <c r="F94" s="145"/>
      <c r="G94" s="145"/>
      <c r="H94" s="145"/>
      <c r="I94" s="145">
        <f>+H45*(1+I95)</f>
        <v>61598.112941176478</v>
      </c>
      <c r="J94" s="145">
        <f>+I94*(1+J95)</f>
        <v>68989.886494117658</v>
      </c>
      <c r="K94" s="145">
        <f t="shared" ref="K94:R94" si="56">+J94*(1+K95)</f>
        <v>77268.672873411779</v>
      </c>
      <c r="L94" s="145">
        <f t="shared" si="56"/>
        <v>86540.913618221195</v>
      </c>
      <c r="M94" s="145">
        <f t="shared" si="56"/>
        <v>95195.004980043319</v>
      </c>
      <c r="N94" s="145">
        <f t="shared" si="56"/>
        <v>104714.50547804766</v>
      </c>
      <c r="O94" s="145">
        <f t="shared" si="56"/>
        <v>113091.66591629149</v>
      </c>
      <c r="P94" s="145">
        <f t="shared" si="56"/>
        <v>122138.99918959482</v>
      </c>
      <c r="Q94" s="145">
        <f t="shared" si="56"/>
        <v>129467.33914097051</v>
      </c>
      <c r="R94" s="145">
        <f t="shared" si="56"/>
        <v>137235.37948942874</v>
      </c>
      <c r="S94" s="90"/>
    </row>
    <row r="95" spans="1:19" hidden="1" outlineLevel="1" x14ac:dyDescent="0.3">
      <c r="A95" s="80"/>
      <c r="B95" s="5"/>
      <c r="C95" s="134" t="s">
        <v>127</v>
      </c>
      <c r="D95" s="4" t="s">
        <v>10</v>
      </c>
      <c r="E95" s="99"/>
      <c r="F95" s="99"/>
      <c r="G95" s="99"/>
      <c r="H95" s="99"/>
      <c r="I95" s="100">
        <f>+I47</f>
        <v>0.15</v>
      </c>
      <c r="J95" s="100">
        <f t="shared" ref="J95:R95" si="57">+J47</f>
        <v>0.12</v>
      </c>
      <c r="K95" s="100">
        <f t="shared" si="57"/>
        <v>0.12</v>
      </c>
      <c r="L95" s="100">
        <f t="shared" si="57"/>
        <v>0.12</v>
      </c>
      <c r="M95" s="100">
        <f t="shared" si="57"/>
        <v>0.1</v>
      </c>
      <c r="N95" s="100">
        <f t="shared" si="57"/>
        <v>0.1</v>
      </c>
      <c r="O95" s="100">
        <f t="shared" si="57"/>
        <v>0.08</v>
      </c>
      <c r="P95" s="100">
        <f t="shared" si="57"/>
        <v>0.08</v>
      </c>
      <c r="Q95" s="100">
        <f t="shared" si="57"/>
        <v>0.06</v>
      </c>
      <c r="R95" s="100">
        <f t="shared" si="57"/>
        <v>0.06</v>
      </c>
      <c r="S95" s="90"/>
    </row>
    <row r="96" spans="1:19" hidden="1" outlineLevel="1" x14ac:dyDescent="0.3">
      <c r="A96" s="80"/>
      <c r="B96" s="5"/>
      <c r="C96" s="98"/>
      <c r="D96" s="97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0"/>
    </row>
    <row r="97" spans="1:19" hidden="1" outlineLevel="1" x14ac:dyDescent="0.3">
      <c r="A97" s="80"/>
      <c r="B97" s="5"/>
      <c r="C97" s="98" t="s">
        <v>155</v>
      </c>
      <c r="D97" s="127" t="s">
        <v>116</v>
      </c>
      <c r="E97" s="34">
        <v>0</v>
      </c>
      <c r="F97" s="34">
        <v>0</v>
      </c>
      <c r="G97" s="34">
        <v>0</v>
      </c>
      <c r="H97" s="34">
        <v>0</v>
      </c>
      <c r="I97" s="43">
        <f t="shared" ref="I97:R97" si="58">+I94*I92/(Units*Units)</f>
        <v>0</v>
      </c>
      <c r="J97" s="43">
        <f t="shared" si="58"/>
        <v>0</v>
      </c>
      <c r="K97" s="43">
        <f t="shared" si="58"/>
        <v>0</v>
      </c>
      <c r="L97" s="43">
        <f t="shared" si="58"/>
        <v>47.554232033212557</v>
      </c>
      <c r="M97" s="43">
        <f t="shared" si="58"/>
        <v>119.56492625493442</v>
      </c>
      <c r="N97" s="43">
        <f t="shared" si="58"/>
        <v>221.94239436072203</v>
      </c>
      <c r="O97" s="43">
        <f t="shared" si="58"/>
        <v>266.33087323286645</v>
      </c>
      <c r="P97" s="43">
        <f t="shared" si="58"/>
        <v>421.8681032008605</v>
      </c>
      <c r="Q97" s="43">
        <f t="shared" si="58"/>
        <v>487.83293388317685</v>
      </c>
      <c r="R97" s="43">
        <f t="shared" si="58"/>
        <v>646.37863739520947</v>
      </c>
      <c r="S97" s="90"/>
    </row>
    <row r="98" spans="1:19" hidden="1" outlineLevel="1" x14ac:dyDescent="0.3">
      <c r="A98" s="80"/>
      <c r="B98" s="5"/>
      <c r="C98" s="98" t="s">
        <v>156</v>
      </c>
      <c r="D98" s="127" t="s">
        <v>116</v>
      </c>
      <c r="E98" s="36">
        <v>0</v>
      </c>
      <c r="F98" s="36">
        <v>0</v>
      </c>
      <c r="G98" s="36">
        <v>0</v>
      </c>
      <c r="H98" s="36">
        <v>0</v>
      </c>
      <c r="I98" s="164">
        <f t="shared" ref="I98:R98" si="59">+I97*JZP110_Risk_Adjustment_Factor</f>
        <v>0</v>
      </c>
      <c r="J98" s="164">
        <f t="shared" si="59"/>
        <v>0</v>
      </c>
      <c r="K98" s="164">
        <f t="shared" si="59"/>
        <v>0</v>
      </c>
      <c r="L98" s="164">
        <f t="shared" si="59"/>
        <v>28.532539219927532</v>
      </c>
      <c r="M98" s="164">
        <f t="shared" si="59"/>
        <v>71.738955752960649</v>
      </c>
      <c r="N98" s="164">
        <f t="shared" si="59"/>
        <v>133.16543661643323</v>
      </c>
      <c r="O98" s="164">
        <f t="shared" si="59"/>
        <v>159.79852393971987</v>
      </c>
      <c r="P98" s="164">
        <f t="shared" si="59"/>
        <v>253.12086192051629</v>
      </c>
      <c r="Q98" s="164">
        <f t="shared" si="59"/>
        <v>292.6997603299061</v>
      </c>
      <c r="R98" s="164">
        <f t="shared" si="59"/>
        <v>387.82718243712566</v>
      </c>
      <c r="S98" s="90"/>
    </row>
    <row r="99" spans="1:19" hidden="1" outlineLevel="1" x14ac:dyDescent="0.3">
      <c r="A99" s="80"/>
      <c r="B99" s="5"/>
      <c r="C99" s="134" t="s">
        <v>157</v>
      </c>
      <c r="D99" s="4" t="s">
        <v>10</v>
      </c>
      <c r="E99" s="111"/>
      <c r="F99" s="135"/>
      <c r="G99" s="135"/>
      <c r="H99" s="135"/>
      <c r="I99" s="213" t="str">
        <f>IFERROR(+I98/H98-1,"N/A")</f>
        <v>N/A</v>
      </c>
      <c r="J99" s="213" t="str">
        <f t="shared" ref="J99:R99" si="60">IFERROR(+J98/I98-1,"N/A")</f>
        <v>N/A</v>
      </c>
      <c r="K99" s="213" t="str">
        <f t="shared" si="60"/>
        <v>N/A</v>
      </c>
      <c r="L99" s="213" t="str">
        <f t="shared" si="60"/>
        <v>N/A</v>
      </c>
      <c r="M99" s="213">
        <f t="shared" si="60"/>
        <v>1.5142857142857142</v>
      </c>
      <c r="N99" s="213">
        <f t="shared" si="60"/>
        <v>0.8562500000000004</v>
      </c>
      <c r="O99" s="213">
        <f t="shared" si="60"/>
        <v>0.19999999999999996</v>
      </c>
      <c r="P99" s="213">
        <f t="shared" si="60"/>
        <v>0.58400000000000007</v>
      </c>
      <c r="Q99" s="213">
        <f t="shared" si="60"/>
        <v>0.15636363636363626</v>
      </c>
      <c r="R99" s="213">
        <f t="shared" si="60"/>
        <v>0.32500000000000018</v>
      </c>
      <c r="S99" s="90"/>
    </row>
    <row r="100" spans="1:19" hidden="1" outlineLevel="1" x14ac:dyDescent="0.3">
      <c r="A100" s="80"/>
      <c r="B100" s="5"/>
      <c r="D100" s="1"/>
      <c r="E100" s="1"/>
      <c r="F100" s="1"/>
      <c r="G100" s="1"/>
      <c r="H100" s="1"/>
      <c r="I100" s="1"/>
      <c r="J100" s="1"/>
      <c r="K100" s="1"/>
      <c r="L100" s="1"/>
      <c r="M100" s="1"/>
      <c r="S100" s="90"/>
    </row>
    <row r="101" spans="1:19" hidden="1" outlineLevel="1" x14ac:dyDescent="0.3">
      <c r="A101" s="80"/>
      <c r="B101" s="5"/>
      <c r="C101" s="165" t="s">
        <v>160</v>
      </c>
      <c r="D101" s="127" t="s">
        <v>116</v>
      </c>
      <c r="E101" s="36">
        <v>0</v>
      </c>
      <c r="F101" s="36">
        <v>0</v>
      </c>
      <c r="G101" s="36">
        <v>0</v>
      </c>
      <c r="H101" s="36">
        <v>0</v>
      </c>
      <c r="I101" s="157">
        <f>+H101</f>
        <v>0</v>
      </c>
      <c r="J101" s="157">
        <f t="shared" ref="J101:R101" si="61">+I101</f>
        <v>0</v>
      </c>
      <c r="K101" s="157">
        <f t="shared" si="61"/>
        <v>0</v>
      </c>
      <c r="L101" s="157">
        <f t="shared" si="61"/>
        <v>0</v>
      </c>
      <c r="M101" s="157">
        <f t="shared" si="61"/>
        <v>0</v>
      </c>
      <c r="N101" s="157">
        <f t="shared" si="61"/>
        <v>0</v>
      </c>
      <c r="O101" s="157">
        <f t="shared" si="61"/>
        <v>0</v>
      </c>
      <c r="P101" s="157">
        <f t="shared" si="61"/>
        <v>0</v>
      </c>
      <c r="Q101" s="157">
        <f t="shared" si="61"/>
        <v>0</v>
      </c>
      <c r="R101" s="157">
        <f t="shared" si="61"/>
        <v>0</v>
      </c>
    </row>
    <row r="102" spans="1:19" hidden="1" outlineLevel="1" x14ac:dyDescent="0.3">
      <c r="A102" s="80"/>
      <c r="B102" s="5"/>
      <c r="C102" s="5"/>
      <c r="D102" s="4"/>
      <c r="E102" s="4"/>
      <c r="F102" s="4"/>
      <c r="G102" s="17"/>
      <c r="H102" s="17"/>
      <c r="I102" s="22"/>
      <c r="J102" s="22"/>
      <c r="K102" s="22"/>
      <c r="L102" s="22"/>
      <c r="M102" s="22"/>
      <c r="N102" s="5"/>
      <c r="O102" s="82"/>
    </row>
    <row r="103" spans="1:19" hidden="1" outlineLevel="1" x14ac:dyDescent="0.3">
      <c r="A103" s="80"/>
      <c r="B103" s="5"/>
      <c r="C103" s="144" t="s">
        <v>149</v>
      </c>
      <c r="D103" s="127" t="s">
        <v>116</v>
      </c>
      <c r="E103" s="17">
        <v>31.151</v>
      </c>
      <c r="F103" s="17">
        <v>38.929000000000002</v>
      </c>
      <c r="G103" s="17">
        <v>135.233</v>
      </c>
      <c r="H103" s="17">
        <v>129.059</v>
      </c>
      <c r="I103" s="22">
        <f>+H103*(1+I104)</f>
        <v>141.9649</v>
      </c>
      <c r="J103" s="22">
        <f t="shared" ref="J103:R103" si="62">+I103*(1+J104)</f>
        <v>156.16139000000001</v>
      </c>
      <c r="K103" s="22">
        <f t="shared" si="62"/>
        <v>168.65430120000002</v>
      </c>
      <c r="L103" s="22">
        <f t="shared" si="62"/>
        <v>182.14664529600003</v>
      </c>
      <c r="M103" s="22">
        <f t="shared" si="62"/>
        <v>193.07544401376003</v>
      </c>
      <c r="N103" s="22">
        <f t="shared" si="62"/>
        <v>204.65997065458563</v>
      </c>
      <c r="O103" s="22">
        <f t="shared" si="62"/>
        <v>214.89296918731492</v>
      </c>
      <c r="P103" s="22">
        <f t="shared" si="62"/>
        <v>225.63761764668067</v>
      </c>
      <c r="Q103" s="22">
        <f t="shared" si="62"/>
        <v>234.6631223525479</v>
      </c>
      <c r="R103" s="22">
        <f t="shared" si="62"/>
        <v>244.04964724664981</v>
      </c>
    </row>
    <row r="104" spans="1:19" hidden="1" outlineLevel="1" x14ac:dyDescent="0.3">
      <c r="A104" s="80"/>
      <c r="B104" s="5"/>
      <c r="C104" s="20" t="s">
        <v>121</v>
      </c>
      <c r="D104" s="21" t="s">
        <v>10</v>
      </c>
      <c r="E104" s="141" t="s">
        <v>97</v>
      </c>
      <c r="F104" s="24">
        <f>+F103/E103-1</f>
        <v>0.24968700844274672</v>
      </c>
      <c r="G104" s="24">
        <f t="shared" ref="G104:H104" si="63">+G103/F103-1</f>
        <v>2.4738369852808959</v>
      </c>
      <c r="H104" s="24">
        <f t="shared" si="63"/>
        <v>-4.5654536984315985E-2</v>
      </c>
      <c r="I104" s="29">
        <v>0.1</v>
      </c>
      <c r="J104" s="29">
        <v>0.1</v>
      </c>
      <c r="K104" s="29">
        <v>0.08</v>
      </c>
      <c r="L104" s="29">
        <v>0.08</v>
      </c>
      <c r="M104" s="29">
        <v>0.06</v>
      </c>
      <c r="N104" s="29">
        <v>0.06</v>
      </c>
      <c r="O104" s="29">
        <v>0.05</v>
      </c>
      <c r="P104" s="29">
        <v>0.05</v>
      </c>
      <c r="Q104" s="29">
        <v>0.04</v>
      </c>
      <c r="R104" s="29">
        <v>0.04</v>
      </c>
    </row>
    <row r="105" spans="1:19" collapsed="1" x14ac:dyDescent="0.3">
      <c r="A105" s="80"/>
      <c r="B105" s="5"/>
      <c r="C105" s="20"/>
      <c r="D105" s="4"/>
      <c r="E105" s="4"/>
      <c r="F105" s="24"/>
      <c r="G105" s="24"/>
      <c r="H105" s="24"/>
      <c r="I105" s="31"/>
      <c r="J105" s="31"/>
      <c r="K105" s="31"/>
      <c r="L105" s="31"/>
      <c r="M105" s="31"/>
      <c r="N105" s="5"/>
      <c r="O105" s="82"/>
    </row>
    <row r="106" spans="1:19" x14ac:dyDescent="0.3">
      <c r="A106" s="80"/>
      <c r="B106" s="261"/>
      <c r="C106" s="275"/>
      <c r="D106" s="262"/>
      <c r="E106" s="263" t="str">
        <f>$E$32</f>
        <v>Historical</v>
      </c>
      <c r="F106" s="264"/>
      <c r="G106" s="263"/>
      <c r="H106" s="263"/>
      <c r="I106" s="265" t="str">
        <f>$I$32</f>
        <v>Projected</v>
      </c>
      <c r="J106" s="263"/>
      <c r="K106" s="263"/>
      <c r="L106" s="263"/>
      <c r="M106" s="263"/>
      <c r="N106" s="266"/>
      <c r="O106" s="266"/>
      <c r="P106" s="266"/>
      <c r="Q106" s="266"/>
      <c r="R106" s="266"/>
    </row>
    <row r="107" spans="1:19" x14ac:dyDescent="0.3">
      <c r="A107" s="80"/>
      <c r="B107" s="267" t="s">
        <v>16</v>
      </c>
      <c r="C107" s="267"/>
      <c r="D107" s="268" t="str">
        <f>$D$33</f>
        <v>Units</v>
      </c>
      <c r="E107" s="269">
        <f>$E$33</f>
        <v>40543</v>
      </c>
      <c r="F107" s="269">
        <f>$F$33</f>
        <v>40908</v>
      </c>
      <c r="G107" s="269">
        <f>$G$33</f>
        <v>41274</v>
      </c>
      <c r="H107" s="269">
        <f>$H$33</f>
        <v>41639</v>
      </c>
      <c r="I107" s="270">
        <f>$I$33</f>
        <v>42004</v>
      </c>
      <c r="J107" s="269">
        <f>$J$33</f>
        <v>42369</v>
      </c>
      <c r="K107" s="269">
        <f>$K$33</f>
        <v>42735</v>
      </c>
      <c r="L107" s="269">
        <f>$L$33</f>
        <v>43100</v>
      </c>
      <c r="M107" s="269">
        <f>$M$33</f>
        <v>43465</v>
      </c>
      <c r="N107" s="269">
        <f>$N$33</f>
        <v>43830</v>
      </c>
      <c r="O107" s="269">
        <f>$O$33</f>
        <v>44196</v>
      </c>
      <c r="P107" s="269">
        <f>$P$33</f>
        <v>44561</v>
      </c>
      <c r="Q107" s="269">
        <f>$Q$33</f>
        <v>44926</v>
      </c>
      <c r="R107" s="269">
        <f>$R$33</f>
        <v>45291</v>
      </c>
    </row>
    <row r="108" spans="1:19" hidden="1" outlineLevel="1" x14ac:dyDescent="0.3">
      <c r="A108" s="80"/>
      <c r="B108" s="11"/>
      <c r="C108" s="11"/>
      <c r="D108" s="25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</row>
    <row r="109" spans="1:19" hidden="1" outlineLevel="1" x14ac:dyDescent="0.3">
      <c r="A109" s="80"/>
      <c r="B109" s="5"/>
      <c r="C109" s="83" t="s">
        <v>84</v>
      </c>
      <c r="D109" s="4" t="s">
        <v>10</v>
      </c>
      <c r="E109" s="32">
        <f>+E182/E179</f>
        <v>7.8023489334277038E-2</v>
      </c>
      <c r="F109" s="32">
        <f t="shared" ref="F109:H109" si="64">+F182/F179</f>
        <v>5.1205206462536304E-2</v>
      </c>
      <c r="G109" s="32">
        <f t="shared" si="64"/>
        <v>0.13383585418590085</v>
      </c>
      <c r="H109" s="32">
        <f t="shared" si="64"/>
        <v>0.11708311220589095</v>
      </c>
      <c r="I109" s="161">
        <f>AVERAGE(E109:H109)</f>
        <v>9.5036915547151296E-2</v>
      </c>
      <c r="J109" s="161">
        <f>+I109</f>
        <v>9.5036915547151296E-2</v>
      </c>
      <c r="K109" s="161">
        <f t="shared" ref="K109:R109" si="65">+J109</f>
        <v>9.5036915547151296E-2</v>
      </c>
      <c r="L109" s="161">
        <f t="shared" si="65"/>
        <v>9.5036915547151296E-2</v>
      </c>
      <c r="M109" s="161">
        <f t="shared" si="65"/>
        <v>9.5036915547151296E-2</v>
      </c>
      <c r="N109" s="161">
        <f t="shared" si="65"/>
        <v>9.5036915547151296E-2</v>
      </c>
      <c r="O109" s="161">
        <f t="shared" si="65"/>
        <v>9.5036915547151296E-2</v>
      </c>
      <c r="P109" s="161">
        <f t="shared" si="65"/>
        <v>9.5036915547151296E-2</v>
      </c>
      <c r="Q109" s="161">
        <f t="shared" si="65"/>
        <v>9.5036915547151296E-2</v>
      </c>
      <c r="R109" s="161">
        <f t="shared" si="65"/>
        <v>9.5036915547151296E-2</v>
      </c>
    </row>
    <row r="110" spans="1:19" hidden="1" outlineLevel="1" x14ac:dyDescent="0.3">
      <c r="A110" s="80"/>
      <c r="B110" s="5"/>
      <c r="C110" s="23"/>
      <c r="D110" s="4"/>
      <c r="E110" s="4"/>
      <c r="F110" s="4"/>
      <c r="G110" s="15"/>
      <c r="H110" s="15"/>
      <c r="I110" s="15"/>
      <c r="J110" s="15"/>
      <c r="K110" s="15"/>
      <c r="L110" s="15"/>
      <c r="M110" s="15"/>
      <c r="N110" s="5"/>
      <c r="O110" s="82"/>
    </row>
    <row r="111" spans="1:19" hidden="1" outlineLevel="1" x14ac:dyDescent="0.3">
      <c r="A111" s="80"/>
      <c r="B111" s="5"/>
      <c r="C111" s="104" t="s">
        <v>89</v>
      </c>
      <c r="D111" s="4" t="s">
        <v>88</v>
      </c>
      <c r="E111" s="106">
        <v>120</v>
      </c>
      <c r="F111" s="106">
        <v>195</v>
      </c>
      <c r="G111" s="105">
        <v>200</v>
      </c>
      <c r="H111" s="105">
        <v>215</v>
      </c>
      <c r="I111" s="133">
        <f t="shared" ref="I111:R111" si="66">+I179/I112</f>
        <v>235.37395447294361</v>
      </c>
      <c r="J111" s="133">
        <f t="shared" si="66"/>
        <v>258.87646573124465</v>
      </c>
      <c r="K111" s="133">
        <f t="shared" si="66"/>
        <v>307.38903466197411</v>
      </c>
      <c r="L111" s="133">
        <f t="shared" si="66"/>
        <v>364.89646715662542</v>
      </c>
      <c r="M111" s="133">
        <f t="shared" si="66"/>
        <v>423.31042572371058</v>
      </c>
      <c r="N111" s="133">
        <f t="shared" si="66"/>
        <v>481.64736962603251</v>
      </c>
      <c r="O111" s="133">
        <f t="shared" si="66"/>
        <v>535.56128749145887</v>
      </c>
      <c r="P111" s="133">
        <f t="shared" si="66"/>
        <v>596.84728503020256</v>
      </c>
      <c r="Q111" s="133">
        <f t="shared" si="66"/>
        <v>174.95918765908735</v>
      </c>
      <c r="R111" s="133">
        <f t="shared" si="66"/>
        <v>182.75715763376229</v>
      </c>
      <c r="S111" s="90"/>
    </row>
    <row r="112" spans="1:19" hidden="1" outlineLevel="1" x14ac:dyDescent="0.3">
      <c r="A112" s="80"/>
      <c r="B112" s="5"/>
      <c r="C112" s="158" t="s">
        <v>150</v>
      </c>
      <c r="D112" s="4" t="s">
        <v>116</v>
      </c>
      <c r="E112" s="160">
        <f>+E179/E111</f>
        <v>1.448175</v>
      </c>
      <c r="F112" s="160">
        <f>+F179/F111</f>
        <v>1.3962923076923079</v>
      </c>
      <c r="G112" s="160">
        <f>+G179/G111</f>
        <v>2.9298950000000001</v>
      </c>
      <c r="H112" s="160">
        <f>+H179/H111</f>
        <v>4.0577813953488375</v>
      </c>
      <c r="I112" s="156">
        <v>5</v>
      </c>
      <c r="J112" s="156">
        <v>6</v>
      </c>
      <c r="K112" s="156">
        <v>6.5</v>
      </c>
      <c r="L112" s="156">
        <v>7</v>
      </c>
      <c r="M112" s="156">
        <v>7.5</v>
      </c>
      <c r="N112" s="156">
        <v>8</v>
      </c>
      <c r="O112" s="156">
        <v>8.5</v>
      </c>
      <c r="P112" s="156">
        <v>9</v>
      </c>
      <c r="Q112" s="156">
        <v>9.5</v>
      </c>
      <c r="R112" s="156">
        <v>10</v>
      </c>
      <c r="S112" s="90"/>
    </row>
    <row r="113" spans="1:19" hidden="1" outlineLevel="1" x14ac:dyDescent="0.3">
      <c r="A113" s="80"/>
      <c r="B113" s="5"/>
      <c r="C113" s="104"/>
      <c r="D113" s="101"/>
      <c r="E113" s="106"/>
      <c r="F113" s="107"/>
      <c r="G113" s="108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90"/>
    </row>
    <row r="114" spans="1:19" hidden="1" outlineLevel="1" x14ac:dyDescent="0.3">
      <c r="A114" s="80"/>
      <c r="B114" s="5"/>
      <c r="C114" s="168" t="s">
        <v>165</v>
      </c>
      <c r="D114" s="127" t="s">
        <v>93</v>
      </c>
      <c r="E114" s="160">
        <f>+E187/E111*Units</f>
        <v>574.96666666666658</v>
      </c>
      <c r="F114" s="160">
        <f>+F187/F111*Units</f>
        <v>558.64615384615388</v>
      </c>
      <c r="G114" s="160">
        <f>+G187/G111*Units</f>
        <v>1119.4100000000001</v>
      </c>
      <c r="H114" s="160">
        <f>+H187/H111*Units</f>
        <v>1415.3627906976744</v>
      </c>
      <c r="I114" s="156">
        <v>1600</v>
      </c>
      <c r="J114" s="156">
        <v>1800</v>
      </c>
      <c r="K114" s="156">
        <v>2000</v>
      </c>
      <c r="L114" s="156">
        <v>2200</v>
      </c>
      <c r="M114" s="156">
        <v>2400</v>
      </c>
      <c r="N114" s="156">
        <v>2600</v>
      </c>
      <c r="O114" s="156">
        <v>2800</v>
      </c>
      <c r="P114" s="156">
        <v>3000</v>
      </c>
      <c r="Q114" s="156">
        <v>3200</v>
      </c>
      <c r="R114" s="156">
        <v>3400</v>
      </c>
      <c r="S114" s="90"/>
    </row>
    <row r="115" spans="1:19" hidden="1" outlineLevel="1" x14ac:dyDescent="0.3">
      <c r="A115" s="80"/>
      <c r="B115" s="5"/>
      <c r="C115" s="104"/>
      <c r="D115" s="101"/>
      <c r="E115" s="106"/>
      <c r="F115" s="107"/>
      <c r="G115" s="108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90"/>
    </row>
    <row r="116" spans="1:19" hidden="1" outlineLevel="1" x14ac:dyDescent="0.3">
      <c r="A116" s="80"/>
      <c r="B116" s="5"/>
      <c r="C116" s="170" t="s">
        <v>166</v>
      </c>
      <c r="D116" s="33" t="s">
        <v>10</v>
      </c>
      <c r="E116" s="32">
        <f>+E188/E179</f>
        <v>0.1473808989475259</v>
      </c>
      <c r="F116" s="32">
        <f t="shared" ref="F116:H116" si="67">+F188/F179</f>
        <v>5.1858952463851138E-2</v>
      </c>
      <c r="G116" s="32">
        <f t="shared" si="67"/>
        <v>3.4944938299836685E-2</v>
      </c>
      <c r="H116" s="32">
        <f t="shared" si="67"/>
        <v>4.8852448869413118E-2</v>
      </c>
      <c r="I116" s="161">
        <f>AVERAGE(E116:H116)</f>
        <v>7.0759309645156712E-2</v>
      </c>
      <c r="J116" s="29">
        <v>7.4999999999999997E-2</v>
      </c>
      <c r="K116" s="29">
        <v>0.08</v>
      </c>
      <c r="L116" s="29">
        <v>8.5000000000000006E-2</v>
      </c>
      <c r="M116" s="29">
        <v>0.09</v>
      </c>
      <c r="N116" s="29">
        <v>9.5000000000000001E-2</v>
      </c>
      <c r="O116" s="29">
        <v>0.1</v>
      </c>
      <c r="P116" s="29">
        <v>0.1</v>
      </c>
      <c r="Q116" s="29">
        <v>0.1</v>
      </c>
      <c r="R116" s="29">
        <v>0.1</v>
      </c>
    </row>
    <row r="117" spans="1:19" hidden="1" outlineLevel="1" x14ac:dyDescent="0.3">
      <c r="A117" s="80"/>
      <c r="B117" s="5"/>
      <c r="C117" s="23"/>
      <c r="D117" s="4"/>
      <c r="E117" s="4"/>
      <c r="F117" s="4"/>
      <c r="G117" s="15"/>
      <c r="H117" s="15"/>
      <c r="I117" s="15"/>
      <c r="J117" s="15"/>
      <c r="K117" s="15"/>
      <c r="L117" s="15"/>
      <c r="M117" s="15"/>
      <c r="N117" s="5"/>
      <c r="O117" s="82"/>
    </row>
    <row r="118" spans="1:19" hidden="1" outlineLevel="1" x14ac:dyDescent="0.3">
      <c r="A118" s="80"/>
      <c r="B118" s="5"/>
      <c r="C118" s="194" t="s">
        <v>191</v>
      </c>
      <c r="D118" s="4" t="s">
        <v>116</v>
      </c>
      <c r="E118" s="164">
        <f>+E189</f>
        <v>0</v>
      </c>
      <c r="F118" s="164">
        <f t="shared" ref="F118:H118" si="68">+F189</f>
        <v>0</v>
      </c>
      <c r="G118" s="164">
        <f t="shared" si="68"/>
        <v>0</v>
      </c>
      <c r="H118" s="164">
        <f t="shared" si="68"/>
        <v>4</v>
      </c>
      <c r="I118" s="195">
        <v>127</v>
      </c>
      <c r="J118" s="195">
        <v>0</v>
      </c>
      <c r="K118" s="196">
        <f>+J118</f>
        <v>0</v>
      </c>
      <c r="L118" s="196">
        <f t="shared" ref="L118:R118" si="69">+K118</f>
        <v>0</v>
      </c>
      <c r="M118" s="196">
        <f t="shared" si="69"/>
        <v>0</v>
      </c>
      <c r="N118" s="196">
        <f t="shared" si="69"/>
        <v>0</v>
      </c>
      <c r="O118" s="196">
        <f t="shared" si="69"/>
        <v>0</v>
      </c>
      <c r="P118" s="196">
        <f t="shared" si="69"/>
        <v>0</v>
      </c>
      <c r="Q118" s="196">
        <f t="shared" si="69"/>
        <v>0</v>
      </c>
      <c r="R118" s="196">
        <f t="shared" si="69"/>
        <v>0</v>
      </c>
    </row>
    <row r="119" spans="1:19" hidden="1" outlineLevel="1" x14ac:dyDescent="0.3">
      <c r="A119" s="80"/>
      <c r="B119" s="5"/>
      <c r="C119" s="23"/>
      <c r="D119" s="4"/>
      <c r="E119" s="4"/>
      <c r="F119" s="4"/>
      <c r="G119" s="15"/>
      <c r="H119" s="15"/>
      <c r="I119" s="15"/>
      <c r="J119" s="15"/>
      <c r="K119" s="15"/>
      <c r="L119" s="15"/>
      <c r="M119" s="15"/>
      <c r="N119" s="5"/>
      <c r="O119" s="82"/>
    </row>
    <row r="120" spans="1:19" hidden="1" outlineLevel="1" x14ac:dyDescent="0.3">
      <c r="A120" s="80"/>
      <c r="B120" s="5"/>
      <c r="C120" s="172" t="s">
        <v>70</v>
      </c>
      <c r="D120" s="4" t="s">
        <v>116</v>
      </c>
      <c r="E120" s="164">
        <f>+E190</f>
        <v>7.8250000000000002</v>
      </c>
      <c r="F120" s="164">
        <f t="shared" ref="F120:H120" si="70">+F190</f>
        <v>7.4480000000000004</v>
      </c>
      <c r="G120" s="164">
        <f t="shared" si="70"/>
        <v>65.350999999999999</v>
      </c>
      <c r="H120" s="164">
        <f t="shared" si="70"/>
        <v>79.042000000000002</v>
      </c>
      <c r="I120" s="184">
        <f>31.182+98.288</f>
        <v>129.47</v>
      </c>
      <c r="J120" s="183">
        <v>126.17</v>
      </c>
      <c r="K120" s="183">
        <v>121.82</v>
      </c>
      <c r="L120" s="183">
        <v>121.72799999999999</v>
      </c>
      <c r="M120" s="183">
        <v>118.196</v>
      </c>
      <c r="N120" s="184">
        <f>905.933/9</f>
        <v>100.65922222222223</v>
      </c>
      <c r="O120" s="184">
        <f t="shared" ref="O120:R120" si="71">905.933/9</f>
        <v>100.65922222222223</v>
      </c>
      <c r="P120" s="184">
        <f t="shared" si="71"/>
        <v>100.65922222222223</v>
      </c>
      <c r="Q120" s="184">
        <f t="shared" si="71"/>
        <v>100.65922222222223</v>
      </c>
      <c r="R120" s="184">
        <f t="shared" si="71"/>
        <v>100.65922222222223</v>
      </c>
    </row>
    <row r="121" spans="1:19" hidden="1" outlineLevel="1" x14ac:dyDescent="0.3">
      <c r="A121" s="80"/>
      <c r="B121" s="5"/>
      <c r="C121" s="23"/>
      <c r="D121" s="4"/>
      <c r="E121" s="4"/>
      <c r="F121" s="4"/>
      <c r="G121" s="15"/>
      <c r="H121" s="15"/>
      <c r="I121" s="37"/>
      <c r="J121" s="15"/>
      <c r="K121" s="15"/>
      <c r="L121" s="15"/>
      <c r="M121" s="15"/>
      <c r="N121" s="5"/>
      <c r="O121" s="82"/>
    </row>
    <row r="122" spans="1:19" hidden="1" outlineLevel="1" x14ac:dyDescent="0.3">
      <c r="A122" s="80"/>
      <c r="B122" s="5"/>
      <c r="C122" s="172" t="s">
        <v>71</v>
      </c>
      <c r="D122" s="4" t="s">
        <v>116</v>
      </c>
      <c r="E122" s="164">
        <f>+E197</f>
        <v>-12.724</v>
      </c>
      <c r="F122" s="164">
        <f t="shared" ref="F122:H122" si="72">+F197</f>
        <v>-1.6</v>
      </c>
      <c r="G122" s="164">
        <f t="shared" si="72"/>
        <v>-16.869</v>
      </c>
      <c r="H122" s="164">
        <f t="shared" si="72"/>
        <v>-26.916</v>
      </c>
      <c r="I122" s="129">
        <f>-10.076-29.726-8.196-0.634</f>
        <v>-48.631999999999998</v>
      </c>
      <c r="J122" s="129">
        <f>(-58.527-16.414-1.269)/2</f>
        <v>-38.105000000000004</v>
      </c>
      <c r="K122" s="129">
        <f>(-58.527-16.414-1.269)/2</f>
        <v>-38.105000000000004</v>
      </c>
      <c r="L122" s="129">
        <f>(-34.488-1.639-0.127)/2</f>
        <v>-18.127000000000002</v>
      </c>
      <c r="M122" s="129">
        <f>(-34.488-1.639-0.127)/2</f>
        <v>-18.127000000000002</v>
      </c>
      <c r="N122" s="128">
        <v>-0.2</v>
      </c>
      <c r="O122" s="128">
        <v>0</v>
      </c>
      <c r="P122" s="128">
        <v>0</v>
      </c>
      <c r="Q122" s="128">
        <v>0</v>
      </c>
      <c r="R122" s="128">
        <v>0</v>
      </c>
    </row>
    <row r="123" spans="1:19" hidden="1" outlineLevel="1" x14ac:dyDescent="0.3">
      <c r="A123" s="80"/>
      <c r="B123" s="5"/>
      <c r="C123" s="210" t="s">
        <v>171</v>
      </c>
      <c r="D123" s="4" t="s">
        <v>116</v>
      </c>
      <c r="E123" s="164">
        <f t="shared" ref="E123:H123" si="73">+E198</f>
        <v>-12.287000000000001</v>
      </c>
      <c r="F123" s="164">
        <f t="shared" si="73"/>
        <v>-1.2470000000000001</v>
      </c>
      <c r="G123" s="164">
        <f t="shared" si="73"/>
        <v>-3.62</v>
      </c>
      <c r="H123" s="164">
        <f t="shared" si="73"/>
        <v>-5.4459999999999997</v>
      </c>
      <c r="I123" s="128">
        <v>0</v>
      </c>
      <c r="J123" s="129">
        <f t="shared" ref="J123:R123" si="74">+I123</f>
        <v>0</v>
      </c>
      <c r="K123" s="129">
        <f t="shared" si="74"/>
        <v>0</v>
      </c>
      <c r="L123" s="129">
        <f t="shared" si="74"/>
        <v>0</v>
      </c>
      <c r="M123" s="129">
        <f t="shared" si="74"/>
        <v>0</v>
      </c>
      <c r="N123" s="129">
        <f t="shared" si="74"/>
        <v>0</v>
      </c>
      <c r="O123" s="129">
        <f t="shared" si="74"/>
        <v>0</v>
      </c>
      <c r="P123" s="129">
        <f t="shared" si="74"/>
        <v>0</v>
      </c>
      <c r="Q123" s="129">
        <f t="shared" si="74"/>
        <v>0</v>
      </c>
      <c r="R123" s="129">
        <f t="shared" si="74"/>
        <v>0</v>
      </c>
    </row>
    <row r="124" spans="1:19" hidden="1" outlineLevel="1" x14ac:dyDescent="0.3">
      <c r="A124" s="5"/>
      <c r="B124" s="5"/>
      <c r="C124" s="174" t="s">
        <v>85</v>
      </c>
      <c r="D124" s="4" t="s">
        <v>116</v>
      </c>
      <c r="E124" s="186">
        <f t="shared" ref="E124:H124" si="75">+E199</f>
        <v>0</v>
      </c>
      <c r="F124" s="186">
        <f t="shared" si="75"/>
        <v>0</v>
      </c>
      <c r="G124" s="186">
        <f t="shared" si="75"/>
        <v>0</v>
      </c>
      <c r="H124" s="186">
        <f t="shared" si="75"/>
        <v>0</v>
      </c>
      <c r="I124" s="128">
        <v>0</v>
      </c>
      <c r="J124" s="129">
        <f t="shared" ref="J124:R124" si="76">+I124</f>
        <v>0</v>
      </c>
      <c r="K124" s="129">
        <f t="shared" si="76"/>
        <v>0</v>
      </c>
      <c r="L124" s="129">
        <f t="shared" si="76"/>
        <v>0</v>
      </c>
      <c r="M124" s="129">
        <f t="shared" si="76"/>
        <v>0</v>
      </c>
      <c r="N124" s="129">
        <f t="shared" si="76"/>
        <v>0</v>
      </c>
      <c r="O124" s="129">
        <f t="shared" si="76"/>
        <v>0</v>
      </c>
      <c r="P124" s="129">
        <f t="shared" si="76"/>
        <v>0</v>
      </c>
      <c r="Q124" s="129">
        <f t="shared" si="76"/>
        <v>0</v>
      </c>
      <c r="R124" s="129">
        <f t="shared" si="76"/>
        <v>0</v>
      </c>
    </row>
    <row r="125" spans="1:19" hidden="1" outlineLevel="1" x14ac:dyDescent="0.3">
      <c r="A125" s="5"/>
      <c r="B125" s="5"/>
      <c r="C125" s="174"/>
      <c r="D125" s="4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</row>
    <row r="126" spans="1:19" hidden="1" outlineLevel="1" x14ac:dyDescent="0.3">
      <c r="A126" s="80"/>
      <c r="B126" s="5"/>
      <c r="C126" s="163" t="s">
        <v>169</v>
      </c>
      <c r="D126" s="4" t="s">
        <v>116</v>
      </c>
      <c r="E126" s="164">
        <f>+E206</f>
        <v>0</v>
      </c>
      <c r="F126" s="164">
        <f t="shared" ref="F126:H126" si="77">+F206</f>
        <v>0</v>
      </c>
      <c r="G126" s="164">
        <f t="shared" si="77"/>
        <v>27.437000000000001</v>
      </c>
      <c r="H126" s="164">
        <f t="shared" si="77"/>
        <v>0</v>
      </c>
      <c r="I126" s="128">
        <v>0</v>
      </c>
      <c r="J126" s="129">
        <f>+I126</f>
        <v>0</v>
      </c>
      <c r="K126" s="129">
        <f t="shared" ref="K126:R126" si="78">+J126</f>
        <v>0</v>
      </c>
      <c r="L126" s="129">
        <f t="shared" si="78"/>
        <v>0</v>
      </c>
      <c r="M126" s="129">
        <f t="shared" si="78"/>
        <v>0</v>
      </c>
      <c r="N126" s="129">
        <f t="shared" si="78"/>
        <v>0</v>
      </c>
      <c r="O126" s="129">
        <f t="shared" si="78"/>
        <v>0</v>
      </c>
      <c r="P126" s="129">
        <f t="shared" si="78"/>
        <v>0</v>
      </c>
      <c r="Q126" s="129">
        <f t="shared" si="78"/>
        <v>0</v>
      </c>
      <c r="R126" s="129">
        <f t="shared" si="78"/>
        <v>0</v>
      </c>
    </row>
    <row r="127" spans="1:19" collapsed="1" x14ac:dyDescent="0.3">
      <c r="A127" s="80"/>
      <c r="B127" s="5"/>
      <c r="C127" s="23"/>
      <c r="D127" s="4"/>
      <c r="E127" s="4"/>
      <c r="F127" s="4"/>
      <c r="G127" s="15"/>
      <c r="H127" s="15"/>
      <c r="I127" s="15"/>
      <c r="J127" s="15"/>
      <c r="K127" s="15"/>
      <c r="L127" s="15"/>
      <c r="M127" s="15"/>
      <c r="N127" s="5"/>
      <c r="O127" s="82"/>
    </row>
    <row r="128" spans="1:19" x14ac:dyDescent="0.3">
      <c r="A128" s="80"/>
      <c r="B128" s="261"/>
      <c r="C128" s="261"/>
      <c r="D128" s="262"/>
      <c r="E128" s="263" t="str">
        <f>$E$32</f>
        <v>Historical</v>
      </c>
      <c r="F128" s="264"/>
      <c r="G128" s="263"/>
      <c r="H128" s="263"/>
      <c r="I128" s="265" t="str">
        <f>$I$32</f>
        <v>Projected</v>
      </c>
      <c r="J128" s="263"/>
      <c r="K128" s="263"/>
      <c r="L128" s="263"/>
      <c r="M128" s="263"/>
      <c r="N128" s="266"/>
      <c r="O128" s="266"/>
      <c r="P128" s="266"/>
      <c r="Q128" s="266"/>
      <c r="R128" s="266"/>
    </row>
    <row r="129" spans="1:19" x14ac:dyDescent="0.3">
      <c r="A129" s="80"/>
      <c r="B129" s="267" t="s">
        <v>42</v>
      </c>
      <c r="C129" s="267"/>
      <c r="D129" s="268" t="str">
        <f>$D$33</f>
        <v>Units</v>
      </c>
      <c r="E129" s="269">
        <f>$E$33</f>
        <v>40543</v>
      </c>
      <c r="F129" s="269">
        <f>$F$33</f>
        <v>40908</v>
      </c>
      <c r="G129" s="269">
        <f>$G$33</f>
        <v>41274</v>
      </c>
      <c r="H129" s="269">
        <f>$H$33</f>
        <v>41639</v>
      </c>
      <c r="I129" s="270">
        <f>$I$33</f>
        <v>42004</v>
      </c>
      <c r="J129" s="269">
        <f>$J$33</f>
        <v>42369</v>
      </c>
      <c r="K129" s="269">
        <f>$K$33</f>
        <v>42735</v>
      </c>
      <c r="L129" s="269">
        <f>$L$33</f>
        <v>43100</v>
      </c>
      <c r="M129" s="269">
        <f>$M$33</f>
        <v>43465</v>
      </c>
      <c r="N129" s="269">
        <f>$N$33</f>
        <v>43830</v>
      </c>
      <c r="O129" s="269">
        <f>$O$33</f>
        <v>44196</v>
      </c>
      <c r="P129" s="269">
        <f>$P$33</f>
        <v>44561</v>
      </c>
      <c r="Q129" s="269">
        <f>$Q$33</f>
        <v>44926</v>
      </c>
      <c r="R129" s="269">
        <f>$R$33</f>
        <v>45291</v>
      </c>
    </row>
    <row r="130" spans="1:19" hidden="1" outlineLevel="1" x14ac:dyDescent="0.3">
      <c r="A130" s="80"/>
      <c r="B130" s="122"/>
      <c r="C130" s="11"/>
      <c r="D130" s="25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</row>
    <row r="131" spans="1:19" hidden="1" outlineLevel="1" x14ac:dyDescent="0.3">
      <c r="A131" s="80"/>
      <c r="B131" s="5"/>
      <c r="C131" s="41" t="s">
        <v>41</v>
      </c>
      <c r="D131" s="4" t="s">
        <v>10</v>
      </c>
      <c r="E131" s="47">
        <f>+E222/E179</f>
        <v>0.12706222199204745</v>
      </c>
      <c r="F131" s="47">
        <f>+F222/F179</f>
        <v>0.12624643286065293</v>
      </c>
      <c r="G131" s="47">
        <f>+G222/G179</f>
        <v>0.12881007681162635</v>
      </c>
      <c r="H131" s="47">
        <f>+H222/H179</f>
        <v>0.14305560490725255</v>
      </c>
      <c r="I131" s="29">
        <v>0.14299999999999999</v>
      </c>
      <c r="J131" s="29">
        <v>0.14399999999999999</v>
      </c>
      <c r="K131" s="29">
        <v>0.14499999999999999</v>
      </c>
      <c r="L131" s="29">
        <v>0.14599999999999999</v>
      </c>
      <c r="M131" s="29">
        <v>0.14699999999999999</v>
      </c>
      <c r="N131" s="29">
        <v>0.14799999999999999</v>
      </c>
      <c r="O131" s="29">
        <v>0.14899999999999999</v>
      </c>
      <c r="P131" s="29">
        <v>0.15</v>
      </c>
      <c r="Q131" s="29">
        <v>0.151</v>
      </c>
      <c r="R131" s="29">
        <v>0.152</v>
      </c>
    </row>
    <row r="132" spans="1:19" hidden="1" outlineLevel="1" x14ac:dyDescent="0.3">
      <c r="A132" s="80"/>
      <c r="B132" s="5"/>
      <c r="C132" s="190" t="s">
        <v>181</v>
      </c>
      <c r="D132" s="4" t="s">
        <v>10</v>
      </c>
      <c r="E132" s="47">
        <f>+E223/E182</f>
        <v>0.37215133859429167</v>
      </c>
      <c r="F132" s="47">
        <f>+F223/F182</f>
        <v>0.28037584277721989</v>
      </c>
      <c r="G132" s="47">
        <f>+G223/G182</f>
        <v>0.3382212304749761</v>
      </c>
      <c r="H132" s="47">
        <f>+H223/H182</f>
        <v>0.28066688857126076</v>
      </c>
      <c r="I132" s="161">
        <f>AVERAGE(E132:H132)</f>
        <v>0.3178538251044371</v>
      </c>
      <c r="J132" s="161">
        <f>+I132</f>
        <v>0.3178538251044371</v>
      </c>
      <c r="K132" s="161">
        <f t="shared" ref="K132:R132" si="79">+J132</f>
        <v>0.3178538251044371</v>
      </c>
      <c r="L132" s="161">
        <f t="shared" si="79"/>
        <v>0.3178538251044371</v>
      </c>
      <c r="M132" s="161">
        <f t="shared" si="79"/>
        <v>0.3178538251044371</v>
      </c>
      <c r="N132" s="161">
        <f t="shared" si="79"/>
        <v>0.3178538251044371</v>
      </c>
      <c r="O132" s="161">
        <f t="shared" si="79"/>
        <v>0.3178538251044371</v>
      </c>
      <c r="P132" s="161">
        <f t="shared" si="79"/>
        <v>0.3178538251044371</v>
      </c>
      <c r="Q132" s="161">
        <f t="shared" si="79"/>
        <v>0.3178538251044371</v>
      </c>
      <c r="R132" s="161">
        <f t="shared" si="79"/>
        <v>0.3178538251044371</v>
      </c>
    </row>
    <row r="133" spans="1:19" hidden="1" outlineLevel="1" x14ac:dyDescent="0.3">
      <c r="A133" s="80"/>
      <c r="B133" s="5"/>
      <c r="C133" s="83" t="s">
        <v>83</v>
      </c>
      <c r="D133" s="4" t="s">
        <v>10</v>
      </c>
      <c r="E133" s="47">
        <f>+E224/E191</f>
        <v>2.0862417385022407E-2</v>
      </c>
      <c r="F133" s="47">
        <f>+F224/F191</f>
        <v>2.2604671121191685E-2</v>
      </c>
      <c r="G133" s="47">
        <f>+G224/G191</f>
        <v>0.20138516676891283</v>
      </c>
      <c r="H133" s="47">
        <f>+H224/H191</f>
        <v>0.17359319944646659</v>
      </c>
      <c r="I133" s="29">
        <v>0.2</v>
      </c>
      <c r="J133" s="161">
        <f>+I133</f>
        <v>0.2</v>
      </c>
      <c r="K133" s="161">
        <f t="shared" ref="K133:R133" si="80">+J133</f>
        <v>0.2</v>
      </c>
      <c r="L133" s="161">
        <f t="shared" si="80"/>
        <v>0.2</v>
      </c>
      <c r="M133" s="161">
        <f t="shared" si="80"/>
        <v>0.2</v>
      </c>
      <c r="N133" s="161">
        <f t="shared" si="80"/>
        <v>0.2</v>
      </c>
      <c r="O133" s="161">
        <f t="shared" si="80"/>
        <v>0.2</v>
      </c>
      <c r="P133" s="161">
        <f t="shared" si="80"/>
        <v>0.2</v>
      </c>
      <c r="Q133" s="161">
        <f t="shared" si="80"/>
        <v>0.2</v>
      </c>
      <c r="R133" s="161">
        <f t="shared" si="80"/>
        <v>0.2</v>
      </c>
    </row>
    <row r="134" spans="1:19" hidden="1" outlineLevel="1" x14ac:dyDescent="0.3">
      <c r="A134" s="80"/>
      <c r="B134" s="5"/>
      <c r="C134" s="190" t="s">
        <v>175</v>
      </c>
      <c r="D134" s="4" t="s">
        <v>116</v>
      </c>
      <c r="E134" s="186">
        <f>+E231</f>
        <v>0.33500000000000002</v>
      </c>
      <c r="F134" s="186">
        <f t="shared" ref="F134:H134" si="81">+F231</f>
        <v>8.6999999999999994E-2</v>
      </c>
      <c r="G134" s="186">
        <f t="shared" si="81"/>
        <v>95.087999999999994</v>
      </c>
      <c r="H134" s="186">
        <f t="shared" si="81"/>
        <v>96.506</v>
      </c>
      <c r="I134" s="157">
        <f>+H134</f>
        <v>96.506</v>
      </c>
      <c r="J134" s="157">
        <f t="shared" ref="J134:R134" si="82">+I134</f>
        <v>96.506</v>
      </c>
      <c r="K134" s="157">
        <f t="shared" si="82"/>
        <v>96.506</v>
      </c>
      <c r="L134" s="157">
        <f t="shared" si="82"/>
        <v>96.506</v>
      </c>
      <c r="M134" s="157">
        <f t="shared" si="82"/>
        <v>96.506</v>
      </c>
      <c r="N134" s="157">
        <f t="shared" si="82"/>
        <v>96.506</v>
      </c>
      <c r="O134" s="157">
        <f t="shared" si="82"/>
        <v>96.506</v>
      </c>
      <c r="P134" s="157">
        <f t="shared" si="82"/>
        <v>96.506</v>
      </c>
      <c r="Q134" s="157">
        <f t="shared" si="82"/>
        <v>96.506</v>
      </c>
      <c r="R134" s="157">
        <f t="shared" si="82"/>
        <v>96.506</v>
      </c>
    </row>
    <row r="135" spans="1:19" hidden="1" outlineLevel="1" x14ac:dyDescent="0.3">
      <c r="A135" s="80"/>
      <c r="B135" s="5"/>
      <c r="C135" s="23"/>
      <c r="D135" s="4"/>
      <c r="E135" s="4"/>
      <c r="F135" s="4"/>
      <c r="G135" s="15"/>
      <c r="H135" s="15"/>
      <c r="I135" s="15"/>
      <c r="J135" s="15"/>
      <c r="K135" s="15"/>
      <c r="L135" s="15"/>
      <c r="M135" s="15"/>
      <c r="N135" s="5"/>
      <c r="O135" s="82"/>
    </row>
    <row r="136" spans="1:19" hidden="1" outlineLevel="1" x14ac:dyDescent="0.3">
      <c r="A136" s="80"/>
      <c r="B136" s="5"/>
      <c r="C136" s="190" t="s">
        <v>180</v>
      </c>
      <c r="D136" s="4" t="s">
        <v>10</v>
      </c>
      <c r="E136" s="47">
        <f>+E238/E182</f>
        <v>0.22486909064090274</v>
      </c>
      <c r="F136" s="47">
        <f>+F238/F182</f>
        <v>0.36788122220628311</v>
      </c>
      <c r="G136" s="47">
        <f>+G238/G182</f>
        <v>0.20257570927637872</v>
      </c>
      <c r="H136" s="47">
        <f>+H238/H182</f>
        <v>0.20563702935014586</v>
      </c>
      <c r="I136" s="161">
        <f>AVERAGE(E136:H136)</f>
        <v>0.25024076286842761</v>
      </c>
      <c r="J136" s="161">
        <f>+I136</f>
        <v>0.25024076286842761</v>
      </c>
      <c r="K136" s="161">
        <f t="shared" ref="K136:R136" si="83">+J136</f>
        <v>0.25024076286842761</v>
      </c>
      <c r="L136" s="161">
        <f t="shared" si="83"/>
        <v>0.25024076286842761</v>
      </c>
      <c r="M136" s="161">
        <f t="shared" si="83"/>
        <v>0.25024076286842761</v>
      </c>
      <c r="N136" s="161">
        <f t="shared" si="83"/>
        <v>0.25024076286842761</v>
      </c>
      <c r="O136" s="161">
        <f t="shared" si="83"/>
        <v>0.25024076286842761</v>
      </c>
      <c r="P136" s="161">
        <f t="shared" si="83"/>
        <v>0.25024076286842761</v>
      </c>
      <c r="Q136" s="161">
        <f t="shared" si="83"/>
        <v>0.25024076286842761</v>
      </c>
      <c r="R136" s="161">
        <f t="shared" si="83"/>
        <v>0.25024076286842761</v>
      </c>
    </row>
    <row r="137" spans="1:19" hidden="1" outlineLevel="1" x14ac:dyDescent="0.3">
      <c r="A137" s="80"/>
      <c r="B137" s="5"/>
      <c r="C137" s="208" t="s">
        <v>200</v>
      </c>
      <c r="D137" s="4" t="s">
        <v>10</v>
      </c>
      <c r="E137" s="47">
        <f>+E239/E191</f>
        <v>0.23012115236300804</v>
      </c>
      <c r="F137" s="47">
        <f>+F239/F191</f>
        <v>0.26652822901980011</v>
      </c>
      <c r="G137" s="47">
        <f>+G239/G191</f>
        <v>0.33794840334506471</v>
      </c>
      <c r="H137" s="47">
        <f>+H239/H191</f>
        <v>0.27843661693393645</v>
      </c>
      <c r="I137" s="161">
        <f>AVERAGE(E137:H137)</f>
        <v>0.27825860041545231</v>
      </c>
      <c r="J137" s="161">
        <f t="shared" ref="J137:R137" si="84">+I137</f>
        <v>0.27825860041545231</v>
      </c>
      <c r="K137" s="161">
        <f t="shared" si="84"/>
        <v>0.27825860041545231</v>
      </c>
      <c r="L137" s="161">
        <f t="shared" si="84"/>
        <v>0.27825860041545231</v>
      </c>
      <c r="M137" s="161">
        <f t="shared" si="84"/>
        <v>0.27825860041545231</v>
      </c>
      <c r="N137" s="161">
        <f t="shared" si="84"/>
        <v>0.27825860041545231</v>
      </c>
      <c r="O137" s="161">
        <f t="shared" si="84"/>
        <v>0.27825860041545231</v>
      </c>
      <c r="P137" s="161">
        <f t="shared" si="84"/>
        <v>0.27825860041545231</v>
      </c>
      <c r="Q137" s="161">
        <f t="shared" si="84"/>
        <v>0.27825860041545231</v>
      </c>
      <c r="R137" s="161">
        <f t="shared" si="84"/>
        <v>0.27825860041545231</v>
      </c>
    </row>
    <row r="138" spans="1:19" hidden="1" outlineLevel="1" x14ac:dyDescent="0.3">
      <c r="A138" s="80"/>
      <c r="B138" s="5"/>
      <c r="C138" s="168" t="s">
        <v>50</v>
      </c>
      <c r="D138" s="4" t="s">
        <v>116</v>
      </c>
      <c r="E138" s="186">
        <f>+E240</f>
        <v>0</v>
      </c>
      <c r="F138" s="186">
        <f t="shared" ref="F138:H138" si="85">+F240</f>
        <v>0</v>
      </c>
      <c r="G138" s="186">
        <f t="shared" si="85"/>
        <v>39.884</v>
      </c>
      <c r="H138" s="186">
        <f t="shared" si="85"/>
        <v>0.33600000000000002</v>
      </c>
      <c r="I138" s="157">
        <f>+H138</f>
        <v>0.33600000000000002</v>
      </c>
      <c r="J138" s="157">
        <f>+I138</f>
        <v>0.33600000000000002</v>
      </c>
      <c r="K138" s="157">
        <f t="shared" ref="K138:R138" si="86">+J138</f>
        <v>0.33600000000000002</v>
      </c>
      <c r="L138" s="157">
        <f t="shared" si="86"/>
        <v>0.33600000000000002</v>
      </c>
      <c r="M138" s="157">
        <f t="shared" si="86"/>
        <v>0.33600000000000002</v>
      </c>
      <c r="N138" s="157">
        <f t="shared" si="86"/>
        <v>0.33600000000000002</v>
      </c>
      <c r="O138" s="157">
        <f t="shared" si="86"/>
        <v>0.33600000000000002</v>
      </c>
      <c r="P138" s="157">
        <f t="shared" si="86"/>
        <v>0.33600000000000002</v>
      </c>
      <c r="Q138" s="157">
        <f t="shared" si="86"/>
        <v>0.33600000000000002</v>
      </c>
      <c r="R138" s="157">
        <f t="shared" si="86"/>
        <v>0.33600000000000002</v>
      </c>
    </row>
    <row r="139" spans="1:19" hidden="1" outlineLevel="1" x14ac:dyDescent="0.3">
      <c r="A139" s="80"/>
      <c r="B139" s="5"/>
      <c r="C139" s="168"/>
      <c r="D139" s="4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</row>
    <row r="140" spans="1:19" hidden="1" outlineLevel="1" x14ac:dyDescent="0.3">
      <c r="A140" s="80"/>
      <c r="B140" s="5"/>
      <c r="C140" s="188" t="s">
        <v>172</v>
      </c>
      <c r="D140" s="4" t="s">
        <v>10</v>
      </c>
      <c r="E140" s="47">
        <f>+E242/E179</f>
        <v>7.3253117429408271E-3</v>
      </c>
      <c r="F140" s="47">
        <f>+F242/F179</f>
        <v>4.1795671320016001E-3</v>
      </c>
      <c r="G140" s="47">
        <f>+G242/G179</f>
        <v>1.9420491178011496E-3</v>
      </c>
      <c r="H140" s="47">
        <f>+H242/H179</f>
        <v>1.3044131115296134E-3</v>
      </c>
      <c r="I140" s="29">
        <v>1E-3</v>
      </c>
      <c r="J140" s="161">
        <f>+I140</f>
        <v>1E-3</v>
      </c>
      <c r="K140" s="161">
        <f t="shared" ref="K140:R140" si="87">+J140</f>
        <v>1E-3</v>
      </c>
      <c r="L140" s="161">
        <f t="shared" si="87"/>
        <v>1E-3</v>
      </c>
      <c r="M140" s="161">
        <f t="shared" si="87"/>
        <v>1E-3</v>
      </c>
      <c r="N140" s="161">
        <f t="shared" si="87"/>
        <v>1E-3</v>
      </c>
      <c r="O140" s="161">
        <f t="shared" si="87"/>
        <v>1E-3</v>
      </c>
      <c r="P140" s="161">
        <f t="shared" si="87"/>
        <v>1E-3</v>
      </c>
      <c r="Q140" s="161">
        <f t="shared" si="87"/>
        <v>1E-3</v>
      </c>
      <c r="R140" s="161">
        <f t="shared" si="87"/>
        <v>1E-3</v>
      </c>
    </row>
    <row r="141" spans="1:19" hidden="1" outlineLevel="1" x14ac:dyDescent="0.3">
      <c r="A141" s="80"/>
      <c r="B141" s="5"/>
      <c r="C141" s="188" t="s">
        <v>173</v>
      </c>
      <c r="D141" s="4" t="s">
        <v>10</v>
      </c>
      <c r="E141" s="47">
        <f>+E247/E179</f>
        <v>5.2094302599248479E-2</v>
      </c>
      <c r="F141" s="47">
        <f>+F247/F179</f>
        <v>2.9069660676443471E-2</v>
      </c>
      <c r="G141" s="47">
        <f>+G247/G179</f>
        <v>1.156355432532565E-2</v>
      </c>
      <c r="H141" s="47">
        <f>+H247/H179</f>
        <v>6.5541600806031022E-3</v>
      </c>
      <c r="I141" s="29">
        <v>7.0000000000000001E-3</v>
      </c>
      <c r="J141" s="161">
        <f t="shared" ref="J141:R141" si="88">+I141</f>
        <v>7.0000000000000001E-3</v>
      </c>
      <c r="K141" s="161">
        <f t="shared" si="88"/>
        <v>7.0000000000000001E-3</v>
      </c>
      <c r="L141" s="161">
        <f t="shared" si="88"/>
        <v>7.0000000000000001E-3</v>
      </c>
      <c r="M141" s="161">
        <f t="shared" si="88"/>
        <v>7.0000000000000001E-3</v>
      </c>
      <c r="N141" s="161">
        <f t="shared" si="88"/>
        <v>7.0000000000000001E-3</v>
      </c>
      <c r="O141" s="161">
        <f t="shared" si="88"/>
        <v>7.0000000000000001E-3</v>
      </c>
      <c r="P141" s="161">
        <f t="shared" si="88"/>
        <v>7.0000000000000001E-3</v>
      </c>
      <c r="Q141" s="161">
        <f t="shared" si="88"/>
        <v>7.0000000000000001E-3</v>
      </c>
      <c r="R141" s="161">
        <f t="shared" si="88"/>
        <v>7.0000000000000001E-3</v>
      </c>
    </row>
    <row r="142" spans="1:19" hidden="1" outlineLevel="1" x14ac:dyDescent="0.3">
      <c r="A142" s="80"/>
      <c r="B142" s="5"/>
      <c r="C142" s="86" t="s">
        <v>43</v>
      </c>
      <c r="D142" s="4" t="s">
        <v>10</v>
      </c>
      <c r="E142" s="47" t="str">
        <f>+IFERROR(+E280/E203,"N/A")</f>
        <v>N/A</v>
      </c>
      <c r="F142" s="47" t="str">
        <f>+IFERROR(+F280/F203,"N/A")</f>
        <v>N/A</v>
      </c>
      <c r="G142" s="47">
        <f>+IFERROR(+G280/G203,"N/A")</f>
        <v>1.3588323746330286</v>
      </c>
      <c r="H142" s="47">
        <f>+IFERROR(+H280/H203,"N/A")</f>
        <v>-0.11018354830965318</v>
      </c>
      <c r="I142" s="29">
        <v>0</v>
      </c>
      <c r="J142" s="161">
        <f>+I142</f>
        <v>0</v>
      </c>
      <c r="K142" s="161">
        <f t="shared" ref="K142:R142" si="89">+J142</f>
        <v>0</v>
      </c>
      <c r="L142" s="161">
        <f t="shared" si="89"/>
        <v>0</v>
      </c>
      <c r="M142" s="161">
        <f t="shared" si="89"/>
        <v>0</v>
      </c>
      <c r="N142" s="161">
        <f t="shared" si="89"/>
        <v>0</v>
      </c>
      <c r="O142" s="161">
        <f t="shared" si="89"/>
        <v>0</v>
      </c>
      <c r="P142" s="161">
        <f t="shared" si="89"/>
        <v>0</v>
      </c>
      <c r="Q142" s="161">
        <f t="shared" si="89"/>
        <v>0</v>
      </c>
      <c r="R142" s="161">
        <f t="shared" si="89"/>
        <v>0</v>
      </c>
      <c r="S142" s="90"/>
    </row>
    <row r="143" spans="1:19" hidden="1" outlineLevel="1" x14ac:dyDescent="0.3">
      <c r="A143" s="80"/>
      <c r="B143" s="5"/>
      <c r="C143" s="190" t="s">
        <v>81</v>
      </c>
      <c r="D143" s="4" t="s">
        <v>116</v>
      </c>
      <c r="E143" s="186">
        <f>+E243</f>
        <v>8.6280000000000001</v>
      </c>
      <c r="F143" s="186">
        <f t="shared" ref="F143:H143" si="90">+F243</f>
        <v>11.82</v>
      </c>
      <c r="G143" s="186">
        <f t="shared" si="90"/>
        <v>0.27500000000000002</v>
      </c>
      <c r="H143" s="186">
        <f t="shared" si="90"/>
        <v>6.2590000000000003</v>
      </c>
      <c r="I143" s="129">
        <f>+H143</f>
        <v>6.2590000000000003</v>
      </c>
      <c r="J143" s="129">
        <f t="shared" ref="J143:R143" si="91">+I143</f>
        <v>6.2590000000000003</v>
      </c>
      <c r="K143" s="129">
        <f t="shared" si="91"/>
        <v>6.2590000000000003</v>
      </c>
      <c r="L143" s="129">
        <f t="shared" si="91"/>
        <v>6.2590000000000003</v>
      </c>
      <c r="M143" s="129">
        <f t="shared" si="91"/>
        <v>6.2590000000000003</v>
      </c>
      <c r="N143" s="129">
        <f t="shared" si="91"/>
        <v>6.2590000000000003</v>
      </c>
      <c r="O143" s="129">
        <f t="shared" si="91"/>
        <v>6.2590000000000003</v>
      </c>
      <c r="P143" s="129">
        <f t="shared" si="91"/>
        <v>6.2590000000000003</v>
      </c>
      <c r="Q143" s="129">
        <f t="shared" si="91"/>
        <v>6.2590000000000003</v>
      </c>
      <c r="R143" s="129">
        <f t="shared" si="91"/>
        <v>6.2590000000000003</v>
      </c>
    </row>
    <row r="144" spans="1:19" hidden="1" outlineLevel="1" x14ac:dyDescent="0.3">
      <c r="A144" s="80"/>
      <c r="B144" s="5"/>
      <c r="C144" s="190" t="s">
        <v>184</v>
      </c>
      <c r="D144" s="4" t="s">
        <v>116</v>
      </c>
      <c r="E144" s="186">
        <f>+E249</f>
        <v>11.56</v>
      </c>
      <c r="F144" s="186">
        <f t="shared" ref="F144:H144" si="92">+F249</f>
        <v>0</v>
      </c>
      <c r="G144" s="186">
        <f t="shared" si="92"/>
        <v>41.420999999999999</v>
      </c>
      <c r="H144" s="186">
        <f t="shared" si="92"/>
        <v>20.04</v>
      </c>
      <c r="I144" s="129">
        <f t="shared" ref="I144:R144" si="93">+H144</f>
        <v>20.04</v>
      </c>
      <c r="J144" s="129">
        <f t="shared" si="93"/>
        <v>20.04</v>
      </c>
      <c r="K144" s="129">
        <f t="shared" si="93"/>
        <v>20.04</v>
      </c>
      <c r="L144" s="129">
        <f t="shared" si="93"/>
        <v>20.04</v>
      </c>
      <c r="M144" s="129">
        <f t="shared" si="93"/>
        <v>20.04</v>
      </c>
      <c r="N144" s="129">
        <f t="shared" si="93"/>
        <v>20.04</v>
      </c>
      <c r="O144" s="129">
        <f t="shared" si="93"/>
        <v>20.04</v>
      </c>
      <c r="P144" s="129">
        <f t="shared" si="93"/>
        <v>20.04</v>
      </c>
      <c r="Q144" s="129">
        <f t="shared" si="93"/>
        <v>20.04</v>
      </c>
      <c r="R144" s="129">
        <f t="shared" si="93"/>
        <v>20.04</v>
      </c>
    </row>
    <row r="145" spans="1:18" hidden="1" outlineLevel="1" x14ac:dyDescent="0.3">
      <c r="A145" s="80"/>
      <c r="B145" s="5"/>
      <c r="C145" s="41"/>
      <c r="D145" s="4"/>
      <c r="E145" s="47"/>
      <c r="F145" s="47"/>
      <c r="G145" s="47"/>
      <c r="H145" s="47"/>
      <c r="I145" s="88"/>
      <c r="J145" s="88"/>
      <c r="K145" s="88"/>
      <c r="L145" s="88"/>
      <c r="M145" s="88"/>
      <c r="N145" s="5"/>
      <c r="O145" s="82"/>
    </row>
    <row r="146" spans="1:18" hidden="1" outlineLevel="1" x14ac:dyDescent="0.3">
      <c r="A146" s="80"/>
      <c r="B146" s="5"/>
      <c r="C146" s="188" t="s">
        <v>174</v>
      </c>
      <c r="D146" s="4" t="s">
        <v>10</v>
      </c>
      <c r="E146" s="87">
        <f>+E276/E179</f>
        <v>5.0983709381347787E-3</v>
      </c>
      <c r="F146" s="87">
        <f>+F276/F179</f>
        <v>1.3919648005523784E-3</v>
      </c>
      <c r="G146" s="87">
        <f>+G276/G179</f>
        <v>2.2304553576152045E-3</v>
      </c>
      <c r="H146" s="87">
        <f>+H276/H179</f>
        <v>3.4937180702480333E-3</v>
      </c>
      <c r="I146" s="29">
        <v>4.0000000000000001E-3</v>
      </c>
      <c r="J146" s="29">
        <v>5.0000000000000001E-3</v>
      </c>
      <c r="K146" s="29">
        <v>6.0000000000000001E-3</v>
      </c>
      <c r="L146" s="29">
        <v>7.0000000000000001E-3</v>
      </c>
      <c r="M146" s="29">
        <v>8.0000000000000002E-3</v>
      </c>
      <c r="N146" s="29">
        <v>8.9999999999999993E-3</v>
      </c>
      <c r="O146" s="29">
        <v>0.01</v>
      </c>
      <c r="P146" s="29">
        <v>1.0999999999999999E-2</v>
      </c>
      <c r="Q146" s="29">
        <v>1.2E-2</v>
      </c>
      <c r="R146" s="29">
        <v>1.2999999999999999E-2</v>
      </c>
    </row>
    <row r="147" spans="1:18" hidden="1" outlineLevel="1" x14ac:dyDescent="0.3">
      <c r="A147" s="80"/>
      <c r="B147" s="5"/>
      <c r="C147" s="188" t="s">
        <v>58</v>
      </c>
      <c r="D147" s="4" t="s">
        <v>10</v>
      </c>
      <c r="E147" s="42">
        <f>+E278/E179</f>
        <v>4.7295158849356367E-2</v>
      </c>
      <c r="F147" s="42">
        <f>+F278/F179</f>
        <v>7.6040209051811192E-2</v>
      </c>
      <c r="G147" s="42">
        <f>+G278/G179</f>
        <v>3.9260792622261204E-2</v>
      </c>
      <c r="H147" s="42">
        <f>+H278/H179</f>
        <v>5.1065824720347812E-2</v>
      </c>
      <c r="I147" s="161">
        <f>AVERAGE(E147:H147)</f>
        <v>5.3415496310944145E-2</v>
      </c>
      <c r="J147" s="161">
        <f>+I147</f>
        <v>5.3415496310944145E-2</v>
      </c>
      <c r="K147" s="161">
        <f t="shared" ref="K147:R147" si="94">+J147</f>
        <v>5.3415496310944145E-2</v>
      </c>
      <c r="L147" s="161">
        <f t="shared" si="94"/>
        <v>5.3415496310944145E-2</v>
      </c>
      <c r="M147" s="161">
        <f t="shared" si="94"/>
        <v>5.3415496310944145E-2</v>
      </c>
      <c r="N147" s="161">
        <f t="shared" si="94"/>
        <v>5.3415496310944145E-2</v>
      </c>
      <c r="O147" s="161">
        <f t="shared" si="94"/>
        <v>5.3415496310944145E-2</v>
      </c>
      <c r="P147" s="161">
        <f t="shared" si="94"/>
        <v>5.3415496310944145E-2</v>
      </c>
      <c r="Q147" s="161">
        <f t="shared" si="94"/>
        <v>5.3415496310944145E-2</v>
      </c>
      <c r="R147" s="161">
        <f t="shared" si="94"/>
        <v>5.3415496310944145E-2</v>
      </c>
    </row>
    <row r="148" spans="1:18" hidden="1" outlineLevel="1" x14ac:dyDescent="0.3">
      <c r="A148" s="80"/>
      <c r="B148" s="5"/>
      <c r="C148" s="190" t="s">
        <v>182</v>
      </c>
      <c r="D148" s="4" t="s">
        <v>10</v>
      </c>
      <c r="E148" s="42">
        <f>-E299/E179</f>
        <v>4.2064437424114256E-3</v>
      </c>
      <c r="F148" s="42">
        <f>-F299/F179</f>
        <v>4.6974221105712186E-3</v>
      </c>
      <c r="G148" s="42">
        <f>-G299/G179</f>
        <v>1.0198317687152611E-2</v>
      </c>
      <c r="H148" s="42">
        <f>-H299/H179</f>
        <v>1.1434820035693695E-2</v>
      </c>
      <c r="I148" s="29">
        <v>1.2E-2</v>
      </c>
      <c r="J148" s="29">
        <v>1.2999999999999999E-2</v>
      </c>
      <c r="K148" s="29">
        <v>1.4E-2</v>
      </c>
      <c r="L148" s="29">
        <v>1.4999999999999999E-2</v>
      </c>
      <c r="M148" s="29">
        <v>1.6E-2</v>
      </c>
      <c r="N148" s="29">
        <v>1.7000000000000001E-2</v>
      </c>
      <c r="O148" s="29">
        <v>1.7999999999999999E-2</v>
      </c>
      <c r="P148" s="29">
        <v>1.9E-2</v>
      </c>
      <c r="Q148" s="29">
        <v>0.02</v>
      </c>
      <c r="R148" s="29">
        <v>2.1000000000000001E-2</v>
      </c>
    </row>
    <row r="149" spans="1:18" hidden="1" outlineLevel="1" x14ac:dyDescent="0.3">
      <c r="A149" s="80"/>
      <c r="B149" s="5"/>
      <c r="C149" s="23"/>
      <c r="D149" s="4"/>
      <c r="E149" s="4"/>
      <c r="F149" s="4"/>
      <c r="G149" s="4"/>
      <c r="H149" s="4"/>
      <c r="I149" s="15"/>
      <c r="J149" s="15"/>
      <c r="K149" s="15"/>
      <c r="L149" s="15"/>
      <c r="M149" s="15"/>
      <c r="N149" s="5"/>
      <c r="O149" s="82"/>
    </row>
    <row r="150" spans="1:18" hidden="1" outlineLevel="1" x14ac:dyDescent="0.3">
      <c r="A150" s="5"/>
      <c r="B150" s="5"/>
      <c r="C150" s="173" t="s">
        <v>68</v>
      </c>
      <c r="D150" s="4" t="s">
        <v>116</v>
      </c>
      <c r="E150" s="186">
        <f>+E279</f>
        <v>0</v>
      </c>
      <c r="F150" s="186">
        <f t="shared" ref="F150:H150" si="95">+F279</f>
        <v>0</v>
      </c>
      <c r="G150" s="186">
        <f t="shared" si="95"/>
        <v>-0.3</v>
      </c>
      <c r="H150" s="186">
        <f t="shared" si="95"/>
        <v>15.2</v>
      </c>
      <c r="I150" s="128">
        <v>0</v>
      </c>
      <c r="J150" s="129">
        <f>+I150</f>
        <v>0</v>
      </c>
      <c r="K150" s="129">
        <f t="shared" ref="K150:R150" si="96">+J150</f>
        <v>0</v>
      </c>
      <c r="L150" s="129">
        <f t="shared" si="96"/>
        <v>0</v>
      </c>
      <c r="M150" s="129">
        <f t="shared" si="96"/>
        <v>0</v>
      </c>
      <c r="N150" s="129">
        <f t="shared" si="96"/>
        <v>0</v>
      </c>
      <c r="O150" s="129">
        <f t="shared" si="96"/>
        <v>0</v>
      </c>
      <c r="P150" s="129">
        <f t="shared" si="96"/>
        <v>0</v>
      </c>
      <c r="Q150" s="129">
        <f t="shared" si="96"/>
        <v>0</v>
      </c>
      <c r="R150" s="129">
        <f t="shared" si="96"/>
        <v>0</v>
      </c>
    </row>
    <row r="151" spans="1:18" hidden="1" outlineLevel="1" x14ac:dyDescent="0.3">
      <c r="A151" s="5"/>
      <c r="B151" s="5"/>
      <c r="C151" s="175" t="s">
        <v>106</v>
      </c>
      <c r="D151" s="4" t="s">
        <v>116</v>
      </c>
      <c r="E151" s="186">
        <f>+E282</f>
        <v>14.972000000000001</v>
      </c>
      <c r="F151" s="186">
        <f t="shared" ref="F151:H151" si="97">+F282</f>
        <v>1.6739999999999999</v>
      </c>
      <c r="G151" s="186">
        <f t="shared" si="97"/>
        <v>-16.75</v>
      </c>
      <c r="H151" s="186">
        <f t="shared" si="97"/>
        <v>16.518000000000001</v>
      </c>
      <c r="I151" s="129">
        <f>AVERAGE(E151:H151)</f>
        <v>4.1035000000000004</v>
      </c>
      <c r="J151" s="129">
        <f>+I151</f>
        <v>4.1035000000000004</v>
      </c>
      <c r="K151" s="129">
        <f t="shared" ref="K151:R151" si="98">+J151</f>
        <v>4.1035000000000004</v>
      </c>
      <c r="L151" s="129">
        <f t="shared" si="98"/>
        <v>4.1035000000000004</v>
      </c>
      <c r="M151" s="129">
        <f t="shared" si="98"/>
        <v>4.1035000000000004</v>
      </c>
      <c r="N151" s="129">
        <f t="shared" si="98"/>
        <v>4.1035000000000004</v>
      </c>
      <c r="O151" s="129">
        <f t="shared" si="98"/>
        <v>4.1035000000000004</v>
      </c>
      <c r="P151" s="129">
        <f t="shared" si="98"/>
        <v>4.1035000000000004</v>
      </c>
      <c r="Q151" s="129">
        <f t="shared" si="98"/>
        <v>4.1035000000000004</v>
      </c>
      <c r="R151" s="129">
        <f t="shared" si="98"/>
        <v>4.1035000000000004</v>
      </c>
    </row>
    <row r="152" spans="1:18" hidden="1" outlineLevel="1" x14ac:dyDescent="0.3">
      <c r="A152" s="5"/>
      <c r="B152" s="5"/>
      <c r="C152" s="175"/>
      <c r="D152" s="55"/>
      <c r="E152" s="125"/>
      <c r="F152" s="125"/>
      <c r="G152" s="125"/>
      <c r="H152" s="125"/>
      <c r="I152" s="182"/>
      <c r="J152" s="70"/>
      <c r="K152" s="70"/>
      <c r="L152" s="70"/>
      <c r="M152" s="70"/>
      <c r="N152" s="70"/>
      <c r="O152" s="70"/>
      <c r="P152" s="70"/>
      <c r="Q152" s="70"/>
      <c r="R152" s="70"/>
    </row>
    <row r="153" spans="1:18" hidden="1" outlineLevel="1" x14ac:dyDescent="0.3">
      <c r="A153" s="5"/>
      <c r="B153" s="5"/>
      <c r="C153" s="176" t="s">
        <v>105</v>
      </c>
      <c r="D153" s="4" t="s">
        <v>116</v>
      </c>
      <c r="E153" s="186">
        <f>+E296</f>
        <v>2.5880000000000001</v>
      </c>
      <c r="F153" s="186">
        <f t="shared" ref="F153:H153" si="99">+F296</f>
        <v>-75.452999999999989</v>
      </c>
      <c r="G153" s="186">
        <f t="shared" si="99"/>
        <v>75.790999999999997</v>
      </c>
      <c r="H153" s="186">
        <f t="shared" si="99"/>
        <v>0</v>
      </c>
      <c r="I153" s="128">
        <v>0</v>
      </c>
      <c r="J153" s="129">
        <f>+I153</f>
        <v>0</v>
      </c>
      <c r="K153" s="129">
        <f t="shared" ref="K153:R155" si="100">+J153</f>
        <v>0</v>
      </c>
      <c r="L153" s="129">
        <f t="shared" si="100"/>
        <v>0</v>
      </c>
      <c r="M153" s="129">
        <f t="shared" si="100"/>
        <v>0</v>
      </c>
      <c r="N153" s="129">
        <f t="shared" si="100"/>
        <v>0</v>
      </c>
      <c r="O153" s="129">
        <f t="shared" si="100"/>
        <v>0</v>
      </c>
      <c r="P153" s="129">
        <f t="shared" si="100"/>
        <v>0</v>
      </c>
      <c r="Q153" s="129">
        <f t="shared" si="100"/>
        <v>0</v>
      </c>
      <c r="R153" s="129">
        <f t="shared" si="100"/>
        <v>0</v>
      </c>
    </row>
    <row r="154" spans="1:18" hidden="1" outlineLevel="1" x14ac:dyDescent="0.3">
      <c r="A154" s="5"/>
      <c r="B154" s="5"/>
      <c r="C154" s="176" t="s">
        <v>102</v>
      </c>
      <c r="D154" s="4" t="s">
        <v>116</v>
      </c>
      <c r="E154" s="186">
        <f>+E297</f>
        <v>0</v>
      </c>
      <c r="F154" s="186">
        <f t="shared" ref="F154:H154" si="101">+F297</f>
        <v>0</v>
      </c>
      <c r="G154" s="186">
        <f t="shared" si="101"/>
        <v>-448.60899999999992</v>
      </c>
      <c r="H154" s="186">
        <f t="shared" si="101"/>
        <v>0</v>
      </c>
      <c r="I154" s="128">
        <f>-828.676-125</f>
        <v>-953.67600000000004</v>
      </c>
      <c r="J154" s="128">
        <v>0</v>
      </c>
      <c r="K154" s="129">
        <f t="shared" si="100"/>
        <v>0</v>
      </c>
      <c r="L154" s="129">
        <f t="shared" si="100"/>
        <v>0</v>
      </c>
      <c r="M154" s="129">
        <f t="shared" si="100"/>
        <v>0</v>
      </c>
      <c r="N154" s="129">
        <f t="shared" si="100"/>
        <v>0</v>
      </c>
      <c r="O154" s="129">
        <f t="shared" si="100"/>
        <v>0</v>
      </c>
      <c r="P154" s="129">
        <f t="shared" si="100"/>
        <v>0</v>
      </c>
      <c r="Q154" s="129">
        <f t="shared" si="100"/>
        <v>0</v>
      </c>
      <c r="R154" s="129">
        <f t="shared" si="100"/>
        <v>0</v>
      </c>
    </row>
    <row r="155" spans="1:18" hidden="1" outlineLevel="1" x14ac:dyDescent="0.3">
      <c r="A155" s="5"/>
      <c r="B155" s="5"/>
      <c r="C155" s="176" t="s">
        <v>104</v>
      </c>
      <c r="D155" s="4" t="s">
        <v>116</v>
      </c>
      <c r="E155" s="186">
        <f>+E298</f>
        <v>-4</v>
      </c>
      <c r="F155" s="186">
        <f t="shared" ref="F155:H155" si="102">+F298</f>
        <v>-4.5</v>
      </c>
      <c r="G155" s="186">
        <f t="shared" si="102"/>
        <v>-16.5</v>
      </c>
      <c r="H155" s="186">
        <f t="shared" si="102"/>
        <v>-1.3</v>
      </c>
      <c r="I155" s="129">
        <f>AVERAGE(E155:H155)</f>
        <v>-6.5750000000000002</v>
      </c>
      <c r="J155" s="129">
        <f>+I155</f>
        <v>-6.5750000000000002</v>
      </c>
      <c r="K155" s="129">
        <f t="shared" si="100"/>
        <v>-6.5750000000000002</v>
      </c>
      <c r="L155" s="129">
        <f t="shared" si="100"/>
        <v>-6.5750000000000002</v>
      </c>
      <c r="M155" s="129">
        <f t="shared" si="100"/>
        <v>-6.5750000000000002</v>
      </c>
      <c r="N155" s="129">
        <f t="shared" si="100"/>
        <v>-6.5750000000000002</v>
      </c>
      <c r="O155" s="129">
        <f t="shared" si="100"/>
        <v>-6.5750000000000002</v>
      </c>
      <c r="P155" s="129">
        <f t="shared" si="100"/>
        <v>-6.5750000000000002</v>
      </c>
      <c r="Q155" s="129">
        <f t="shared" si="100"/>
        <v>-6.5750000000000002</v>
      </c>
      <c r="R155" s="129">
        <f t="shared" si="100"/>
        <v>-6.5750000000000002</v>
      </c>
    </row>
    <row r="156" spans="1:18" hidden="1" outlineLevel="1" x14ac:dyDescent="0.3">
      <c r="A156" s="5"/>
      <c r="B156" s="5"/>
      <c r="C156" s="176"/>
      <c r="D156" s="5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</row>
    <row r="157" spans="1:18" hidden="1" outlineLevel="1" x14ac:dyDescent="0.3">
      <c r="A157" s="5"/>
      <c r="B157" s="5"/>
      <c r="C157" s="176" t="s">
        <v>107</v>
      </c>
      <c r="D157" s="4" t="s">
        <v>116</v>
      </c>
      <c r="E157" s="186">
        <f>+E303</f>
        <v>48.427</v>
      </c>
      <c r="F157" s="186">
        <f t="shared" ref="F157:H157" si="103">+F303</f>
        <v>0</v>
      </c>
      <c r="G157" s="186">
        <f t="shared" si="103"/>
        <v>450.916</v>
      </c>
      <c r="H157" s="186">
        <f t="shared" si="103"/>
        <v>553.42499999999995</v>
      </c>
      <c r="I157" s="128">
        <v>636.35500000000002</v>
      </c>
      <c r="J157" s="128">
        <v>0</v>
      </c>
      <c r="K157" s="128">
        <v>0</v>
      </c>
      <c r="L157" s="128">
        <v>0</v>
      </c>
      <c r="M157" s="128">
        <v>0</v>
      </c>
      <c r="N157" s="128">
        <v>0</v>
      </c>
      <c r="O157" s="128">
        <v>0</v>
      </c>
      <c r="P157" s="128">
        <v>0</v>
      </c>
      <c r="Q157" s="128">
        <v>0</v>
      </c>
      <c r="R157" s="128">
        <v>0</v>
      </c>
    </row>
    <row r="158" spans="1:18" hidden="1" outlineLevel="1" x14ac:dyDescent="0.3">
      <c r="A158" s="5"/>
      <c r="B158" s="5"/>
      <c r="C158" s="176" t="s">
        <v>108</v>
      </c>
      <c r="D158" s="4" t="s">
        <v>116</v>
      </c>
      <c r="E158" s="186">
        <f t="shared" ref="E158:H158" si="104">+E304</f>
        <v>-129.87700000000001</v>
      </c>
      <c r="F158" s="186">
        <f t="shared" si="104"/>
        <v>-49.018000000000001</v>
      </c>
      <c r="G158" s="186">
        <f t="shared" si="104"/>
        <v>-11.875</v>
      </c>
      <c r="H158" s="186">
        <f t="shared" si="104"/>
        <v>-465.91</v>
      </c>
      <c r="I158" s="129">
        <f>-2.299-7.226</f>
        <v>-9.5250000000000004</v>
      </c>
      <c r="J158" s="128">
        <v>-9.4789999999999992</v>
      </c>
      <c r="K158" s="128">
        <v>-9.484</v>
      </c>
      <c r="L158" s="128">
        <v>-309.49</v>
      </c>
      <c r="M158" s="128">
        <v>-868.51199999999994</v>
      </c>
      <c r="N158" s="128">
        <v>-0.29799999999999999</v>
      </c>
      <c r="O158" s="128">
        <v>0</v>
      </c>
      <c r="P158" s="128">
        <v>0</v>
      </c>
      <c r="Q158" s="128">
        <v>0</v>
      </c>
      <c r="R158" s="128">
        <v>0</v>
      </c>
    </row>
    <row r="159" spans="1:18" hidden="1" outlineLevel="1" x14ac:dyDescent="0.3">
      <c r="A159" s="5"/>
      <c r="B159" s="5"/>
      <c r="C159" s="197" t="s">
        <v>192</v>
      </c>
      <c r="D159" s="4" t="s">
        <v>116</v>
      </c>
      <c r="E159" s="186">
        <f t="shared" ref="E159:H159" si="105">+E305</f>
        <v>0</v>
      </c>
      <c r="F159" s="186">
        <f t="shared" si="105"/>
        <v>0</v>
      </c>
      <c r="G159" s="186">
        <f t="shared" si="105"/>
        <v>0</v>
      </c>
      <c r="H159" s="186">
        <f t="shared" si="105"/>
        <v>0</v>
      </c>
      <c r="I159" s="128">
        <v>17.614999999999998</v>
      </c>
      <c r="J159" s="128">
        <v>0</v>
      </c>
      <c r="K159" s="129">
        <f t="shared" ref="K159:R161" si="106">+J159</f>
        <v>0</v>
      </c>
      <c r="L159" s="129">
        <f t="shared" si="106"/>
        <v>0</v>
      </c>
      <c r="M159" s="129">
        <f t="shared" si="106"/>
        <v>0</v>
      </c>
      <c r="N159" s="129">
        <f t="shared" si="106"/>
        <v>0</v>
      </c>
      <c r="O159" s="129">
        <f t="shared" si="106"/>
        <v>0</v>
      </c>
      <c r="P159" s="129">
        <f t="shared" si="106"/>
        <v>0</v>
      </c>
      <c r="Q159" s="129">
        <f t="shared" si="106"/>
        <v>0</v>
      </c>
      <c r="R159" s="129">
        <f t="shared" si="106"/>
        <v>0</v>
      </c>
    </row>
    <row r="160" spans="1:18" hidden="1" outlineLevel="1" x14ac:dyDescent="0.3">
      <c r="A160" s="5"/>
      <c r="B160" s="5"/>
      <c r="C160" s="197" t="s">
        <v>193</v>
      </c>
      <c r="D160" s="4" t="s">
        <v>116</v>
      </c>
      <c r="E160" s="186">
        <f t="shared" ref="E160:H160" si="107">+E306</f>
        <v>0</v>
      </c>
      <c r="F160" s="186">
        <f t="shared" si="107"/>
        <v>0</v>
      </c>
      <c r="G160" s="186">
        <f t="shared" si="107"/>
        <v>0</v>
      </c>
      <c r="H160" s="186">
        <f t="shared" si="107"/>
        <v>0</v>
      </c>
      <c r="I160" s="128">
        <v>-35.1</v>
      </c>
      <c r="J160" s="128">
        <v>0</v>
      </c>
      <c r="K160" s="129">
        <f>+J160</f>
        <v>0</v>
      </c>
      <c r="L160" s="129">
        <f t="shared" si="106"/>
        <v>0</v>
      </c>
      <c r="M160" s="129">
        <f t="shared" si="106"/>
        <v>0</v>
      </c>
      <c r="N160" s="129">
        <f t="shared" si="106"/>
        <v>0</v>
      </c>
      <c r="O160" s="129">
        <f t="shared" si="106"/>
        <v>0</v>
      </c>
      <c r="P160" s="129">
        <f t="shared" si="106"/>
        <v>0</v>
      </c>
      <c r="Q160" s="129">
        <f t="shared" si="106"/>
        <v>0</v>
      </c>
      <c r="R160" s="129">
        <f t="shared" si="106"/>
        <v>0</v>
      </c>
    </row>
    <row r="161" spans="1:19" hidden="1" outlineLevel="1" x14ac:dyDescent="0.3">
      <c r="A161" s="5"/>
      <c r="B161" s="5"/>
      <c r="C161" s="176" t="s">
        <v>106</v>
      </c>
      <c r="D161" s="4" t="s">
        <v>116</v>
      </c>
      <c r="E161" s="186">
        <f t="shared" ref="E161:H161" si="108">+E307</f>
        <v>-2.8929999999999998</v>
      </c>
      <c r="F161" s="186">
        <f t="shared" si="108"/>
        <v>15.936</v>
      </c>
      <c r="G161" s="186">
        <f t="shared" si="108"/>
        <v>9.4890000000000008</v>
      </c>
      <c r="H161" s="186">
        <f t="shared" si="108"/>
        <v>24.94</v>
      </c>
      <c r="I161" s="129">
        <f>AVERAGE(E161:H161)</f>
        <v>11.868</v>
      </c>
      <c r="J161" s="129">
        <f>+I161</f>
        <v>11.868</v>
      </c>
      <c r="K161" s="129">
        <f t="shared" ref="K161" si="109">+J161</f>
        <v>11.868</v>
      </c>
      <c r="L161" s="129">
        <f t="shared" si="106"/>
        <v>11.868</v>
      </c>
      <c r="M161" s="129">
        <f t="shared" si="106"/>
        <v>11.868</v>
      </c>
      <c r="N161" s="129">
        <f t="shared" si="106"/>
        <v>11.868</v>
      </c>
      <c r="O161" s="129">
        <f t="shared" si="106"/>
        <v>11.868</v>
      </c>
      <c r="P161" s="129">
        <f t="shared" si="106"/>
        <v>11.868</v>
      </c>
      <c r="Q161" s="129">
        <f t="shared" si="106"/>
        <v>11.868</v>
      </c>
      <c r="R161" s="129">
        <f t="shared" si="106"/>
        <v>11.868</v>
      </c>
    </row>
    <row r="162" spans="1:19" hidden="1" outlineLevel="1" x14ac:dyDescent="0.3">
      <c r="A162" s="5"/>
      <c r="B162" s="5"/>
      <c r="C162" s="176"/>
      <c r="D162" s="4"/>
      <c r="E162" s="125"/>
      <c r="F162" s="125"/>
      <c r="G162" s="125"/>
      <c r="H162" s="125"/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</row>
    <row r="163" spans="1:19" hidden="1" outlineLevel="1" x14ac:dyDescent="0.3">
      <c r="A163" s="5"/>
      <c r="B163" s="5"/>
      <c r="C163" s="176" t="s">
        <v>109</v>
      </c>
      <c r="D163" s="4" t="s">
        <v>116</v>
      </c>
      <c r="E163" s="186">
        <f>+E308</f>
        <v>56.817</v>
      </c>
      <c r="F163" s="186">
        <f t="shared" ref="F163:H163" si="110">+F308</f>
        <v>0</v>
      </c>
      <c r="G163" s="186">
        <f t="shared" si="110"/>
        <v>0</v>
      </c>
      <c r="H163" s="186">
        <f t="shared" si="110"/>
        <v>0</v>
      </c>
      <c r="I163" s="128">
        <v>0</v>
      </c>
      <c r="J163" s="129">
        <f>+I163</f>
        <v>0</v>
      </c>
      <c r="K163" s="129">
        <f t="shared" ref="K163:R163" si="111">+J163</f>
        <v>0</v>
      </c>
      <c r="L163" s="129">
        <f t="shared" si="111"/>
        <v>0</v>
      </c>
      <c r="M163" s="129">
        <f t="shared" si="111"/>
        <v>0</v>
      </c>
      <c r="N163" s="129">
        <f t="shared" si="111"/>
        <v>0</v>
      </c>
      <c r="O163" s="129">
        <f t="shared" si="111"/>
        <v>0</v>
      </c>
      <c r="P163" s="129">
        <f t="shared" si="111"/>
        <v>0</v>
      </c>
      <c r="Q163" s="129">
        <f t="shared" si="111"/>
        <v>0</v>
      </c>
      <c r="R163" s="129">
        <f t="shared" si="111"/>
        <v>0</v>
      </c>
    </row>
    <row r="164" spans="1:19" hidden="1" outlineLevel="1" x14ac:dyDescent="0.3">
      <c r="A164" s="5"/>
      <c r="B164" s="5"/>
      <c r="C164" s="173" t="s">
        <v>69</v>
      </c>
      <c r="D164" s="4" t="s">
        <v>116</v>
      </c>
      <c r="E164" s="186">
        <f t="shared" ref="E164:H164" si="112">+E309</f>
        <v>0</v>
      </c>
      <c r="F164" s="186">
        <f t="shared" si="112"/>
        <v>0</v>
      </c>
      <c r="G164" s="186">
        <f t="shared" si="112"/>
        <v>0</v>
      </c>
      <c r="H164" s="186">
        <f t="shared" si="112"/>
        <v>-136.48400000000001</v>
      </c>
      <c r="I164" s="128">
        <v>0</v>
      </c>
      <c r="J164" s="129">
        <f t="shared" ref="J164:R166" si="113">+I164</f>
        <v>0</v>
      </c>
      <c r="K164" s="129">
        <f t="shared" si="113"/>
        <v>0</v>
      </c>
      <c r="L164" s="129">
        <f t="shared" si="113"/>
        <v>0</v>
      </c>
      <c r="M164" s="129">
        <f t="shared" si="113"/>
        <v>0</v>
      </c>
      <c r="N164" s="129">
        <f t="shared" si="113"/>
        <v>0</v>
      </c>
      <c r="O164" s="129">
        <f t="shared" si="113"/>
        <v>0</v>
      </c>
      <c r="P164" s="129">
        <f t="shared" si="113"/>
        <v>0</v>
      </c>
      <c r="Q164" s="129">
        <f t="shared" si="113"/>
        <v>0</v>
      </c>
      <c r="R164" s="129">
        <f t="shared" si="113"/>
        <v>0</v>
      </c>
    </row>
    <row r="165" spans="1:19" hidden="1" outlineLevel="1" x14ac:dyDescent="0.3">
      <c r="A165" s="5"/>
      <c r="B165" s="5"/>
      <c r="C165" s="174" t="s">
        <v>86</v>
      </c>
      <c r="D165" s="4" t="s">
        <v>116</v>
      </c>
      <c r="E165" s="186">
        <f t="shared" ref="E165:H165" si="114">+E310</f>
        <v>0</v>
      </c>
      <c r="F165" s="186">
        <f t="shared" si="114"/>
        <v>0</v>
      </c>
      <c r="G165" s="186">
        <f t="shared" si="114"/>
        <v>0</v>
      </c>
      <c r="H165" s="186">
        <f t="shared" si="114"/>
        <v>0</v>
      </c>
      <c r="I165" s="128">
        <v>0</v>
      </c>
      <c r="J165" s="129">
        <f>+I165</f>
        <v>0</v>
      </c>
      <c r="K165" s="129">
        <f t="shared" si="113"/>
        <v>0</v>
      </c>
      <c r="L165" s="129">
        <f t="shared" si="113"/>
        <v>0</v>
      </c>
      <c r="M165" s="129">
        <f t="shared" si="113"/>
        <v>0</v>
      </c>
      <c r="N165" s="129">
        <f t="shared" si="113"/>
        <v>0</v>
      </c>
      <c r="O165" s="129">
        <f t="shared" si="113"/>
        <v>0</v>
      </c>
      <c r="P165" s="129">
        <f t="shared" si="113"/>
        <v>0</v>
      </c>
      <c r="Q165" s="129">
        <f t="shared" si="113"/>
        <v>0</v>
      </c>
      <c r="R165" s="129">
        <f t="shared" si="113"/>
        <v>0</v>
      </c>
    </row>
    <row r="166" spans="1:19" hidden="1" outlineLevel="1" x14ac:dyDescent="0.3">
      <c r="A166" s="5"/>
      <c r="B166" s="5"/>
      <c r="C166" s="124" t="s">
        <v>54</v>
      </c>
      <c r="D166" s="4" t="s">
        <v>116</v>
      </c>
      <c r="E166" s="186">
        <f>+E313</f>
        <v>0</v>
      </c>
      <c r="F166" s="126">
        <f t="shared" ref="F166:H166" si="115">+F313</f>
        <v>0</v>
      </c>
      <c r="G166" s="126">
        <f t="shared" si="115"/>
        <v>2.1320000000000001</v>
      </c>
      <c r="H166" s="126">
        <f t="shared" si="115"/>
        <v>0.997</v>
      </c>
      <c r="I166" s="177">
        <f>AVERAGE(E166:H166)</f>
        <v>0.78225</v>
      </c>
      <c r="J166" s="177">
        <f>+I166</f>
        <v>0.78225</v>
      </c>
      <c r="K166" s="177">
        <f t="shared" si="113"/>
        <v>0.78225</v>
      </c>
      <c r="L166" s="177">
        <f t="shared" si="113"/>
        <v>0.78225</v>
      </c>
      <c r="M166" s="177">
        <f t="shared" si="113"/>
        <v>0.78225</v>
      </c>
      <c r="N166" s="177">
        <f t="shared" si="113"/>
        <v>0.78225</v>
      </c>
      <c r="O166" s="177">
        <f t="shared" si="113"/>
        <v>0.78225</v>
      </c>
      <c r="P166" s="177">
        <f t="shared" si="113"/>
        <v>0.78225</v>
      </c>
      <c r="Q166" s="177">
        <f t="shared" si="113"/>
        <v>0.78225</v>
      </c>
      <c r="R166" s="177">
        <f t="shared" si="113"/>
        <v>0.78225</v>
      </c>
    </row>
    <row r="167" spans="1:19" collapsed="1" x14ac:dyDescent="0.3">
      <c r="A167" s="5"/>
      <c r="B167" s="5"/>
      <c r="C167" s="23"/>
      <c r="D167" s="4"/>
      <c r="E167" s="4"/>
      <c r="F167" s="4"/>
      <c r="G167" s="15"/>
      <c r="H167" s="15"/>
      <c r="I167" s="15"/>
      <c r="J167" s="15"/>
      <c r="K167" s="15"/>
      <c r="L167" s="15"/>
      <c r="M167" s="15"/>
      <c r="N167" s="5"/>
      <c r="O167" s="82"/>
    </row>
    <row r="168" spans="1:19" x14ac:dyDescent="0.3">
      <c r="A168" s="5"/>
      <c r="B168" s="261"/>
      <c r="C168" s="261"/>
      <c r="D168" s="262"/>
      <c r="E168" s="263" t="str">
        <f>$E$32</f>
        <v>Historical</v>
      </c>
      <c r="F168" s="264"/>
      <c r="G168" s="263"/>
      <c r="H168" s="263"/>
      <c r="I168" s="265" t="str">
        <f>$I$32</f>
        <v>Projected</v>
      </c>
      <c r="J168" s="263"/>
      <c r="K168" s="263"/>
      <c r="L168" s="263"/>
      <c r="M168" s="263"/>
      <c r="N168" s="266"/>
      <c r="O168" s="266"/>
      <c r="P168" s="266"/>
      <c r="Q168" s="266"/>
      <c r="R168" s="266"/>
    </row>
    <row r="169" spans="1:19" x14ac:dyDescent="0.3">
      <c r="B169" s="267" t="s">
        <v>39</v>
      </c>
      <c r="C169" s="267"/>
      <c r="D169" s="268" t="str">
        <f>$D$33</f>
        <v>Units</v>
      </c>
      <c r="E169" s="269">
        <f>$E$33</f>
        <v>40543</v>
      </c>
      <c r="F169" s="269">
        <f>$F$33</f>
        <v>40908</v>
      </c>
      <c r="G169" s="269">
        <f>$G$33</f>
        <v>41274</v>
      </c>
      <c r="H169" s="269">
        <f>$H$33</f>
        <v>41639</v>
      </c>
      <c r="I169" s="270">
        <f>$I$33</f>
        <v>42004</v>
      </c>
      <c r="J169" s="269">
        <f>$J$33</f>
        <v>42369</v>
      </c>
      <c r="K169" s="269">
        <f>$K$33</f>
        <v>42735</v>
      </c>
      <c r="L169" s="269">
        <f>$L$33</f>
        <v>43100</v>
      </c>
      <c r="M169" s="269">
        <f>$M$33</f>
        <v>43465</v>
      </c>
      <c r="N169" s="269">
        <f>$N$33</f>
        <v>43830</v>
      </c>
      <c r="O169" s="269">
        <f>$O$33</f>
        <v>44196</v>
      </c>
      <c r="P169" s="269">
        <f>$P$33</f>
        <v>44561</v>
      </c>
      <c r="Q169" s="269">
        <f>$Q$33</f>
        <v>44926</v>
      </c>
      <c r="R169" s="269">
        <f>$R$33</f>
        <v>45291</v>
      </c>
    </row>
    <row r="170" spans="1:19" hidden="1" outlineLevel="1" x14ac:dyDescent="0.3">
      <c r="C170" s="12" t="s">
        <v>7</v>
      </c>
      <c r="D170" s="4"/>
      <c r="E170" s="4"/>
      <c r="F170" s="4"/>
      <c r="G170" s="18"/>
      <c r="H170" s="18"/>
      <c r="I170" s="16"/>
      <c r="J170" s="16"/>
      <c r="K170" s="16"/>
      <c r="L170" s="16"/>
      <c r="M170" s="16"/>
    </row>
    <row r="171" spans="1:19" hidden="1" outlineLevel="1" x14ac:dyDescent="0.3">
      <c r="C171" s="68" t="s">
        <v>78</v>
      </c>
      <c r="D171" s="4"/>
      <c r="E171" s="4"/>
      <c r="F171" s="4"/>
      <c r="G171" s="18"/>
      <c r="H171" s="18"/>
      <c r="I171" s="16"/>
      <c r="J171" s="16"/>
      <c r="K171" s="16"/>
      <c r="L171" s="16"/>
      <c r="M171" s="16"/>
    </row>
    <row r="172" spans="1:19" hidden="1" outlineLevel="1" x14ac:dyDescent="0.3">
      <c r="C172" s="71" t="s">
        <v>76</v>
      </c>
      <c r="D172" s="4" t="s">
        <v>116</v>
      </c>
      <c r="E172" s="34">
        <v>142.63</v>
      </c>
      <c r="F172" s="34">
        <v>233.34800000000001</v>
      </c>
      <c r="G172" s="34">
        <v>378.66300000000001</v>
      </c>
      <c r="H172" s="34">
        <v>569.11300000000006</v>
      </c>
      <c r="I172" s="35">
        <f t="shared" ref="I172:R172" si="116">+I49</f>
        <v>773.67229854117659</v>
      </c>
      <c r="J172" s="35">
        <f t="shared" si="116"/>
        <v>1083.1412179576473</v>
      </c>
      <c r="K172" s="35">
        <f t="shared" si="116"/>
        <v>1455.7417969350779</v>
      </c>
      <c r="L172" s="35">
        <f t="shared" si="116"/>
        <v>1902.1692813285022</v>
      </c>
      <c r="M172" s="35">
        <f t="shared" si="116"/>
        <v>2391.2985250986881</v>
      </c>
      <c r="N172" s="35">
        <f t="shared" si="116"/>
        <v>2959.2319248096269</v>
      </c>
      <c r="O172" s="35">
        <f t="shared" si="116"/>
        <v>3551.0783097715525</v>
      </c>
      <c r="P172" s="35">
        <f t="shared" si="116"/>
        <v>4218.6810320086051</v>
      </c>
      <c r="Q172" s="35">
        <f t="shared" si="116"/>
        <v>376.8</v>
      </c>
      <c r="R172" s="35">
        <f t="shared" si="116"/>
        <v>376.8</v>
      </c>
      <c r="S172" s="95"/>
    </row>
    <row r="173" spans="1:19" hidden="1" outlineLevel="1" x14ac:dyDescent="0.3">
      <c r="C173" s="71" t="s">
        <v>77</v>
      </c>
      <c r="D173" s="4" t="s">
        <v>116</v>
      </c>
      <c r="E173" s="36">
        <v>0</v>
      </c>
      <c r="F173" s="36">
        <v>0</v>
      </c>
      <c r="G173" s="36">
        <v>72.082999999999998</v>
      </c>
      <c r="H173" s="36">
        <v>174.251</v>
      </c>
      <c r="I173" s="37">
        <f t="shared" ref="I173:R173" si="117">+I63</f>
        <v>203.40900066666666</v>
      </c>
      <c r="J173" s="37">
        <f t="shared" si="117"/>
        <v>234.15965547333332</v>
      </c>
      <c r="K173" s="37">
        <f t="shared" si="117"/>
        <v>266.5722814678</v>
      </c>
      <c r="L173" s="37">
        <f t="shared" si="117"/>
        <v>300.71892133200873</v>
      </c>
      <c r="M173" s="37">
        <f t="shared" si="117"/>
        <v>336.67444453474889</v>
      </c>
      <c r="N173" s="37">
        <f t="shared" si="117"/>
        <v>346.77467787079144</v>
      </c>
      <c r="O173" s="37">
        <f t="shared" si="117"/>
        <v>385.7521516634684</v>
      </c>
      <c r="P173" s="37">
        <f t="shared" si="117"/>
        <v>397.32471621337243</v>
      </c>
      <c r="Q173" s="37">
        <f t="shared" si="117"/>
        <v>439.55886197383086</v>
      </c>
      <c r="R173" s="37">
        <f t="shared" si="117"/>
        <v>452.74562783304583</v>
      </c>
      <c r="S173" s="90"/>
    </row>
    <row r="174" spans="1:19" hidden="1" outlineLevel="1" x14ac:dyDescent="0.3">
      <c r="C174" s="153" t="s">
        <v>146</v>
      </c>
      <c r="D174" s="4" t="s">
        <v>116</v>
      </c>
      <c r="E174" s="36">
        <v>0</v>
      </c>
      <c r="F174" s="36">
        <v>0</v>
      </c>
      <c r="G174" s="36">
        <v>0</v>
      </c>
      <c r="H174" s="36">
        <v>0</v>
      </c>
      <c r="I174" s="70">
        <f t="shared" ref="I174:R174" si="118">+I82</f>
        <v>57.823573156874986</v>
      </c>
      <c r="J174" s="70">
        <f t="shared" si="118"/>
        <v>79.796530956487473</v>
      </c>
      <c r="K174" s="70">
        <f t="shared" si="118"/>
        <v>107.06034569995401</v>
      </c>
      <c r="L174" s="70">
        <f t="shared" si="118"/>
        <v>140.70788291993955</v>
      </c>
      <c r="M174" s="70">
        <f t="shared" si="118"/>
        <v>182.04082352767182</v>
      </c>
      <c r="N174" s="70">
        <f t="shared" si="118"/>
        <v>209.34694705682253</v>
      </c>
      <c r="O174" s="70">
        <f t="shared" si="118"/>
        <v>240.74898911534589</v>
      </c>
      <c r="P174" s="70">
        <f t="shared" si="118"/>
        <v>276.8613374826478</v>
      </c>
      <c r="Q174" s="70">
        <f t="shared" si="118"/>
        <v>318.39053810504498</v>
      </c>
      <c r="R174" s="70">
        <f t="shared" si="118"/>
        <v>366.14911882080168</v>
      </c>
      <c r="S174" s="90"/>
    </row>
    <row r="175" spans="1:19" hidden="1" outlineLevel="1" x14ac:dyDescent="0.3">
      <c r="C175" s="167" t="s">
        <v>162</v>
      </c>
      <c r="D175" s="4" t="s">
        <v>116</v>
      </c>
      <c r="E175" s="182">
        <v>31.151</v>
      </c>
      <c r="F175" s="182">
        <v>38.929000000000002</v>
      </c>
      <c r="G175" s="182">
        <v>135.233</v>
      </c>
      <c r="H175" s="182">
        <v>129.059</v>
      </c>
      <c r="I175" s="70">
        <f t="shared" ref="I175:R175" si="119">+I103</f>
        <v>141.9649</v>
      </c>
      <c r="J175" s="70">
        <f t="shared" si="119"/>
        <v>156.16139000000001</v>
      </c>
      <c r="K175" s="70">
        <f t="shared" si="119"/>
        <v>168.65430120000002</v>
      </c>
      <c r="L175" s="70">
        <f t="shared" si="119"/>
        <v>182.14664529600003</v>
      </c>
      <c r="M175" s="70">
        <f t="shared" si="119"/>
        <v>193.07544401376003</v>
      </c>
      <c r="N175" s="70">
        <f t="shared" si="119"/>
        <v>204.65997065458563</v>
      </c>
      <c r="O175" s="70">
        <f t="shared" si="119"/>
        <v>214.89296918731492</v>
      </c>
      <c r="P175" s="70">
        <f t="shared" si="119"/>
        <v>225.63761764668067</v>
      </c>
      <c r="Q175" s="70">
        <f t="shared" si="119"/>
        <v>234.6631223525479</v>
      </c>
      <c r="R175" s="70">
        <f t="shared" si="119"/>
        <v>244.04964724664981</v>
      </c>
      <c r="S175" s="90"/>
    </row>
    <row r="176" spans="1:19" hidden="1" outlineLevel="1" x14ac:dyDescent="0.3">
      <c r="C176" s="166" t="s">
        <v>161</v>
      </c>
      <c r="D176" s="4"/>
      <c r="E176" s="36"/>
      <c r="F176" s="36"/>
      <c r="G176" s="36"/>
      <c r="H176" s="36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3:19" hidden="1" outlineLevel="1" x14ac:dyDescent="0.3">
      <c r="C177" s="71" t="s">
        <v>79</v>
      </c>
      <c r="D177" s="4" t="s">
        <v>116</v>
      </c>
      <c r="E177" s="36">
        <v>0</v>
      </c>
      <c r="F177" s="36">
        <v>0</v>
      </c>
      <c r="G177" s="36">
        <v>0</v>
      </c>
      <c r="H177" s="36">
        <v>0</v>
      </c>
      <c r="I177" s="70">
        <f t="shared" ref="I177:R177" si="120">+I98</f>
        <v>0</v>
      </c>
      <c r="J177" s="70">
        <f t="shared" si="120"/>
        <v>0</v>
      </c>
      <c r="K177" s="70">
        <f t="shared" si="120"/>
        <v>0</v>
      </c>
      <c r="L177" s="70">
        <f t="shared" si="120"/>
        <v>28.532539219927532</v>
      </c>
      <c r="M177" s="70">
        <f t="shared" si="120"/>
        <v>71.738955752960649</v>
      </c>
      <c r="N177" s="70">
        <f t="shared" si="120"/>
        <v>133.16543661643323</v>
      </c>
      <c r="O177" s="70">
        <f t="shared" si="120"/>
        <v>159.79852393971987</v>
      </c>
      <c r="P177" s="70">
        <f t="shared" si="120"/>
        <v>253.12086192051629</v>
      </c>
      <c r="Q177" s="70">
        <f t="shared" si="120"/>
        <v>292.6997603299061</v>
      </c>
      <c r="R177" s="70">
        <f t="shared" si="120"/>
        <v>387.82718243712566</v>
      </c>
      <c r="S177" s="90"/>
    </row>
    <row r="178" spans="3:19" hidden="1" outlineLevel="1" x14ac:dyDescent="0.3">
      <c r="C178" s="71" t="s">
        <v>80</v>
      </c>
      <c r="D178" s="6" t="s">
        <v>116</v>
      </c>
      <c r="E178" s="36">
        <v>0</v>
      </c>
      <c r="F178" s="36">
        <v>0</v>
      </c>
      <c r="G178" s="36">
        <v>0</v>
      </c>
      <c r="H178" s="36">
        <v>0</v>
      </c>
      <c r="I178" s="159">
        <f t="shared" ref="I178:R178" si="121">+I101</f>
        <v>0</v>
      </c>
      <c r="J178" s="159">
        <f t="shared" si="121"/>
        <v>0</v>
      </c>
      <c r="K178" s="159">
        <f t="shared" si="121"/>
        <v>0</v>
      </c>
      <c r="L178" s="159">
        <f t="shared" si="121"/>
        <v>0</v>
      </c>
      <c r="M178" s="159">
        <f t="shared" si="121"/>
        <v>0</v>
      </c>
      <c r="N178" s="159">
        <f t="shared" si="121"/>
        <v>0</v>
      </c>
      <c r="O178" s="159">
        <f t="shared" si="121"/>
        <v>0</v>
      </c>
      <c r="P178" s="159">
        <f t="shared" si="121"/>
        <v>0</v>
      </c>
      <c r="Q178" s="159">
        <f t="shared" si="121"/>
        <v>0</v>
      </c>
      <c r="R178" s="159">
        <f t="shared" si="121"/>
        <v>0</v>
      </c>
      <c r="S178" s="90"/>
    </row>
    <row r="179" spans="3:19" hidden="1" outlineLevel="1" x14ac:dyDescent="0.3">
      <c r="C179" s="27" t="s">
        <v>6</v>
      </c>
      <c r="D179" s="4" t="s">
        <v>116</v>
      </c>
      <c r="E179" s="94">
        <f>SUM(E172:E178)</f>
        <v>173.78100000000001</v>
      </c>
      <c r="F179" s="94">
        <f>SUM(F172:F178)</f>
        <v>272.27700000000004</v>
      </c>
      <c r="G179" s="94">
        <f>SUM(G172:G178)</f>
        <v>585.97900000000004</v>
      </c>
      <c r="H179" s="94">
        <f>SUM(H172:H178)</f>
        <v>872.423</v>
      </c>
      <c r="I179" s="94">
        <f>SUM(I172:I178)</f>
        <v>1176.8697723647181</v>
      </c>
      <c r="J179" s="94">
        <f t="shared" ref="J179:R179" si="122">SUM(J172:J178)</f>
        <v>1553.258794387468</v>
      </c>
      <c r="K179" s="94">
        <f t="shared" si="122"/>
        <v>1998.0287253028318</v>
      </c>
      <c r="L179" s="94">
        <f t="shared" si="122"/>
        <v>2554.2752700963779</v>
      </c>
      <c r="M179" s="94">
        <f t="shared" si="122"/>
        <v>3174.8281929278291</v>
      </c>
      <c r="N179" s="94">
        <f t="shared" si="122"/>
        <v>3853.1789570082601</v>
      </c>
      <c r="O179" s="94">
        <f t="shared" si="122"/>
        <v>4552.2709436774003</v>
      </c>
      <c r="P179" s="94">
        <f t="shared" si="122"/>
        <v>5371.6255652718228</v>
      </c>
      <c r="Q179" s="94">
        <f t="shared" si="122"/>
        <v>1662.1122827613299</v>
      </c>
      <c r="R179" s="94">
        <f t="shared" si="122"/>
        <v>1827.5715763376229</v>
      </c>
      <c r="S179" s="90"/>
    </row>
    <row r="180" spans="3:19" hidden="1" outlineLevel="1" x14ac:dyDescent="0.3">
      <c r="C180" s="74" t="s">
        <v>11</v>
      </c>
      <c r="D180" s="4" t="s">
        <v>10</v>
      </c>
      <c r="E180" s="24">
        <f>+E179/128.449-1</f>
        <v>0.3529182788499714</v>
      </c>
      <c r="F180" s="24">
        <f t="shared" ref="F180:G180" si="123">+F179/E179-1</f>
        <v>0.5667823294836607</v>
      </c>
      <c r="G180" s="24">
        <f t="shared" si="123"/>
        <v>1.1521428545194783</v>
      </c>
      <c r="H180" s="24">
        <f t="shared" ref="H180:I180" si="124">+H179/G179-1</f>
        <v>0.48882980448104796</v>
      </c>
      <c r="I180" s="24">
        <f t="shared" si="124"/>
        <v>0.34896692586591382</v>
      </c>
      <c r="J180" s="24">
        <f t="shared" ref="J180" si="125">+J179/I179-1</f>
        <v>0.31982215098146383</v>
      </c>
      <c r="K180" s="24">
        <f t="shared" ref="K180" si="126">+K179/J179-1</f>
        <v>0.28634631429256463</v>
      </c>
      <c r="L180" s="24">
        <f t="shared" ref="L180" si="127">+L179/K179-1</f>
        <v>0.27839767153960127</v>
      </c>
      <c r="M180" s="24">
        <f t="shared" ref="M180" si="128">+M179/L179-1</f>
        <v>0.24294676853996111</v>
      </c>
      <c r="N180" s="24">
        <f t="shared" ref="N180" si="129">+N179/M179-1</f>
        <v>0.21366534592061037</v>
      </c>
      <c r="O180" s="24">
        <f t="shared" ref="O180" si="130">+O179/N179-1</f>
        <v>0.18143252479815764</v>
      </c>
      <c r="P180" s="24">
        <f t="shared" ref="P180" si="131">+P179/O179-1</f>
        <v>0.17998810521865249</v>
      </c>
      <c r="Q180" s="24">
        <f t="shared" ref="Q180" si="132">+Q179/P179-1</f>
        <v>-0.69057555062901677</v>
      </c>
      <c r="R180" s="24">
        <f t="shared" ref="R180" si="133">+R179/Q179-1</f>
        <v>9.9547602946179481E-2</v>
      </c>
      <c r="S180" s="90"/>
    </row>
    <row r="181" spans="3:19" hidden="1" outlineLevel="1" x14ac:dyDescent="0.3">
      <c r="C181" s="11"/>
      <c r="D181" s="25"/>
      <c r="E181" s="96"/>
      <c r="F181" s="91"/>
      <c r="G181" s="92"/>
      <c r="H181" s="115"/>
      <c r="I181" s="93"/>
      <c r="J181" s="93"/>
      <c r="K181" s="93"/>
      <c r="L181" s="93"/>
      <c r="M181" s="93"/>
      <c r="N181" s="93"/>
      <c r="O181" s="93"/>
      <c r="P181" s="93"/>
      <c r="Q181" s="93"/>
      <c r="R181" s="93"/>
    </row>
    <row r="182" spans="3:19" hidden="1" outlineLevel="1" x14ac:dyDescent="0.3">
      <c r="C182" s="72" t="s">
        <v>164</v>
      </c>
      <c r="D182" s="6" t="s">
        <v>116</v>
      </c>
      <c r="E182" s="73">
        <v>13.558999999999999</v>
      </c>
      <c r="F182" s="73">
        <v>13.942</v>
      </c>
      <c r="G182" s="73">
        <v>78.424999999999997</v>
      </c>
      <c r="H182" s="73">
        <v>102.146</v>
      </c>
      <c r="I182" s="84">
        <f t="shared" ref="I182:R182" si="134">+I179*I109</f>
        <v>111.84607316622088</v>
      </c>
      <c r="J182" s="84">
        <f t="shared" si="134"/>
        <v>147.61692486507184</v>
      </c>
      <c r="K182" s="84">
        <f t="shared" si="134"/>
        <v>189.88648722738759</v>
      </c>
      <c r="L182" s="84">
        <f t="shared" si="134"/>
        <v>242.75044312832654</v>
      </c>
      <c r="M182" s="84">
        <f t="shared" si="134"/>
        <v>301.72587884799708</v>
      </c>
      <c r="N182" s="84">
        <f t="shared" si="134"/>
        <v>366.19424312525456</v>
      </c>
      <c r="O182" s="84">
        <f t="shared" si="134"/>
        <v>432.6337892220198</v>
      </c>
      <c r="P182" s="84">
        <f t="shared" si="134"/>
        <v>510.50272519765707</v>
      </c>
      <c r="Q182" s="84">
        <f t="shared" si="134"/>
        <v>157.96202464667135</v>
      </c>
      <c r="R182" s="84">
        <f t="shared" si="134"/>
        <v>173.68676555677283</v>
      </c>
    </row>
    <row r="183" spans="3:19" hidden="1" outlineLevel="1" x14ac:dyDescent="0.3">
      <c r="C183" s="28" t="s">
        <v>8</v>
      </c>
      <c r="D183" s="4" t="s">
        <v>116</v>
      </c>
      <c r="E183" s="39">
        <f t="shared" ref="E183:H183" si="135">+E179-E182</f>
        <v>160.22200000000001</v>
      </c>
      <c r="F183" s="39">
        <f t="shared" si="135"/>
        <v>258.33500000000004</v>
      </c>
      <c r="G183" s="39">
        <f t="shared" si="135"/>
        <v>507.55400000000003</v>
      </c>
      <c r="H183" s="39">
        <f t="shared" si="135"/>
        <v>770.27700000000004</v>
      </c>
      <c r="I183" s="39">
        <f t="shared" ref="I183" si="136">+I179-I182</f>
        <v>1065.0236991984973</v>
      </c>
      <c r="J183" s="39">
        <f t="shared" ref="J183:R183" si="137">+J179-J182</f>
        <v>1405.6418695223961</v>
      </c>
      <c r="K183" s="39">
        <f t="shared" si="137"/>
        <v>1808.1422380754443</v>
      </c>
      <c r="L183" s="39">
        <f t="shared" si="137"/>
        <v>2311.5248269680515</v>
      </c>
      <c r="M183" s="39">
        <f t="shared" si="137"/>
        <v>2873.102314079832</v>
      </c>
      <c r="N183" s="39">
        <f t="shared" si="137"/>
        <v>3486.9847138830055</v>
      </c>
      <c r="O183" s="39">
        <f t="shared" si="137"/>
        <v>4119.6371544553804</v>
      </c>
      <c r="P183" s="39">
        <f t="shared" si="137"/>
        <v>4861.1228400741657</v>
      </c>
      <c r="Q183" s="39">
        <f t="shared" si="137"/>
        <v>1504.1502581146585</v>
      </c>
      <c r="R183" s="39">
        <f t="shared" si="137"/>
        <v>1653.8848107808501</v>
      </c>
    </row>
    <row r="184" spans="3:19" hidden="1" outlineLevel="1" x14ac:dyDescent="0.3">
      <c r="C184" s="74" t="s">
        <v>9</v>
      </c>
      <c r="D184" s="4" t="s">
        <v>10</v>
      </c>
      <c r="E184" s="24">
        <f t="shared" ref="E184:H184" si="138">+E183/E179</f>
        <v>0.92197651066572295</v>
      </c>
      <c r="F184" s="24">
        <f t="shared" si="138"/>
        <v>0.94879479353746365</v>
      </c>
      <c r="G184" s="24">
        <f t="shared" si="138"/>
        <v>0.86616414581409917</v>
      </c>
      <c r="H184" s="24">
        <f t="shared" si="138"/>
        <v>0.88291688779410915</v>
      </c>
      <c r="I184" s="24">
        <f t="shared" ref="I184" si="139">+I183/I179</f>
        <v>0.90496308445284879</v>
      </c>
      <c r="J184" s="24">
        <f t="shared" ref="J184:R184" si="140">+J183/J179</f>
        <v>0.90496308445284868</v>
      </c>
      <c r="K184" s="24">
        <f t="shared" si="140"/>
        <v>0.90496308445284868</v>
      </c>
      <c r="L184" s="24">
        <f t="shared" si="140"/>
        <v>0.90496308445284879</v>
      </c>
      <c r="M184" s="24">
        <f t="shared" si="140"/>
        <v>0.90496308445284868</v>
      </c>
      <c r="N184" s="24">
        <f t="shared" si="140"/>
        <v>0.90496308445284868</v>
      </c>
      <c r="O184" s="24">
        <f t="shared" si="140"/>
        <v>0.90496308445284868</v>
      </c>
      <c r="P184" s="24">
        <f t="shared" si="140"/>
        <v>0.90496308445284868</v>
      </c>
      <c r="Q184" s="24">
        <f t="shared" si="140"/>
        <v>0.90496308445284868</v>
      </c>
      <c r="R184" s="24">
        <f t="shared" si="140"/>
        <v>0.90496308445284868</v>
      </c>
    </row>
    <row r="185" spans="3:19" hidden="1" outlineLevel="1" x14ac:dyDescent="0.3">
      <c r="C185" s="21"/>
      <c r="D185" s="4"/>
      <c r="E185" s="4"/>
      <c r="F185" s="4"/>
      <c r="G185" s="18"/>
      <c r="H185" s="18"/>
      <c r="I185" s="16"/>
      <c r="J185" s="16"/>
      <c r="K185" s="16"/>
      <c r="L185" s="16"/>
      <c r="M185" s="16"/>
      <c r="N185" s="16"/>
      <c r="O185" s="16"/>
      <c r="P185" s="16"/>
      <c r="Q185" s="16"/>
      <c r="R185" s="16"/>
    </row>
    <row r="186" spans="3:19" hidden="1" outlineLevel="1" x14ac:dyDescent="0.3">
      <c r="C186" s="11" t="s">
        <v>17</v>
      </c>
      <c r="D186" s="4"/>
      <c r="E186" s="4"/>
      <c r="F186" s="4"/>
      <c r="G186" s="18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</row>
    <row r="187" spans="3:19" hidden="1" outlineLevel="1" x14ac:dyDescent="0.3">
      <c r="C187" s="166" t="s">
        <v>163</v>
      </c>
      <c r="D187" s="4" t="s">
        <v>116</v>
      </c>
      <c r="E187" s="81">
        <v>68.995999999999995</v>
      </c>
      <c r="F187" s="81">
        <v>108.93600000000001</v>
      </c>
      <c r="G187" s="81">
        <v>223.88200000000001</v>
      </c>
      <c r="H187" s="81">
        <v>304.303</v>
      </c>
      <c r="I187" s="85">
        <f t="shared" ref="I187:R187" si="141">+I111*I114/Units</f>
        <v>376.59832715670979</v>
      </c>
      <c r="J187" s="85">
        <f t="shared" si="141"/>
        <v>465.97763831624042</v>
      </c>
      <c r="K187" s="85">
        <f t="shared" si="141"/>
        <v>614.77806932394822</v>
      </c>
      <c r="L187" s="85">
        <f t="shared" si="141"/>
        <v>802.77222774457596</v>
      </c>
      <c r="M187" s="85">
        <f t="shared" si="141"/>
        <v>1015.9450217369055</v>
      </c>
      <c r="N187" s="85">
        <f t="shared" si="141"/>
        <v>1252.2831610276846</v>
      </c>
      <c r="O187" s="85">
        <f t="shared" si="141"/>
        <v>1499.5716049760847</v>
      </c>
      <c r="P187" s="85">
        <f t="shared" si="141"/>
        <v>1790.5418550906077</v>
      </c>
      <c r="Q187" s="85">
        <f t="shared" si="141"/>
        <v>559.86940050907958</v>
      </c>
      <c r="R187" s="85">
        <f t="shared" si="141"/>
        <v>621.37433595479172</v>
      </c>
    </row>
    <row r="188" spans="3:19" hidden="1" outlineLevel="1" x14ac:dyDescent="0.3">
      <c r="C188" s="171" t="s">
        <v>167</v>
      </c>
      <c r="D188" s="4" t="s">
        <v>116</v>
      </c>
      <c r="E188" s="36">
        <v>25.611999999999998</v>
      </c>
      <c r="F188" s="36">
        <v>14.12</v>
      </c>
      <c r="G188" s="36">
        <v>20.477</v>
      </c>
      <c r="H188" s="36">
        <v>42.62</v>
      </c>
      <c r="I188" s="85">
        <f t="shared" ref="I188:R188" si="142">+I179*I116</f>
        <v>83.274492634780174</v>
      </c>
      <c r="J188" s="85">
        <f t="shared" si="142"/>
        <v>116.49440957906009</v>
      </c>
      <c r="K188" s="85">
        <f t="shared" si="142"/>
        <v>159.84229802422655</v>
      </c>
      <c r="L188" s="85">
        <f t="shared" si="142"/>
        <v>217.11339795819214</v>
      </c>
      <c r="M188" s="85">
        <f t="shared" si="142"/>
        <v>285.73453736350461</v>
      </c>
      <c r="N188" s="85">
        <f t="shared" si="142"/>
        <v>366.05200091578473</v>
      </c>
      <c r="O188" s="85">
        <f t="shared" si="142"/>
        <v>455.22709436774005</v>
      </c>
      <c r="P188" s="85">
        <f t="shared" si="142"/>
        <v>537.16255652718235</v>
      </c>
      <c r="Q188" s="85">
        <f t="shared" si="142"/>
        <v>166.211228276133</v>
      </c>
      <c r="R188" s="85">
        <f t="shared" si="142"/>
        <v>182.75715763376229</v>
      </c>
    </row>
    <row r="189" spans="3:19" hidden="1" outlineLevel="1" x14ac:dyDescent="0.3">
      <c r="C189" s="193" t="s">
        <v>191</v>
      </c>
      <c r="D189" s="4" t="s">
        <v>116</v>
      </c>
      <c r="E189" s="36">
        <v>0</v>
      </c>
      <c r="F189" s="36">
        <v>0</v>
      </c>
      <c r="G189" s="36">
        <v>0</v>
      </c>
      <c r="H189" s="36">
        <v>4</v>
      </c>
      <c r="I189" s="164">
        <f t="shared" ref="I189:R189" si="143">+I118</f>
        <v>127</v>
      </c>
      <c r="J189" s="164">
        <f t="shared" si="143"/>
        <v>0</v>
      </c>
      <c r="K189" s="164">
        <f t="shared" si="143"/>
        <v>0</v>
      </c>
      <c r="L189" s="164">
        <f t="shared" si="143"/>
        <v>0</v>
      </c>
      <c r="M189" s="164">
        <f t="shared" si="143"/>
        <v>0</v>
      </c>
      <c r="N189" s="164">
        <f t="shared" si="143"/>
        <v>0</v>
      </c>
      <c r="O189" s="164">
        <f t="shared" si="143"/>
        <v>0</v>
      </c>
      <c r="P189" s="164">
        <f t="shared" si="143"/>
        <v>0</v>
      </c>
      <c r="Q189" s="164">
        <f t="shared" si="143"/>
        <v>0</v>
      </c>
      <c r="R189" s="164">
        <f t="shared" si="143"/>
        <v>0</v>
      </c>
    </row>
    <row r="190" spans="3:19" hidden="1" outlineLevel="1" x14ac:dyDescent="0.3">
      <c r="C190" s="69" t="s">
        <v>70</v>
      </c>
      <c r="D190" s="6" t="s">
        <v>116</v>
      </c>
      <c r="E190" s="36">
        <v>7.8250000000000002</v>
      </c>
      <c r="F190" s="36">
        <v>7.4480000000000004</v>
      </c>
      <c r="G190" s="36">
        <v>65.350999999999999</v>
      </c>
      <c r="H190" s="36">
        <v>79.042000000000002</v>
      </c>
      <c r="I190" s="181">
        <f t="shared" ref="I190:R190" si="144">+I120</f>
        <v>129.47</v>
      </c>
      <c r="J190" s="181">
        <f t="shared" si="144"/>
        <v>126.17</v>
      </c>
      <c r="K190" s="181">
        <f t="shared" si="144"/>
        <v>121.82</v>
      </c>
      <c r="L190" s="181">
        <f t="shared" si="144"/>
        <v>121.72799999999999</v>
      </c>
      <c r="M190" s="181">
        <f t="shared" si="144"/>
        <v>118.196</v>
      </c>
      <c r="N190" s="181">
        <f t="shared" si="144"/>
        <v>100.65922222222223</v>
      </c>
      <c r="O190" s="181">
        <f t="shared" si="144"/>
        <v>100.65922222222223</v>
      </c>
      <c r="P190" s="181">
        <f t="shared" si="144"/>
        <v>100.65922222222223</v>
      </c>
      <c r="Q190" s="181">
        <f t="shared" si="144"/>
        <v>100.65922222222223</v>
      </c>
      <c r="R190" s="181">
        <f t="shared" si="144"/>
        <v>100.65922222222223</v>
      </c>
    </row>
    <row r="191" spans="3:19" hidden="1" outlineLevel="1" x14ac:dyDescent="0.3">
      <c r="C191" s="12" t="s">
        <v>12</v>
      </c>
      <c r="D191" s="4" t="s">
        <v>116</v>
      </c>
      <c r="E191" s="38">
        <f>SUM(E187:E190)</f>
        <v>102.43299999999999</v>
      </c>
      <c r="F191" s="38">
        <f t="shared" ref="F191:H191" si="145">SUM(F187:F190)</f>
        <v>130.50400000000002</v>
      </c>
      <c r="G191" s="38">
        <f t="shared" si="145"/>
        <v>309.71000000000004</v>
      </c>
      <c r="H191" s="38">
        <f t="shared" si="145"/>
        <v>429.96500000000003</v>
      </c>
      <c r="I191" s="38">
        <f>SUM(I187:I190)</f>
        <v>716.34281979149</v>
      </c>
      <c r="J191" s="38">
        <f t="shared" ref="J191:R191" si="146">SUM(J187:J190)</f>
        <v>708.64204789530049</v>
      </c>
      <c r="K191" s="38">
        <f t="shared" si="146"/>
        <v>896.44036734817473</v>
      </c>
      <c r="L191" s="38">
        <f t="shared" si="146"/>
        <v>1141.6136257027681</v>
      </c>
      <c r="M191" s="38">
        <f t="shared" si="146"/>
        <v>1419.8755591004101</v>
      </c>
      <c r="N191" s="38">
        <f t="shared" si="146"/>
        <v>1718.9943841656916</v>
      </c>
      <c r="O191" s="38">
        <f t="shared" si="146"/>
        <v>2055.4579215660469</v>
      </c>
      <c r="P191" s="38">
        <f t="shared" si="146"/>
        <v>2428.363633840012</v>
      </c>
      <c r="Q191" s="38">
        <f t="shared" si="146"/>
        <v>826.73985100743482</v>
      </c>
      <c r="R191" s="38">
        <f t="shared" si="146"/>
        <v>904.79071581077619</v>
      </c>
    </row>
    <row r="192" spans="3:19" hidden="1" outlineLevel="1" x14ac:dyDescent="0.3">
      <c r="C192" s="5"/>
      <c r="D192" s="4"/>
      <c r="E192" s="4"/>
      <c r="F192" s="4"/>
      <c r="G192" s="18"/>
      <c r="H192" s="18"/>
      <c r="I192" s="16"/>
      <c r="J192" s="16"/>
      <c r="K192" s="16"/>
      <c r="L192" s="16"/>
      <c r="M192" s="16"/>
      <c r="N192" s="16"/>
      <c r="O192" s="16"/>
      <c r="P192" s="16"/>
      <c r="Q192" s="16"/>
      <c r="R192" s="16"/>
    </row>
    <row r="193" spans="3:19" hidden="1" outlineLevel="1" x14ac:dyDescent="0.3">
      <c r="C193" s="11" t="s">
        <v>13</v>
      </c>
      <c r="D193" s="4" t="s">
        <v>116</v>
      </c>
      <c r="E193" s="39">
        <f t="shared" ref="E193:H193" si="147">+E183-E191</f>
        <v>57.789000000000016</v>
      </c>
      <c r="F193" s="39">
        <f t="shared" si="147"/>
        <v>127.83100000000002</v>
      </c>
      <c r="G193" s="39">
        <f t="shared" si="147"/>
        <v>197.84399999999999</v>
      </c>
      <c r="H193" s="39">
        <f t="shared" si="147"/>
        <v>340.31200000000001</v>
      </c>
      <c r="I193" s="39">
        <f t="shared" ref="I193" si="148">+I183-I191</f>
        <v>348.6808794070073</v>
      </c>
      <c r="J193" s="39">
        <f t="shared" ref="J193:R193" si="149">+J183-J191</f>
        <v>696.99982162709557</v>
      </c>
      <c r="K193" s="39">
        <f t="shared" si="149"/>
        <v>911.70187072726958</v>
      </c>
      <c r="L193" s="39">
        <f t="shared" si="149"/>
        <v>1169.9112012652834</v>
      </c>
      <c r="M193" s="39">
        <f t="shared" si="149"/>
        <v>1453.2267549794219</v>
      </c>
      <c r="N193" s="39">
        <f t="shared" si="149"/>
        <v>1767.9903297173139</v>
      </c>
      <c r="O193" s="39">
        <f t="shared" si="149"/>
        <v>2064.1792328893334</v>
      </c>
      <c r="P193" s="39">
        <f t="shared" si="149"/>
        <v>2432.7592062341537</v>
      </c>
      <c r="Q193" s="39">
        <f t="shared" si="149"/>
        <v>677.4104071072237</v>
      </c>
      <c r="R193" s="39">
        <f t="shared" si="149"/>
        <v>749.09409497007391</v>
      </c>
    </row>
    <row r="194" spans="3:19" hidden="1" outlineLevel="1" x14ac:dyDescent="0.3">
      <c r="C194" s="20" t="s">
        <v>14</v>
      </c>
      <c r="D194" s="4" t="s">
        <v>10</v>
      </c>
      <c r="E194" s="30">
        <f t="shared" ref="E194:H194" si="150">+E193/E179</f>
        <v>0.33253923041068939</v>
      </c>
      <c r="F194" s="30">
        <f t="shared" si="150"/>
        <v>0.46948879266335386</v>
      </c>
      <c r="G194" s="30">
        <f t="shared" si="150"/>
        <v>0.3376298468033837</v>
      </c>
      <c r="H194" s="30">
        <f t="shared" si="150"/>
        <v>0.39007683199548843</v>
      </c>
      <c r="I194" s="30">
        <f t="shared" ref="I194" si="151">+I193/I179</f>
        <v>0.29627821836768975</v>
      </c>
      <c r="J194" s="30">
        <f t="shared" ref="J194:R194" si="152">+J193/J179</f>
        <v>0.44873386466288084</v>
      </c>
      <c r="K194" s="30">
        <f t="shared" si="152"/>
        <v>0.45630068235835158</v>
      </c>
      <c r="L194" s="30">
        <f t="shared" si="152"/>
        <v>0.45802079946580709</v>
      </c>
      <c r="M194" s="30">
        <f t="shared" si="152"/>
        <v>0.45773398328029052</v>
      </c>
      <c r="N194" s="30">
        <f t="shared" si="152"/>
        <v>0.45883940233340265</v>
      </c>
      <c r="O194" s="30">
        <f t="shared" si="152"/>
        <v>0.45343944998622054</v>
      </c>
      <c r="P194" s="30">
        <f t="shared" si="152"/>
        <v>0.45289068954512052</v>
      </c>
      <c r="Q194" s="30">
        <f t="shared" si="152"/>
        <v>0.40755995496394276</v>
      </c>
      <c r="R194" s="30">
        <f t="shared" si="152"/>
        <v>0.40988495589936191</v>
      </c>
    </row>
    <row r="195" spans="3:19" hidden="1" outlineLevel="1" x14ac:dyDescent="0.3">
      <c r="C195" s="5"/>
      <c r="D195" s="4"/>
      <c r="E195" s="4"/>
      <c r="F195" s="4"/>
      <c r="G195" s="18"/>
      <c r="H195" s="18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3:19" hidden="1" outlineLevel="1" x14ac:dyDescent="0.3">
      <c r="C196" s="11" t="s">
        <v>72</v>
      </c>
      <c r="D196" s="4"/>
      <c r="E196" s="4"/>
      <c r="F196" s="4"/>
      <c r="G196" s="18"/>
      <c r="H196" s="18"/>
      <c r="I196" s="16"/>
      <c r="J196" s="16"/>
      <c r="K196" s="16"/>
      <c r="L196" s="16"/>
      <c r="M196" s="16"/>
      <c r="N196" s="16"/>
      <c r="O196" s="16"/>
      <c r="P196" s="16"/>
      <c r="Q196" s="16"/>
      <c r="R196" s="16"/>
    </row>
    <row r="197" spans="3:19" hidden="1" outlineLevel="1" x14ac:dyDescent="0.3">
      <c r="C197" s="69" t="s">
        <v>71</v>
      </c>
      <c r="D197" s="4" t="s">
        <v>116</v>
      </c>
      <c r="E197" s="36">
        <v>-12.724</v>
      </c>
      <c r="F197" s="36">
        <v>-1.6</v>
      </c>
      <c r="G197" s="36">
        <v>-16.869</v>
      </c>
      <c r="H197" s="36">
        <v>-26.916</v>
      </c>
      <c r="I197" s="178">
        <f t="shared" ref="I197:R197" si="153">+I122</f>
        <v>-48.631999999999998</v>
      </c>
      <c r="J197" s="178">
        <f t="shared" si="153"/>
        <v>-38.105000000000004</v>
      </c>
      <c r="K197" s="178">
        <f t="shared" si="153"/>
        <v>-38.105000000000004</v>
      </c>
      <c r="L197" s="178">
        <f t="shared" si="153"/>
        <v>-18.127000000000002</v>
      </c>
      <c r="M197" s="178">
        <f t="shared" si="153"/>
        <v>-18.127000000000002</v>
      </c>
      <c r="N197" s="178">
        <f t="shared" si="153"/>
        <v>-0.2</v>
      </c>
      <c r="O197" s="178">
        <f t="shared" si="153"/>
        <v>0</v>
      </c>
      <c r="P197" s="178">
        <f t="shared" si="153"/>
        <v>0</v>
      </c>
      <c r="Q197" s="178">
        <f t="shared" si="153"/>
        <v>0</v>
      </c>
      <c r="R197" s="178">
        <f t="shared" si="153"/>
        <v>0</v>
      </c>
      <c r="S197" s="90"/>
    </row>
    <row r="198" spans="3:19" hidden="1" outlineLevel="1" x14ac:dyDescent="0.3">
      <c r="C198" s="187" t="s">
        <v>171</v>
      </c>
      <c r="D198" s="4" t="s">
        <v>116</v>
      </c>
      <c r="E198" s="36">
        <v>-12.287000000000001</v>
      </c>
      <c r="F198" s="36">
        <v>-1.2470000000000001</v>
      </c>
      <c r="G198" s="36">
        <v>-3.62</v>
      </c>
      <c r="H198" s="36">
        <v>-5.4459999999999997</v>
      </c>
      <c r="I198" s="178">
        <f t="shared" ref="I198:R198" si="154">+I123</f>
        <v>0</v>
      </c>
      <c r="J198" s="178">
        <f t="shared" si="154"/>
        <v>0</v>
      </c>
      <c r="K198" s="178">
        <f t="shared" si="154"/>
        <v>0</v>
      </c>
      <c r="L198" s="178">
        <f t="shared" si="154"/>
        <v>0</v>
      </c>
      <c r="M198" s="178">
        <f t="shared" si="154"/>
        <v>0</v>
      </c>
      <c r="N198" s="178">
        <f t="shared" si="154"/>
        <v>0</v>
      </c>
      <c r="O198" s="178">
        <f t="shared" si="154"/>
        <v>0</v>
      </c>
      <c r="P198" s="178">
        <f t="shared" si="154"/>
        <v>0</v>
      </c>
      <c r="Q198" s="178">
        <f t="shared" si="154"/>
        <v>0</v>
      </c>
      <c r="R198" s="178">
        <f t="shared" si="154"/>
        <v>0</v>
      </c>
    </row>
    <row r="199" spans="3:19" hidden="1" outlineLevel="1" x14ac:dyDescent="0.3">
      <c r="C199" s="180" t="s">
        <v>85</v>
      </c>
      <c r="D199" s="6" t="s">
        <v>116</v>
      </c>
      <c r="E199" s="198">
        <v>0</v>
      </c>
      <c r="F199" s="198">
        <v>0</v>
      </c>
      <c r="G199" s="198">
        <v>0</v>
      </c>
      <c r="H199" s="198">
        <v>0</v>
      </c>
      <c r="I199" s="179">
        <f t="shared" ref="I199:R199" si="155">+I124</f>
        <v>0</v>
      </c>
      <c r="J199" s="179">
        <f t="shared" si="155"/>
        <v>0</v>
      </c>
      <c r="K199" s="179">
        <f t="shared" si="155"/>
        <v>0</v>
      </c>
      <c r="L199" s="179">
        <f t="shared" si="155"/>
        <v>0</v>
      </c>
      <c r="M199" s="179">
        <f t="shared" si="155"/>
        <v>0</v>
      </c>
      <c r="N199" s="179">
        <f t="shared" si="155"/>
        <v>0</v>
      </c>
      <c r="O199" s="179">
        <f t="shared" si="155"/>
        <v>0</v>
      </c>
      <c r="P199" s="179">
        <f t="shared" si="155"/>
        <v>0</v>
      </c>
      <c r="Q199" s="179">
        <f t="shared" si="155"/>
        <v>0</v>
      </c>
      <c r="R199" s="179">
        <f t="shared" si="155"/>
        <v>0</v>
      </c>
    </row>
    <row r="200" spans="3:19" hidden="1" outlineLevel="1" x14ac:dyDescent="0.3">
      <c r="C200" s="11" t="s">
        <v>73</v>
      </c>
      <c r="D200" s="4" t="s">
        <v>116</v>
      </c>
      <c r="E200" s="76">
        <f t="shared" ref="E200:H200" si="156">SUM(E197:E199)</f>
        <v>-25.011000000000003</v>
      </c>
      <c r="F200" s="76">
        <f t="shared" si="156"/>
        <v>-2.8470000000000004</v>
      </c>
      <c r="G200" s="76">
        <f t="shared" si="156"/>
        <v>-20.489000000000001</v>
      </c>
      <c r="H200" s="76">
        <f t="shared" si="156"/>
        <v>-32.362000000000002</v>
      </c>
      <c r="I200" s="76">
        <f>SUM(I197:I199)</f>
        <v>-48.631999999999998</v>
      </c>
      <c r="J200" s="76">
        <f t="shared" ref="J200:R200" si="157">SUM(J197:J199)</f>
        <v>-38.105000000000004</v>
      </c>
      <c r="K200" s="76">
        <f t="shared" si="157"/>
        <v>-38.105000000000004</v>
      </c>
      <c r="L200" s="76">
        <f t="shared" si="157"/>
        <v>-18.127000000000002</v>
      </c>
      <c r="M200" s="76">
        <f t="shared" si="157"/>
        <v>-18.127000000000002</v>
      </c>
      <c r="N200" s="76">
        <f t="shared" si="157"/>
        <v>-0.2</v>
      </c>
      <c r="O200" s="76">
        <f t="shared" si="157"/>
        <v>0</v>
      </c>
      <c r="P200" s="76">
        <f t="shared" si="157"/>
        <v>0</v>
      </c>
      <c r="Q200" s="76">
        <f t="shared" si="157"/>
        <v>0</v>
      </c>
      <c r="R200" s="76">
        <f t="shared" si="157"/>
        <v>0</v>
      </c>
    </row>
    <row r="201" spans="3:19" hidden="1" outlineLevel="1" x14ac:dyDescent="0.3">
      <c r="C201" s="75"/>
      <c r="D201" s="25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3:19" hidden="1" outlineLevel="1" x14ac:dyDescent="0.3">
      <c r="C202" s="78" t="s">
        <v>75</v>
      </c>
      <c r="D202" s="4" t="s">
        <v>116</v>
      </c>
      <c r="E202" s="76">
        <f>+E193+E200</f>
        <v>32.778000000000013</v>
      </c>
      <c r="F202" s="76">
        <f t="shared" ref="F202:I202" si="158">+F193+F200</f>
        <v>124.98400000000002</v>
      </c>
      <c r="G202" s="76">
        <f t="shared" si="158"/>
        <v>177.35499999999999</v>
      </c>
      <c r="H202" s="76">
        <f t="shared" si="158"/>
        <v>307.95</v>
      </c>
      <c r="I202" s="76">
        <f t="shared" si="158"/>
        <v>300.04887940700729</v>
      </c>
      <c r="J202" s="76">
        <f t="shared" ref="J202:R202" si="159">+J193+J200</f>
        <v>658.89482162709555</v>
      </c>
      <c r="K202" s="76">
        <f t="shared" si="159"/>
        <v>873.59687072726956</v>
      </c>
      <c r="L202" s="76">
        <f t="shared" si="159"/>
        <v>1151.7842012652834</v>
      </c>
      <c r="M202" s="76">
        <f t="shared" si="159"/>
        <v>1435.099754979422</v>
      </c>
      <c r="N202" s="76">
        <f t="shared" si="159"/>
        <v>1767.7903297173139</v>
      </c>
      <c r="O202" s="76">
        <f t="shared" si="159"/>
        <v>2064.1792328893334</v>
      </c>
      <c r="P202" s="76">
        <f t="shared" si="159"/>
        <v>2432.7592062341537</v>
      </c>
      <c r="Q202" s="76">
        <f t="shared" si="159"/>
        <v>677.4104071072237</v>
      </c>
      <c r="R202" s="76">
        <f t="shared" si="159"/>
        <v>749.09409497007391</v>
      </c>
    </row>
    <row r="203" spans="3:19" hidden="1" outlineLevel="1" x14ac:dyDescent="0.3">
      <c r="C203" s="185" t="s">
        <v>170</v>
      </c>
      <c r="D203" s="6" t="s">
        <v>116</v>
      </c>
      <c r="E203" s="79">
        <v>0</v>
      </c>
      <c r="F203" s="79">
        <v>0</v>
      </c>
      <c r="G203" s="79">
        <v>-83.793999999999997</v>
      </c>
      <c r="H203" s="79">
        <v>91.638000000000005</v>
      </c>
      <c r="I203" s="89">
        <f t="shared" ref="I203:R203" si="160">+I202*Tax_Rate</f>
        <v>54.008798293261307</v>
      </c>
      <c r="J203" s="89">
        <f t="shared" si="160"/>
        <v>118.6010678928772</v>
      </c>
      <c r="K203" s="89">
        <f t="shared" si="160"/>
        <v>157.2474367309085</v>
      </c>
      <c r="L203" s="89">
        <f t="shared" si="160"/>
        <v>207.321156227751</v>
      </c>
      <c r="M203" s="89">
        <f t="shared" si="160"/>
        <v>258.31795589629593</v>
      </c>
      <c r="N203" s="89">
        <f t="shared" si="160"/>
        <v>318.2022593491165</v>
      </c>
      <c r="O203" s="89">
        <f t="shared" si="160"/>
        <v>371.55226192008001</v>
      </c>
      <c r="P203" s="89">
        <f t="shared" si="160"/>
        <v>437.89665712214764</v>
      </c>
      <c r="Q203" s="89">
        <f t="shared" si="160"/>
        <v>121.93387327930026</v>
      </c>
      <c r="R203" s="89">
        <f t="shared" si="160"/>
        <v>134.83693709461329</v>
      </c>
    </row>
    <row r="204" spans="3:19" hidden="1" outlineLevel="1" x14ac:dyDescent="0.3">
      <c r="C204" s="78" t="s">
        <v>74</v>
      </c>
      <c r="D204" s="4" t="s">
        <v>116</v>
      </c>
      <c r="E204" s="77">
        <f>+E202-E203</f>
        <v>32.778000000000013</v>
      </c>
      <c r="F204" s="77">
        <f t="shared" ref="F204:I204" si="161">+F202-F203</f>
        <v>124.98400000000002</v>
      </c>
      <c r="G204" s="77">
        <f t="shared" si="161"/>
        <v>261.149</v>
      </c>
      <c r="H204" s="77">
        <f t="shared" si="161"/>
        <v>216.31199999999998</v>
      </c>
      <c r="I204" s="77">
        <f t="shared" si="161"/>
        <v>246.040081113746</v>
      </c>
      <c r="J204" s="77">
        <f t="shared" ref="J204:R204" si="162">+J202-J203</f>
        <v>540.2937537342184</v>
      </c>
      <c r="K204" s="77">
        <f t="shared" si="162"/>
        <v>716.34943399636109</v>
      </c>
      <c r="L204" s="77">
        <f t="shared" si="162"/>
        <v>944.46304503753242</v>
      </c>
      <c r="M204" s="77">
        <f t="shared" si="162"/>
        <v>1176.7817990831261</v>
      </c>
      <c r="N204" s="77">
        <f t="shared" si="162"/>
        <v>1449.5880703681974</v>
      </c>
      <c r="O204" s="77">
        <f t="shared" si="162"/>
        <v>1692.6269709692533</v>
      </c>
      <c r="P204" s="77">
        <f t="shared" si="162"/>
        <v>1994.862549112006</v>
      </c>
      <c r="Q204" s="77">
        <f t="shared" si="162"/>
        <v>555.4765338279235</v>
      </c>
      <c r="R204" s="77">
        <f t="shared" si="162"/>
        <v>614.25715787546062</v>
      </c>
    </row>
    <row r="205" spans="3:19" hidden="1" outlineLevel="1" x14ac:dyDescent="0.3">
      <c r="C205" s="78"/>
      <c r="D205" s="25"/>
      <c r="E205" s="46"/>
      <c r="F205" s="46"/>
      <c r="G205" s="46"/>
      <c r="H205" s="46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3:19" hidden="1" outlineLevel="1" x14ac:dyDescent="0.3">
      <c r="C206" s="163" t="s">
        <v>169</v>
      </c>
      <c r="D206" s="4" t="s">
        <v>116</v>
      </c>
      <c r="E206" s="36">
        <v>0</v>
      </c>
      <c r="F206" s="36">
        <v>0</v>
      </c>
      <c r="G206" s="36">
        <v>27.437000000000001</v>
      </c>
      <c r="H206" s="36">
        <v>0</v>
      </c>
      <c r="I206" s="178">
        <f t="shared" ref="I206:R206" si="163">+I126</f>
        <v>0</v>
      </c>
      <c r="J206" s="178">
        <f t="shared" si="163"/>
        <v>0</v>
      </c>
      <c r="K206" s="178">
        <f t="shared" si="163"/>
        <v>0</v>
      </c>
      <c r="L206" s="178">
        <f t="shared" si="163"/>
        <v>0</v>
      </c>
      <c r="M206" s="178">
        <f t="shared" si="163"/>
        <v>0</v>
      </c>
      <c r="N206" s="178">
        <f t="shared" si="163"/>
        <v>0</v>
      </c>
      <c r="O206" s="178">
        <f t="shared" si="163"/>
        <v>0</v>
      </c>
      <c r="P206" s="178">
        <f t="shared" si="163"/>
        <v>0</v>
      </c>
      <c r="Q206" s="178">
        <f t="shared" si="163"/>
        <v>0</v>
      </c>
      <c r="R206" s="178">
        <f t="shared" si="163"/>
        <v>0</v>
      </c>
    </row>
    <row r="207" spans="3:19" hidden="1" outlineLevel="1" x14ac:dyDescent="0.3">
      <c r="C207" s="33"/>
      <c r="D207" s="25"/>
      <c r="E207" s="25"/>
      <c r="F207" s="25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</row>
    <row r="208" spans="3:19" hidden="1" outlineLevel="1" x14ac:dyDescent="0.3">
      <c r="C208" s="11" t="s">
        <v>18</v>
      </c>
      <c r="D208" s="4" t="s">
        <v>116</v>
      </c>
      <c r="E208" s="44">
        <f>+E204+E206</f>
        <v>32.778000000000013</v>
      </c>
      <c r="F208" s="44">
        <f t="shared" ref="F208:H208" si="164">+F204+F206</f>
        <v>124.98400000000002</v>
      </c>
      <c r="G208" s="44">
        <f t="shared" si="164"/>
        <v>288.58600000000001</v>
      </c>
      <c r="H208" s="44">
        <f t="shared" si="164"/>
        <v>216.31199999999998</v>
      </c>
      <c r="I208" s="44">
        <f t="shared" ref="I208:R208" si="165">+I204+I206</f>
        <v>246.040081113746</v>
      </c>
      <c r="J208" s="44">
        <f t="shared" si="165"/>
        <v>540.2937537342184</v>
      </c>
      <c r="K208" s="44">
        <f t="shared" si="165"/>
        <v>716.34943399636109</v>
      </c>
      <c r="L208" s="44">
        <f t="shared" si="165"/>
        <v>944.46304503753242</v>
      </c>
      <c r="M208" s="44">
        <f t="shared" si="165"/>
        <v>1176.7817990831261</v>
      </c>
      <c r="N208" s="44">
        <f t="shared" si="165"/>
        <v>1449.5880703681974</v>
      </c>
      <c r="O208" s="44">
        <f t="shared" si="165"/>
        <v>1692.6269709692533</v>
      </c>
      <c r="P208" s="44">
        <f t="shared" si="165"/>
        <v>1994.862549112006</v>
      </c>
      <c r="Q208" s="44">
        <f t="shared" si="165"/>
        <v>555.4765338279235</v>
      </c>
      <c r="R208" s="44">
        <f t="shared" si="165"/>
        <v>614.25715787546062</v>
      </c>
    </row>
    <row r="209" spans="2:19" hidden="1" outlineLevel="1" x14ac:dyDescent="0.3">
      <c r="C209" s="20" t="s">
        <v>19</v>
      </c>
      <c r="D209" s="4" t="s">
        <v>10</v>
      </c>
      <c r="E209" s="207">
        <f>IFERROR(+E203/E202,0)</f>
        <v>0</v>
      </c>
      <c r="F209" s="207">
        <f t="shared" ref="F209:H209" si="166">IFERROR(+F203/F202,0)</f>
        <v>0</v>
      </c>
      <c r="G209" s="207">
        <f t="shared" si="166"/>
        <v>-0.4724648304248541</v>
      </c>
      <c r="H209" s="207">
        <f t="shared" si="166"/>
        <v>0.29757428153921095</v>
      </c>
      <c r="I209" s="207">
        <f t="shared" ref="I209:R209" si="167">IFERROR(+I203/I202,0)</f>
        <v>0.18</v>
      </c>
      <c r="J209" s="207">
        <f t="shared" si="167"/>
        <v>0.18</v>
      </c>
      <c r="K209" s="207">
        <f t="shared" si="167"/>
        <v>0.18</v>
      </c>
      <c r="L209" s="207">
        <f t="shared" si="167"/>
        <v>0.18</v>
      </c>
      <c r="M209" s="207">
        <f t="shared" si="167"/>
        <v>0.18</v>
      </c>
      <c r="N209" s="207">
        <f t="shared" si="167"/>
        <v>0.18</v>
      </c>
      <c r="O209" s="207">
        <f t="shared" si="167"/>
        <v>0.18</v>
      </c>
      <c r="P209" s="207">
        <f t="shared" si="167"/>
        <v>0.18</v>
      </c>
      <c r="Q209" s="207">
        <f t="shared" si="167"/>
        <v>0.18</v>
      </c>
      <c r="R209" s="207">
        <f t="shared" si="167"/>
        <v>0.18</v>
      </c>
    </row>
    <row r="210" spans="2:19" hidden="1" outlineLevel="1" x14ac:dyDescent="0.3">
      <c r="C210" s="20"/>
      <c r="D210" s="25"/>
      <c r="E210" s="30"/>
      <c r="F210" s="30"/>
      <c r="G210" s="30"/>
      <c r="H210" s="30"/>
      <c r="I210" s="40"/>
      <c r="J210" s="40"/>
      <c r="K210" s="40"/>
      <c r="L210" s="40"/>
      <c r="M210" s="40"/>
    </row>
    <row r="211" spans="2:19" hidden="1" outlineLevel="1" x14ac:dyDescent="0.3">
      <c r="C211" s="190" t="s">
        <v>186</v>
      </c>
      <c r="D211" s="4" t="s">
        <v>198</v>
      </c>
      <c r="E211" s="118">
        <v>39.411000000000001</v>
      </c>
      <c r="F211" s="118">
        <v>46.798000000000002</v>
      </c>
      <c r="G211" s="118">
        <v>60.195</v>
      </c>
      <c r="H211" s="118">
        <v>61.569000000000003</v>
      </c>
      <c r="I211" s="191">
        <f t="shared" ref="I211:R211" si="168">+H211+I308/Share_Price+I309/Share_Price</f>
        <v>61.569000000000003</v>
      </c>
      <c r="J211" s="191">
        <f t="shared" si="168"/>
        <v>61.569000000000003</v>
      </c>
      <c r="K211" s="191">
        <f t="shared" si="168"/>
        <v>61.569000000000003</v>
      </c>
      <c r="L211" s="191">
        <f t="shared" si="168"/>
        <v>61.569000000000003</v>
      </c>
      <c r="M211" s="191">
        <f t="shared" si="168"/>
        <v>61.569000000000003</v>
      </c>
      <c r="N211" s="191">
        <f t="shared" si="168"/>
        <v>61.569000000000003</v>
      </c>
      <c r="O211" s="191">
        <f t="shared" si="168"/>
        <v>61.569000000000003</v>
      </c>
      <c r="P211" s="191">
        <f t="shared" si="168"/>
        <v>61.569000000000003</v>
      </c>
      <c r="Q211" s="191">
        <f t="shared" si="168"/>
        <v>61.569000000000003</v>
      </c>
      <c r="R211" s="191">
        <f t="shared" si="168"/>
        <v>61.569000000000003</v>
      </c>
      <c r="S211" s="117"/>
    </row>
    <row r="212" spans="2:19" hidden="1" outlineLevel="1" x14ac:dyDescent="0.3">
      <c r="C212" s="116" t="s">
        <v>187</v>
      </c>
      <c r="D212" s="4" t="s">
        <v>118</v>
      </c>
      <c r="E212" s="199">
        <f>+E208/E211</f>
        <v>0.83169673441425018</v>
      </c>
      <c r="F212" s="199">
        <f t="shared" ref="F212:H212" si="169">+F208/F211</f>
        <v>2.670712423607847</v>
      </c>
      <c r="G212" s="199">
        <f t="shared" si="169"/>
        <v>4.7941855635850157</v>
      </c>
      <c r="H212" s="199">
        <f t="shared" si="169"/>
        <v>3.5133265117185593</v>
      </c>
      <c r="I212" s="199">
        <f>+I208/I211</f>
        <v>3.9961682196193862</v>
      </c>
      <c r="J212" s="199">
        <f t="shared" ref="J212:R212" si="170">+J208/J211</f>
        <v>8.7754186966528351</v>
      </c>
      <c r="K212" s="199">
        <f t="shared" si="170"/>
        <v>11.634904481092125</v>
      </c>
      <c r="L212" s="199">
        <f t="shared" si="170"/>
        <v>15.339912050504838</v>
      </c>
      <c r="M212" s="199">
        <f t="shared" si="170"/>
        <v>19.113219300023161</v>
      </c>
      <c r="N212" s="199">
        <f t="shared" si="170"/>
        <v>23.544122372755727</v>
      </c>
      <c r="O212" s="199">
        <f t="shared" si="170"/>
        <v>27.491545598746988</v>
      </c>
      <c r="P212" s="199">
        <f t="shared" si="170"/>
        <v>32.400437705858565</v>
      </c>
      <c r="Q212" s="199">
        <f t="shared" si="170"/>
        <v>9.0220164990161198</v>
      </c>
      <c r="R212" s="199">
        <f t="shared" si="170"/>
        <v>9.9767278642735882</v>
      </c>
    </row>
    <row r="213" spans="2:19" hidden="1" outlineLevel="1" x14ac:dyDescent="0.3">
      <c r="C213" s="20"/>
      <c r="D213" s="25"/>
      <c r="E213" s="30"/>
      <c r="F213" s="30"/>
      <c r="G213" s="30"/>
      <c r="H213" s="30"/>
      <c r="I213" s="40"/>
      <c r="J213" s="40"/>
      <c r="K213" s="40"/>
      <c r="L213" s="40"/>
      <c r="M213" s="40"/>
      <c r="N213" s="40"/>
      <c r="O213" s="40"/>
      <c r="P213" s="40"/>
      <c r="Q213" s="40"/>
      <c r="R213" s="40"/>
    </row>
    <row r="214" spans="2:19" hidden="1" outlineLevel="1" x14ac:dyDescent="0.3">
      <c r="C214" s="189" t="s">
        <v>96</v>
      </c>
      <c r="D214" s="4" t="s">
        <v>116</v>
      </c>
      <c r="E214" s="192">
        <f t="shared" ref="E214:R214" si="171">+E193+E275+E276+E277</f>
        <v>66.500000000000014</v>
      </c>
      <c r="F214" s="192">
        <f t="shared" si="171"/>
        <v>135.65800000000002</v>
      </c>
      <c r="G214" s="192">
        <f t="shared" si="171"/>
        <v>272.07299999999998</v>
      </c>
      <c r="H214" s="192">
        <f t="shared" si="171"/>
        <v>426.40200000000004</v>
      </c>
      <c r="I214" s="192">
        <f t="shared" si="171"/>
        <v>609.85835849646628</v>
      </c>
      <c r="J214" s="192">
        <f t="shared" si="171"/>
        <v>830.93611559903286</v>
      </c>
      <c r="K214" s="192">
        <f t="shared" si="171"/>
        <v>1045.5100430790865</v>
      </c>
      <c r="L214" s="192">
        <f t="shared" si="171"/>
        <v>1309.519128155958</v>
      </c>
      <c r="M214" s="192">
        <f t="shared" si="171"/>
        <v>1596.8213805228445</v>
      </c>
      <c r="N214" s="192">
        <f t="shared" si="171"/>
        <v>1903.3281625526106</v>
      </c>
      <c r="O214" s="192">
        <f t="shared" si="171"/>
        <v>2210.3611645483297</v>
      </c>
      <c r="P214" s="192">
        <f t="shared" si="171"/>
        <v>2592.5063096743656</v>
      </c>
      <c r="Q214" s="192">
        <f t="shared" si="171"/>
        <v>798.01497672258188</v>
      </c>
      <c r="R214" s="192">
        <f t="shared" si="171"/>
        <v>873.51174768468513</v>
      </c>
    </row>
    <row r="215" spans="2:19" collapsed="1" x14ac:dyDescent="0.3">
      <c r="C215" s="20"/>
      <c r="D215" s="25"/>
      <c r="E215" s="30"/>
      <c r="F215" s="30"/>
      <c r="G215" s="30"/>
      <c r="H215" s="30"/>
      <c r="I215" s="40"/>
      <c r="J215" s="40"/>
      <c r="K215" s="40"/>
      <c r="L215" s="40"/>
      <c r="M215" s="40"/>
    </row>
    <row r="216" spans="2:19" x14ac:dyDescent="0.3">
      <c r="B216" s="276"/>
      <c r="C216" s="261"/>
      <c r="D216" s="262"/>
      <c r="E216" s="263" t="str">
        <f>$E$32</f>
        <v>Historical</v>
      </c>
      <c r="F216" s="264"/>
      <c r="G216" s="263"/>
      <c r="H216" s="263"/>
      <c r="I216" s="265" t="str">
        <f>$I$32</f>
        <v>Projected</v>
      </c>
      <c r="J216" s="263"/>
      <c r="K216" s="263"/>
      <c r="L216" s="263"/>
      <c r="M216" s="263"/>
      <c r="N216" s="266"/>
      <c r="O216" s="266"/>
      <c r="P216" s="266"/>
      <c r="Q216" s="266"/>
      <c r="R216" s="266"/>
    </row>
    <row r="217" spans="2:19" x14ac:dyDescent="0.3">
      <c r="B217" s="267" t="s">
        <v>21</v>
      </c>
      <c r="C217" s="267"/>
      <c r="D217" s="268" t="str">
        <f>$D$33</f>
        <v>Units</v>
      </c>
      <c r="E217" s="269">
        <f>$E$33</f>
        <v>40543</v>
      </c>
      <c r="F217" s="269">
        <f>$F$33</f>
        <v>40908</v>
      </c>
      <c r="G217" s="269">
        <f>$G$33</f>
        <v>41274</v>
      </c>
      <c r="H217" s="269">
        <f>$H$33</f>
        <v>41639</v>
      </c>
      <c r="I217" s="270">
        <f>$I$33</f>
        <v>42004</v>
      </c>
      <c r="J217" s="269">
        <f>$J$33</f>
        <v>42369</v>
      </c>
      <c r="K217" s="269">
        <f>$K$33</f>
        <v>42735</v>
      </c>
      <c r="L217" s="269">
        <f>$L$33</f>
        <v>43100</v>
      </c>
      <c r="M217" s="269">
        <f>$M$33</f>
        <v>43465</v>
      </c>
      <c r="N217" s="269">
        <f>$N$33</f>
        <v>43830</v>
      </c>
      <c r="O217" s="269">
        <f>$O$33</f>
        <v>44196</v>
      </c>
      <c r="P217" s="269">
        <f>$P$33</f>
        <v>44561</v>
      </c>
      <c r="Q217" s="269">
        <f>$Q$33</f>
        <v>44926</v>
      </c>
      <c r="R217" s="269">
        <f>$R$33</f>
        <v>45291</v>
      </c>
    </row>
    <row r="218" spans="2:19" hidden="1" outlineLevel="1" x14ac:dyDescent="0.3">
      <c r="C218" s="3" t="s">
        <v>22</v>
      </c>
    </row>
    <row r="219" spans="2:19" hidden="1" outlineLevel="1" x14ac:dyDescent="0.3">
      <c r="C219" s="3" t="s">
        <v>24</v>
      </c>
    </row>
    <row r="220" spans="2:19" hidden="1" outlineLevel="1" x14ac:dyDescent="0.3">
      <c r="C220" s="214" t="s">
        <v>28</v>
      </c>
      <c r="D220" s="55" t="s">
        <v>116</v>
      </c>
      <c r="E220" s="215">
        <f>+E317</f>
        <v>44.793999999999997</v>
      </c>
      <c r="F220" s="215">
        <f>+F317</f>
        <v>82.076000000000064</v>
      </c>
      <c r="G220" s="215">
        <f>+G317</f>
        <v>387.19600000000008</v>
      </c>
      <c r="H220" s="215">
        <f>+H317</f>
        <v>640.50400000000002</v>
      </c>
      <c r="I220" s="215">
        <f>+I317</f>
        <v>832.46426763850013</v>
      </c>
      <c r="J220" s="215">
        <f t="shared" ref="J220:R220" si="172">+J317</f>
        <v>1514.7827851988418</v>
      </c>
      <c r="K220" s="215">
        <f t="shared" si="172"/>
        <v>2393.7405551586253</v>
      </c>
      <c r="L220" s="215">
        <f t="shared" si="172"/>
        <v>3213.476599513298</v>
      </c>
      <c r="M220" s="215">
        <f t="shared" si="172"/>
        <v>3723.2852947874385</v>
      </c>
      <c r="N220" s="215">
        <f t="shared" si="172"/>
        <v>5379.3131540024779</v>
      </c>
      <c r="O220" s="215">
        <f t="shared" si="172"/>
        <v>7308.9355767282068</v>
      </c>
      <c r="P220" s="215">
        <f t="shared" si="172"/>
        <v>9561.6086338108398</v>
      </c>
      <c r="Q220" s="215">
        <f t="shared" si="172"/>
        <v>10726.993088631336</v>
      </c>
      <c r="R220" s="215">
        <f t="shared" si="172"/>
        <v>11514.644991909345</v>
      </c>
    </row>
    <row r="221" spans="2:19" hidden="1" outlineLevel="1" x14ac:dyDescent="0.3">
      <c r="C221" s="216" t="s">
        <v>99</v>
      </c>
      <c r="D221" s="55" t="s">
        <v>116</v>
      </c>
      <c r="E221" s="62">
        <v>0.4</v>
      </c>
      <c r="F221" s="62">
        <v>75.822000000000003</v>
      </c>
      <c r="G221" s="62">
        <v>0</v>
      </c>
      <c r="H221" s="62">
        <v>0</v>
      </c>
      <c r="I221" s="217">
        <f t="shared" ref="I221:R221" si="173">+H221-I296</f>
        <v>0</v>
      </c>
      <c r="J221" s="217">
        <f t="shared" si="173"/>
        <v>0</v>
      </c>
      <c r="K221" s="217">
        <f t="shared" si="173"/>
        <v>0</v>
      </c>
      <c r="L221" s="217">
        <f t="shared" si="173"/>
        <v>0</v>
      </c>
      <c r="M221" s="217">
        <f t="shared" si="173"/>
        <v>0</v>
      </c>
      <c r="N221" s="217">
        <f t="shared" si="173"/>
        <v>0</v>
      </c>
      <c r="O221" s="217">
        <f t="shared" si="173"/>
        <v>0</v>
      </c>
      <c r="P221" s="217">
        <f t="shared" si="173"/>
        <v>0</v>
      </c>
      <c r="Q221" s="217">
        <f t="shared" si="173"/>
        <v>0</v>
      </c>
      <c r="R221" s="217">
        <f t="shared" si="173"/>
        <v>0</v>
      </c>
    </row>
    <row r="222" spans="2:19" hidden="1" outlineLevel="1" x14ac:dyDescent="0.3">
      <c r="C222" s="214" t="s">
        <v>29</v>
      </c>
      <c r="D222" s="55" t="s">
        <v>116</v>
      </c>
      <c r="E222" s="62">
        <v>22.081</v>
      </c>
      <c r="F222" s="62">
        <v>34.374000000000002</v>
      </c>
      <c r="G222" s="62">
        <v>75.48</v>
      </c>
      <c r="H222" s="62">
        <v>124.80500000000001</v>
      </c>
      <c r="I222" s="218">
        <f t="shared" ref="I222:R222" si="174">+I179*I131</f>
        <v>168.29237744815467</v>
      </c>
      <c r="J222" s="218">
        <f t="shared" si="174"/>
        <v>223.66926639179539</v>
      </c>
      <c r="K222" s="218">
        <f t="shared" si="174"/>
        <v>289.7141651689106</v>
      </c>
      <c r="L222" s="218">
        <f t="shared" si="174"/>
        <v>372.92418943407114</v>
      </c>
      <c r="M222" s="218">
        <f t="shared" si="174"/>
        <v>466.69974436039087</v>
      </c>
      <c r="N222" s="218">
        <f t="shared" si="174"/>
        <v>570.27048563722246</v>
      </c>
      <c r="O222" s="218">
        <f t="shared" si="174"/>
        <v>678.28837060793262</v>
      </c>
      <c r="P222" s="218">
        <f t="shared" si="174"/>
        <v>805.74383479077335</v>
      </c>
      <c r="Q222" s="218">
        <f t="shared" si="174"/>
        <v>250.97895469696081</v>
      </c>
      <c r="R222" s="218">
        <f t="shared" si="174"/>
        <v>277.79087960331867</v>
      </c>
    </row>
    <row r="223" spans="2:19" hidden="1" outlineLevel="1" x14ac:dyDescent="0.3">
      <c r="C223" s="214" t="s">
        <v>30</v>
      </c>
      <c r="D223" s="55" t="s">
        <v>116</v>
      </c>
      <c r="E223" s="62">
        <v>5.0460000000000003</v>
      </c>
      <c r="F223" s="62">
        <v>3.9089999999999998</v>
      </c>
      <c r="G223" s="62">
        <v>26.524999999999999</v>
      </c>
      <c r="H223" s="62">
        <v>28.669</v>
      </c>
      <c r="I223" s="219">
        <f t="shared" ref="I223:R223" si="175">+I182*I132</f>
        <v>35.550702178794047</v>
      </c>
      <c r="J223" s="219">
        <f t="shared" si="175"/>
        <v>46.920604218517376</v>
      </c>
      <c r="K223" s="219">
        <f t="shared" si="175"/>
        <v>60.356146300869987</v>
      </c>
      <c r="L223" s="219">
        <f t="shared" si="175"/>
        <v>77.159156894135705</v>
      </c>
      <c r="M223" s="219">
        <f t="shared" si="175"/>
        <v>95.904724724833841</v>
      </c>
      <c r="N223" s="219">
        <f t="shared" si="175"/>
        <v>116.39624090858638</v>
      </c>
      <c r="O223" s="219">
        <f t="shared" si="175"/>
        <v>137.51430477364579</v>
      </c>
      <c r="P223" s="219">
        <f t="shared" si="175"/>
        <v>162.2652439303146</v>
      </c>
      <c r="Q223" s="219">
        <f t="shared" si="175"/>
        <v>50.208833755185857</v>
      </c>
      <c r="R223" s="219">
        <f t="shared" si="175"/>
        <v>55.207002802237838</v>
      </c>
    </row>
    <row r="224" spans="2:19" hidden="1" outlineLevel="1" x14ac:dyDescent="0.3">
      <c r="C224" s="220" t="s">
        <v>82</v>
      </c>
      <c r="D224" s="55" t="s">
        <v>116</v>
      </c>
      <c r="E224" s="221">
        <v>2.137</v>
      </c>
      <c r="F224" s="221">
        <v>2.95</v>
      </c>
      <c r="G224" s="221">
        <v>62.371000000000002</v>
      </c>
      <c r="H224" s="221">
        <v>74.63900000000001</v>
      </c>
      <c r="I224" s="222">
        <f t="shared" ref="I224:R224" si="176">+I191*I133</f>
        <v>143.26856395829802</v>
      </c>
      <c r="J224" s="222">
        <f t="shared" si="176"/>
        <v>141.7284095790601</v>
      </c>
      <c r="K224" s="222">
        <f t="shared" si="176"/>
        <v>179.28807346963495</v>
      </c>
      <c r="L224" s="222">
        <f t="shared" si="176"/>
        <v>228.32272514055364</v>
      </c>
      <c r="M224" s="222">
        <f t="shared" si="176"/>
        <v>283.97511182008202</v>
      </c>
      <c r="N224" s="222">
        <f t="shared" si="176"/>
        <v>343.79887683313837</v>
      </c>
      <c r="O224" s="222">
        <f t="shared" si="176"/>
        <v>411.09158431320941</v>
      </c>
      <c r="P224" s="222">
        <f t="shared" si="176"/>
        <v>485.67272676800241</v>
      </c>
      <c r="Q224" s="222">
        <f t="shared" si="176"/>
        <v>165.34797020148699</v>
      </c>
      <c r="R224" s="222">
        <f t="shared" si="176"/>
        <v>180.95814316215524</v>
      </c>
    </row>
    <row r="225" spans="3:18" hidden="1" outlineLevel="1" x14ac:dyDescent="0.3">
      <c r="C225" s="12" t="s">
        <v>25</v>
      </c>
      <c r="D225" s="8" t="s">
        <v>116</v>
      </c>
      <c r="E225" s="67">
        <f t="shared" ref="E225:H225" si="177">SUM(E220:E224)</f>
        <v>74.457999999999998</v>
      </c>
      <c r="F225" s="67">
        <f t="shared" si="177"/>
        <v>199.13100000000006</v>
      </c>
      <c r="G225" s="67">
        <f t="shared" si="177"/>
        <v>551.57200000000012</v>
      </c>
      <c r="H225" s="67">
        <f t="shared" si="177"/>
        <v>868.61699999999996</v>
      </c>
      <c r="I225" s="67">
        <f>SUM(I220:I224)</f>
        <v>1179.575911223747</v>
      </c>
      <c r="J225" s="67">
        <f t="shared" ref="J225:R225" si="178">SUM(J220:J224)</f>
        <v>1927.1010653882147</v>
      </c>
      <c r="K225" s="67">
        <f t="shared" si="178"/>
        <v>2923.0989400980411</v>
      </c>
      <c r="L225" s="67">
        <f t="shared" si="178"/>
        <v>3891.8826709820587</v>
      </c>
      <c r="M225" s="67">
        <f t="shared" si="178"/>
        <v>4569.864875692745</v>
      </c>
      <c r="N225" s="67">
        <f t="shared" si="178"/>
        <v>6409.7787573814257</v>
      </c>
      <c r="O225" s="67">
        <f t="shared" si="178"/>
        <v>8535.829836422994</v>
      </c>
      <c r="P225" s="67">
        <f t="shared" si="178"/>
        <v>11015.29043929993</v>
      </c>
      <c r="Q225" s="67">
        <f t="shared" si="178"/>
        <v>11193.528847284968</v>
      </c>
      <c r="R225" s="67">
        <f t="shared" si="178"/>
        <v>12028.601017477056</v>
      </c>
    </row>
    <row r="226" spans="3:18" hidden="1" outlineLevel="1" x14ac:dyDescent="0.3">
      <c r="C226" s="11"/>
      <c r="D226" s="4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</row>
    <row r="227" spans="3:18" hidden="1" outlineLevel="1" x14ac:dyDescent="0.3">
      <c r="C227" s="121" t="s">
        <v>176</v>
      </c>
      <c r="D227" s="4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3:18" hidden="1" outlineLevel="1" x14ac:dyDescent="0.3">
      <c r="C228" s="214" t="s">
        <v>27</v>
      </c>
      <c r="D228" s="55" t="s">
        <v>116</v>
      </c>
      <c r="E228" s="223">
        <v>0.69</v>
      </c>
      <c r="F228" s="223">
        <v>1.5569999999999999</v>
      </c>
      <c r="G228" s="223">
        <v>7.2809999999999997</v>
      </c>
      <c r="H228" s="223">
        <v>14.246</v>
      </c>
      <c r="I228" s="126">
        <f t="shared" ref="I228:R228" si="179">+H228-I276-I299</f>
        <v>23.660958178917745</v>
      </c>
      <c r="J228" s="126">
        <f t="shared" si="179"/>
        <v>36.087028534017492</v>
      </c>
      <c r="K228" s="126">
        <f t="shared" si="179"/>
        <v>52.071258336440145</v>
      </c>
      <c r="L228" s="126">
        <f t="shared" si="179"/>
        <v>72.505460497211175</v>
      </c>
      <c r="M228" s="126">
        <f t="shared" si="179"/>
        <v>97.904086040633814</v>
      </c>
      <c r="N228" s="126">
        <f t="shared" si="179"/>
        <v>128.7295176966999</v>
      </c>
      <c r="O228" s="126">
        <f t="shared" si="179"/>
        <v>165.14768524611912</v>
      </c>
      <c r="P228" s="126">
        <f t="shared" si="179"/>
        <v>208.12068976829372</v>
      </c>
      <c r="Q228" s="126">
        <f t="shared" si="179"/>
        <v>221.41758803038437</v>
      </c>
      <c r="R228" s="126">
        <f t="shared" si="179"/>
        <v>236.03816064108537</v>
      </c>
    </row>
    <row r="229" spans="3:18" hidden="1" outlineLevel="1" x14ac:dyDescent="0.3">
      <c r="C229" s="224" t="s">
        <v>60</v>
      </c>
      <c r="D229" s="55" t="s">
        <v>116</v>
      </c>
      <c r="E229" s="62">
        <v>22.033000000000001</v>
      </c>
      <c r="F229" s="62">
        <v>14.585000000000001</v>
      </c>
      <c r="G229" s="62">
        <v>869.952</v>
      </c>
      <c r="H229" s="62">
        <v>808.39599999999996</v>
      </c>
      <c r="I229" s="218">
        <f t="shared" ref="I229:R229" si="180">+H229-I275-I277-I297-I298</f>
        <v>1512.1769999999999</v>
      </c>
      <c r="J229" s="218">
        <f t="shared" si="180"/>
        <v>1392.5819999999999</v>
      </c>
      <c r="K229" s="218">
        <f t="shared" si="180"/>
        <v>1277.337</v>
      </c>
      <c r="L229" s="218">
        <f t="shared" si="180"/>
        <v>1162.184</v>
      </c>
      <c r="M229" s="218">
        <f t="shared" si="180"/>
        <v>1050.5630000000001</v>
      </c>
      <c r="N229" s="218">
        <f t="shared" si="180"/>
        <v>956.47877777777796</v>
      </c>
      <c r="O229" s="218">
        <f t="shared" si="180"/>
        <v>862.39455555555583</v>
      </c>
      <c r="P229" s="218">
        <f t="shared" si="180"/>
        <v>768.31033333333369</v>
      </c>
      <c r="Q229" s="218">
        <f t="shared" si="180"/>
        <v>674.22611111111155</v>
      </c>
      <c r="R229" s="218">
        <f t="shared" si="180"/>
        <v>580.14188888888941</v>
      </c>
    </row>
    <row r="230" spans="3:18" hidden="1" outlineLevel="1" x14ac:dyDescent="0.3">
      <c r="C230" s="225" t="s">
        <v>61</v>
      </c>
      <c r="D230" s="55" t="s">
        <v>116</v>
      </c>
      <c r="E230" s="62">
        <v>38.213000000000001</v>
      </c>
      <c r="F230" s="62">
        <v>38.213000000000001</v>
      </c>
      <c r="G230" s="62">
        <v>442.6</v>
      </c>
      <c r="H230" s="62">
        <v>450.45600000000002</v>
      </c>
      <c r="I230" s="218">
        <f t="shared" ref="I230:R230" si="181">+H230-I281</f>
        <v>450.45600000000002</v>
      </c>
      <c r="J230" s="218">
        <f t="shared" si="181"/>
        <v>450.45600000000002</v>
      </c>
      <c r="K230" s="218">
        <f t="shared" si="181"/>
        <v>450.45600000000002</v>
      </c>
      <c r="L230" s="218">
        <f t="shared" si="181"/>
        <v>450.45600000000002</v>
      </c>
      <c r="M230" s="218">
        <f t="shared" si="181"/>
        <v>450.45600000000002</v>
      </c>
      <c r="N230" s="218">
        <f t="shared" si="181"/>
        <v>450.45600000000002</v>
      </c>
      <c r="O230" s="218">
        <f t="shared" si="181"/>
        <v>450.45600000000002</v>
      </c>
      <c r="P230" s="218">
        <f t="shared" si="181"/>
        <v>450.45600000000002</v>
      </c>
      <c r="Q230" s="218">
        <f t="shared" si="181"/>
        <v>450.45600000000002</v>
      </c>
      <c r="R230" s="218">
        <f t="shared" si="181"/>
        <v>450.45600000000002</v>
      </c>
    </row>
    <row r="231" spans="3:18" hidden="1" outlineLevel="1" x14ac:dyDescent="0.3">
      <c r="C231" s="226" t="s">
        <v>175</v>
      </c>
      <c r="D231" s="55" t="s">
        <v>116</v>
      </c>
      <c r="E231" s="221">
        <v>0.33500000000000002</v>
      </c>
      <c r="F231" s="221">
        <v>8.6999999999999994E-2</v>
      </c>
      <c r="G231" s="221">
        <v>95.087999999999994</v>
      </c>
      <c r="H231" s="221">
        <v>96.506</v>
      </c>
      <c r="I231" s="222">
        <f t="shared" ref="I231:R231" si="182">+I134</f>
        <v>96.506</v>
      </c>
      <c r="J231" s="222">
        <f t="shared" si="182"/>
        <v>96.506</v>
      </c>
      <c r="K231" s="222">
        <f t="shared" si="182"/>
        <v>96.506</v>
      </c>
      <c r="L231" s="222">
        <f t="shared" si="182"/>
        <v>96.506</v>
      </c>
      <c r="M231" s="222">
        <f t="shared" si="182"/>
        <v>96.506</v>
      </c>
      <c r="N231" s="222">
        <f t="shared" si="182"/>
        <v>96.506</v>
      </c>
      <c r="O231" s="222">
        <f t="shared" si="182"/>
        <v>96.506</v>
      </c>
      <c r="P231" s="222">
        <f t="shared" si="182"/>
        <v>96.506</v>
      </c>
      <c r="Q231" s="222">
        <f t="shared" si="182"/>
        <v>96.506</v>
      </c>
      <c r="R231" s="222">
        <f t="shared" si="182"/>
        <v>96.506</v>
      </c>
    </row>
    <row r="232" spans="3:18" hidden="1" outlineLevel="1" x14ac:dyDescent="0.3">
      <c r="C232" s="12" t="s">
        <v>177</v>
      </c>
      <c r="D232" s="8" t="s">
        <v>116</v>
      </c>
      <c r="E232" s="67">
        <f t="shared" ref="E232:H232" si="183">SUM(E228:E231)</f>
        <v>61.271000000000008</v>
      </c>
      <c r="F232" s="67">
        <f t="shared" si="183"/>
        <v>54.442000000000007</v>
      </c>
      <c r="G232" s="67">
        <f t="shared" si="183"/>
        <v>1414.921</v>
      </c>
      <c r="H232" s="67">
        <f t="shared" si="183"/>
        <v>1369.604</v>
      </c>
      <c r="I232" s="67">
        <f>SUM(I228:I231)</f>
        <v>2082.7999581789177</v>
      </c>
      <c r="J232" s="67">
        <f t="shared" ref="J232:R232" si="184">SUM(J228:J231)</f>
        <v>1975.6310285340176</v>
      </c>
      <c r="K232" s="67">
        <f t="shared" si="184"/>
        <v>1876.3702583364404</v>
      </c>
      <c r="L232" s="67">
        <f t="shared" si="184"/>
        <v>1781.6514604972115</v>
      </c>
      <c r="M232" s="67">
        <f t="shared" si="184"/>
        <v>1695.4290860406338</v>
      </c>
      <c r="N232" s="67">
        <f t="shared" si="184"/>
        <v>1632.1702954744781</v>
      </c>
      <c r="O232" s="67">
        <f t="shared" si="184"/>
        <v>1574.504240801675</v>
      </c>
      <c r="P232" s="67">
        <f t="shared" si="184"/>
        <v>1523.3930231016275</v>
      </c>
      <c r="Q232" s="67">
        <f t="shared" si="184"/>
        <v>1442.605699141496</v>
      </c>
      <c r="R232" s="67">
        <f t="shared" si="184"/>
        <v>1363.1420495299749</v>
      </c>
    </row>
    <row r="233" spans="3:18" hidden="1" outlineLevel="1" x14ac:dyDescent="0.3"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3:18" hidden="1" outlineLevel="1" x14ac:dyDescent="0.3">
      <c r="C234" s="227" t="s">
        <v>26</v>
      </c>
      <c r="D234" s="55" t="s">
        <v>116</v>
      </c>
      <c r="E234" s="228">
        <f t="shared" ref="E234:R234" si="185">+E225+E232</f>
        <v>135.72900000000001</v>
      </c>
      <c r="F234" s="228">
        <f t="shared" si="185"/>
        <v>253.57300000000006</v>
      </c>
      <c r="G234" s="228">
        <f t="shared" si="185"/>
        <v>1966.4930000000002</v>
      </c>
      <c r="H234" s="228">
        <f t="shared" si="185"/>
        <v>2238.221</v>
      </c>
      <c r="I234" s="228">
        <f t="shared" si="185"/>
        <v>3262.3758694026646</v>
      </c>
      <c r="J234" s="228">
        <f t="shared" si="185"/>
        <v>3902.7320939222323</v>
      </c>
      <c r="K234" s="228">
        <f t="shared" si="185"/>
        <v>4799.4691984344818</v>
      </c>
      <c r="L234" s="228">
        <f t="shared" si="185"/>
        <v>5673.5341314792704</v>
      </c>
      <c r="M234" s="228">
        <f t="shared" si="185"/>
        <v>6265.2939617333786</v>
      </c>
      <c r="N234" s="228">
        <f t="shared" si="185"/>
        <v>8041.9490528559036</v>
      </c>
      <c r="O234" s="228">
        <f t="shared" si="185"/>
        <v>10110.334077224668</v>
      </c>
      <c r="P234" s="228">
        <f t="shared" si="185"/>
        <v>12538.683462401557</v>
      </c>
      <c r="Q234" s="228">
        <f t="shared" si="185"/>
        <v>12636.134546426463</v>
      </c>
      <c r="R234" s="228">
        <f t="shared" si="185"/>
        <v>13391.743067007032</v>
      </c>
    </row>
    <row r="235" spans="3:18" hidden="1" outlineLevel="1" x14ac:dyDescent="0.3">
      <c r="C235" s="54"/>
      <c r="D235" s="55"/>
      <c r="E235" s="55"/>
      <c r="F235" s="55"/>
      <c r="G235" s="53"/>
      <c r="H235" s="53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</row>
    <row r="236" spans="3:18" hidden="1" outlineLevel="1" x14ac:dyDescent="0.3">
      <c r="C236" s="227" t="s">
        <v>23</v>
      </c>
      <c r="D236" s="55"/>
      <c r="E236" s="55"/>
      <c r="F236" s="55"/>
      <c r="G236" s="53" t="s">
        <v>20</v>
      </c>
      <c r="H236" s="53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</row>
    <row r="237" spans="3:18" hidden="1" outlineLevel="1" x14ac:dyDescent="0.3">
      <c r="C237" s="227" t="s">
        <v>100</v>
      </c>
      <c r="D237" s="55"/>
      <c r="E237" s="55"/>
      <c r="F237" s="55"/>
      <c r="G237" s="54"/>
      <c r="H237" s="53" t="s">
        <v>20</v>
      </c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</row>
    <row r="238" spans="3:18" hidden="1" outlineLevel="1" x14ac:dyDescent="0.3">
      <c r="C238" s="214" t="s">
        <v>31</v>
      </c>
      <c r="D238" s="55" t="s">
        <v>116</v>
      </c>
      <c r="E238" s="230">
        <v>3.0489999999999999</v>
      </c>
      <c r="F238" s="230">
        <v>5.1289999999999996</v>
      </c>
      <c r="G238" s="230">
        <v>15.887</v>
      </c>
      <c r="H238" s="230">
        <v>21.004999999999999</v>
      </c>
      <c r="I238" s="215">
        <f t="shared" ref="I238:R238" si="186">+I182*I136</f>
        <v>27.988446672953081</v>
      </c>
      <c r="J238" s="215">
        <f t="shared" si="186"/>
        <v>36.939771890526934</v>
      </c>
      <c r="K238" s="215">
        <f t="shared" si="186"/>
        <v>47.517339422187405</v>
      </c>
      <c r="L238" s="215">
        <f t="shared" si="186"/>
        <v>60.746056075081285</v>
      </c>
      <c r="M238" s="215">
        <f t="shared" si="186"/>
        <v>75.504114100069557</v>
      </c>
      <c r="N238" s="215">
        <f t="shared" si="186"/>
        <v>91.636726757690155</v>
      </c>
      <c r="O238" s="215">
        <f t="shared" si="186"/>
        <v>108.26260945757674</v>
      </c>
      <c r="P238" s="215">
        <f t="shared" si="186"/>
        <v>127.74859139987296</v>
      </c>
      <c r="Q238" s="215">
        <f t="shared" si="186"/>
        <v>39.528537551824407</v>
      </c>
      <c r="R238" s="215">
        <f t="shared" si="186"/>
        <v>43.463508713076571</v>
      </c>
    </row>
    <row r="239" spans="3:18" hidden="1" outlineLevel="1" x14ac:dyDescent="0.3">
      <c r="C239" s="231" t="s">
        <v>199</v>
      </c>
      <c r="D239" s="55" t="s">
        <v>116</v>
      </c>
      <c r="E239" s="62">
        <v>23.571999999999999</v>
      </c>
      <c r="F239" s="62">
        <v>34.783000000000001</v>
      </c>
      <c r="G239" s="62">
        <v>104.666</v>
      </c>
      <c r="H239" s="62">
        <v>119.718</v>
      </c>
      <c r="I239" s="219">
        <f t="shared" ref="I239:R239" si="187">+I191*I137</f>
        <v>199.32855045283858</v>
      </c>
      <c r="J239" s="219">
        <f t="shared" si="187"/>
        <v>197.18574444288623</v>
      </c>
      <c r="K239" s="219">
        <f t="shared" si="187"/>
        <v>249.44224197421704</v>
      </c>
      <c r="L239" s="219">
        <f t="shared" si="187"/>
        <v>317.6638097032623</v>
      </c>
      <c r="M239" s="219">
        <f t="shared" si="187"/>
        <v>395.09258583938794</v>
      </c>
      <c r="N239" s="219">
        <f t="shared" si="187"/>
        <v>478.32497145996768</v>
      </c>
      <c r="O239" s="219">
        <f t="shared" si="187"/>
        <v>571.94884446782271</v>
      </c>
      <c r="P239" s="219">
        <f t="shared" si="187"/>
        <v>675.71306605210361</v>
      </c>
      <c r="Q239" s="219">
        <f t="shared" si="187"/>
        <v>230.04747384900838</v>
      </c>
      <c r="R239" s="219">
        <f t="shared" si="187"/>
        <v>251.76579825040184</v>
      </c>
    </row>
    <row r="240" spans="3:18" hidden="1" outlineLevel="1" x14ac:dyDescent="0.3">
      <c r="C240" s="224" t="s">
        <v>50</v>
      </c>
      <c r="D240" s="55" t="s">
        <v>116</v>
      </c>
      <c r="E240" s="62">
        <v>0</v>
      </c>
      <c r="F240" s="62">
        <v>0</v>
      </c>
      <c r="G240" s="62">
        <v>39.884</v>
      </c>
      <c r="H240" s="62">
        <v>0.33600000000000002</v>
      </c>
      <c r="I240" s="219">
        <f t="shared" ref="I240:R240" si="188">+I138</f>
        <v>0.33600000000000002</v>
      </c>
      <c r="J240" s="219">
        <f t="shared" si="188"/>
        <v>0.33600000000000002</v>
      </c>
      <c r="K240" s="219">
        <f t="shared" si="188"/>
        <v>0.33600000000000002</v>
      </c>
      <c r="L240" s="219">
        <f t="shared" si="188"/>
        <v>0.33600000000000002</v>
      </c>
      <c r="M240" s="219">
        <f t="shared" si="188"/>
        <v>0.33600000000000002</v>
      </c>
      <c r="N240" s="219">
        <f t="shared" si="188"/>
        <v>0.33600000000000002</v>
      </c>
      <c r="O240" s="219">
        <f t="shared" si="188"/>
        <v>0.33600000000000002</v>
      </c>
      <c r="P240" s="219">
        <f t="shared" si="188"/>
        <v>0.33600000000000002</v>
      </c>
      <c r="Q240" s="219">
        <f t="shared" si="188"/>
        <v>0.33600000000000002</v>
      </c>
      <c r="R240" s="219">
        <f t="shared" si="188"/>
        <v>0.33600000000000002</v>
      </c>
    </row>
    <row r="241" spans="3:19" hidden="1" outlineLevel="1" x14ac:dyDescent="0.3">
      <c r="C241" s="232" t="s">
        <v>62</v>
      </c>
      <c r="D241" s="127" t="s">
        <v>116</v>
      </c>
      <c r="E241" s="62">
        <v>0</v>
      </c>
      <c r="F241" s="62">
        <v>0</v>
      </c>
      <c r="G241" s="62">
        <v>0</v>
      </c>
      <c r="H241" s="62">
        <v>50</v>
      </c>
      <c r="I241" s="218">
        <f t="shared" ref="I241:R241" si="189">+H241+I279+I306</f>
        <v>14.899999999999999</v>
      </c>
      <c r="J241" s="218">
        <f t="shared" si="189"/>
        <v>14.899999999999999</v>
      </c>
      <c r="K241" s="218">
        <f t="shared" si="189"/>
        <v>14.899999999999999</v>
      </c>
      <c r="L241" s="218">
        <f t="shared" si="189"/>
        <v>14.899999999999999</v>
      </c>
      <c r="M241" s="218">
        <f t="shared" si="189"/>
        <v>14.899999999999999</v>
      </c>
      <c r="N241" s="218">
        <f t="shared" si="189"/>
        <v>14.899999999999999</v>
      </c>
      <c r="O241" s="218">
        <f t="shared" si="189"/>
        <v>14.899999999999999</v>
      </c>
      <c r="P241" s="218">
        <f t="shared" si="189"/>
        <v>14.899999999999999</v>
      </c>
      <c r="Q241" s="218">
        <f t="shared" si="189"/>
        <v>14.899999999999999</v>
      </c>
      <c r="R241" s="218">
        <f t="shared" si="189"/>
        <v>14.899999999999999</v>
      </c>
    </row>
    <row r="242" spans="3:19" hidden="1" outlineLevel="1" x14ac:dyDescent="0.3">
      <c r="C242" s="224" t="s">
        <v>63</v>
      </c>
      <c r="D242" s="55" t="s">
        <v>116</v>
      </c>
      <c r="E242" s="62">
        <v>1.2729999999999999</v>
      </c>
      <c r="F242" s="62">
        <v>1.1379999999999999</v>
      </c>
      <c r="G242" s="62">
        <v>1.1379999999999999</v>
      </c>
      <c r="H242" s="62">
        <v>1.1379999999999999</v>
      </c>
      <c r="I242" s="219">
        <f t="shared" ref="I242:R242" si="190">+I179*I140</f>
        <v>1.1768697723647181</v>
      </c>
      <c r="J242" s="219">
        <f t="shared" si="190"/>
        <v>1.5532587943874681</v>
      </c>
      <c r="K242" s="219">
        <f t="shared" si="190"/>
        <v>1.9980287253028319</v>
      </c>
      <c r="L242" s="219">
        <f t="shared" si="190"/>
        <v>2.5542752700963778</v>
      </c>
      <c r="M242" s="219">
        <f t="shared" si="190"/>
        <v>3.174828192927829</v>
      </c>
      <c r="N242" s="219">
        <f t="shared" si="190"/>
        <v>3.8531789570082604</v>
      </c>
      <c r="O242" s="219">
        <f t="shared" si="190"/>
        <v>4.5522709436774003</v>
      </c>
      <c r="P242" s="219">
        <f t="shared" si="190"/>
        <v>5.371625565271823</v>
      </c>
      <c r="Q242" s="219">
        <f t="shared" si="190"/>
        <v>1.6621122827613299</v>
      </c>
      <c r="R242" s="219">
        <f t="shared" si="190"/>
        <v>1.827571576337623</v>
      </c>
    </row>
    <row r="243" spans="3:19" hidden="1" outlineLevel="1" x14ac:dyDescent="0.3">
      <c r="C243" s="224" t="s">
        <v>81</v>
      </c>
      <c r="D243" s="55" t="s">
        <v>116</v>
      </c>
      <c r="E243" s="62">
        <v>8.6280000000000001</v>
      </c>
      <c r="F243" s="62">
        <v>11.82</v>
      </c>
      <c r="G243" s="62">
        <v>0.27500000000000002</v>
      </c>
      <c r="H243" s="62">
        <v>6.2590000000000003</v>
      </c>
      <c r="I243" s="219">
        <f t="shared" ref="I243:R243" si="191">+I143</f>
        <v>6.2590000000000003</v>
      </c>
      <c r="J243" s="219">
        <f t="shared" si="191"/>
        <v>6.2590000000000003</v>
      </c>
      <c r="K243" s="219">
        <f t="shared" si="191"/>
        <v>6.2590000000000003</v>
      </c>
      <c r="L243" s="219">
        <f t="shared" si="191"/>
        <v>6.2590000000000003</v>
      </c>
      <c r="M243" s="219">
        <f t="shared" si="191"/>
        <v>6.2590000000000003</v>
      </c>
      <c r="N243" s="219">
        <f t="shared" si="191"/>
        <v>6.2590000000000003</v>
      </c>
      <c r="O243" s="219">
        <f t="shared" si="191"/>
        <v>6.2590000000000003</v>
      </c>
      <c r="P243" s="219">
        <f t="shared" si="191"/>
        <v>6.2590000000000003</v>
      </c>
      <c r="Q243" s="219">
        <f t="shared" si="191"/>
        <v>6.2590000000000003</v>
      </c>
      <c r="R243" s="219">
        <f t="shared" si="191"/>
        <v>6.2590000000000003</v>
      </c>
    </row>
    <row r="244" spans="3:19" hidden="1" outlineLevel="1" x14ac:dyDescent="0.3">
      <c r="C244" s="233" t="s">
        <v>101</v>
      </c>
      <c r="D244" s="234" t="s">
        <v>116</v>
      </c>
      <c r="E244" s="235">
        <f t="shared" ref="E244:H244" si="192">SUM(E238:E243)</f>
        <v>36.521999999999998</v>
      </c>
      <c r="F244" s="235">
        <f t="shared" si="192"/>
        <v>52.87</v>
      </c>
      <c r="G244" s="235">
        <f t="shared" si="192"/>
        <v>161.85000000000002</v>
      </c>
      <c r="H244" s="235">
        <f t="shared" si="192"/>
        <v>198.45600000000002</v>
      </c>
      <c r="I244" s="235">
        <f>SUM(I238:I243)</f>
        <v>249.9888668981564</v>
      </c>
      <c r="J244" s="235">
        <f t="shared" ref="J244:R244" si="193">SUM(J238:J243)</f>
        <v>257.17377512780064</v>
      </c>
      <c r="K244" s="235">
        <f t="shared" si="193"/>
        <v>320.45261012170732</v>
      </c>
      <c r="L244" s="235">
        <f t="shared" si="193"/>
        <v>402.45914104843996</v>
      </c>
      <c r="M244" s="235">
        <f t="shared" si="193"/>
        <v>495.2665281323853</v>
      </c>
      <c r="N244" s="235">
        <f t="shared" si="193"/>
        <v>595.3098771746661</v>
      </c>
      <c r="O244" s="235">
        <f t="shared" si="193"/>
        <v>706.2587248690769</v>
      </c>
      <c r="P244" s="235">
        <f t="shared" si="193"/>
        <v>830.32828301724851</v>
      </c>
      <c r="Q244" s="235">
        <f t="shared" si="193"/>
        <v>292.7331236835941</v>
      </c>
      <c r="R244" s="235">
        <f t="shared" si="193"/>
        <v>318.55187853981602</v>
      </c>
    </row>
    <row r="245" spans="3:19" hidden="1" outlineLevel="1" x14ac:dyDescent="0.3">
      <c r="C245" s="122"/>
      <c r="D245" s="127"/>
      <c r="E245" s="236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</row>
    <row r="246" spans="3:19" hidden="1" outlineLevel="1" x14ac:dyDescent="0.3">
      <c r="C246" s="122" t="s">
        <v>183</v>
      </c>
      <c r="D246" s="127"/>
      <c r="E246" s="236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</row>
    <row r="247" spans="3:19" hidden="1" outlineLevel="1" x14ac:dyDescent="0.3">
      <c r="C247" s="237" t="s">
        <v>185</v>
      </c>
      <c r="D247" s="127" t="s">
        <v>116</v>
      </c>
      <c r="E247" s="223">
        <v>9.0530000000000008</v>
      </c>
      <c r="F247" s="223">
        <v>7.915</v>
      </c>
      <c r="G247" s="223">
        <v>6.7759999999999998</v>
      </c>
      <c r="H247" s="223">
        <v>5.718</v>
      </c>
      <c r="I247" s="238">
        <f t="shared" ref="I247:R247" si="194">+I179*I141</f>
        <v>8.2380884065530271</v>
      </c>
      <c r="J247" s="238">
        <f t="shared" si="194"/>
        <v>10.872811560712277</v>
      </c>
      <c r="K247" s="238">
        <f t="shared" si="194"/>
        <v>13.986201077119823</v>
      </c>
      <c r="L247" s="238">
        <f t="shared" si="194"/>
        <v>17.879926890674646</v>
      </c>
      <c r="M247" s="238">
        <f t="shared" si="194"/>
        <v>22.223797350494806</v>
      </c>
      <c r="N247" s="238">
        <f t="shared" si="194"/>
        <v>26.972252699057822</v>
      </c>
      <c r="O247" s="238">
        <f t="shared" si="194"/>
        <v>31.865896605741803</v>
      </c>
      <c r="P247" s="238">
        <f t="shared" si="194"/>
        <v>37.601378956902764</v>
      </c>
      <c r="Q247" s="238">
        <f t="shared" si="194"/>
        <v>11.63478597932931</v>
      </c>
      <c r="R247" s="238">
        <f t="shared" si="194"/>
        <v>12.79300103436336</v>
      </c>
    </row>
    <row r="248" spans="3:19" hidden="1" outlineLevel="1" x14ac:dyDescent="0.3">
      <c r="C248" s="239" t="s">
        <v>110</v>
      </c>
      <c r="D248" s="127" t="s">
        <v>116</v>
      </c>
      <c r="E248" s="223">
        <v>48.042999999999999</v>
      </c>
      <c r="F248" s="223">
        <v>0</v>
      </c>
      <c r="G248" s="223">
        <v>456.76100000000002</v>
      </c>
      <c r="H248" s="223">
        <v>549.976</v>
      </c>
      <c r="I248" s="126">
        <f t="shared" ref="I248:R248" si="195">+H248+I303+I304</f>
        <v>1176.806</v>
      </c>
      <c r="J248" s="126">
        <f t="shared" si="195"/>
        <v>1167.327</v>
      </c>
      <c r="K248" s="126">
        <f t="shared" si="195"/>
        <v>1157.8430000000001</v>
      </c>
      <c r="L248" s="126">
        <f t="shared" si="195"/>
        <v>848.35300000000007</v>
      </c>
      <c r="M248" s="126">
        <f t="shared" si="195"/>
        <v>-20.158999999999878</v>
      </c>
      <c r="N248" s="126">
        <f t="shared" si="195"/>
        <v>-20.456999999999876</v>
      </c>
      <c r="O248" s="126">
        <f t="shared" si="195"/>
        <v>-20.456999999999876</v>
      </c>
      <c r="P248" s="126">
        <f t="shared" si="195"/>
        <v>-20.456999999999876</v>
      </c>
      <c r="Q248" s="126">
        <f t="shared" si="195"/>
        <v>-20.456999999999876</v>
      </c>
      <c r="R248" s="126">
        <f t="shared" si="195"/>
        <v>-20.456999999999876</v>
      </c>
      <c r="S248" s="90"/>
    </row>
    <row r="249" spans="3:19" hidden="1" outlineLevel="1" x14ac:dyDescent="0.3">
      <c r="C249" s="237" t="s">
        <v>184</v>
      </c>
      <c r="D249" s="127" t="s">
        <v>116</v>
      </c>
      <c r="E249" s="223">
        <v>11.56</v>
      </c>
      <c r="F249" s="223">
        <v>0</v>
      </c>
      <c r="G249" s="223">
        <v>41.420999999999999</v>
      </c>
      <c r="H249" s="223">
        <v>20.04</v>
      </c>
      <c r="I249" s="126">
        <f t="shared" ref="I249:R249" si="196">+I144</f>
        <v>20.04</v>
      </c>
      <c r="J249" s="126">
        <f t="shared" si="196"/>
        <v>20.04</v>
      </c>
      <c r="K249" s="126">
        <f t="shared" si="196"/>
        <v>20.04</v>
      </c>
      <c r="L249" s="126">
        <f t="shared" si="196"/>
        <v>20.04</v>
      </c>
      <c r="M249" s="126">
        <f t="shared" si="196"/>
        <v>20.04</v>
      </c>
      <c r="N249" s="126">
        <f t="shared" si="196"/>
        <v>20.04</v>
      </c>
      <c r="O249" s="126">
        <f t="shared" si="196"/>
        <v>20.04</v>
      </c>
      <c r="P249" s="126">
        <f t="shared" si="196"/>
        <v>20.04</v>
      </c>
      <c r="Q249" s="126">
        <f t="shared" si="196"/>
        <v>20.04</v>
      </c>
      <c r="R249" s="126">
        <f t="shared" si="196"/>
        <v>20.04</v>
      </c>
    </row>
    <row r="250" spans="3:19" hidden="1" outlineLevel="1" x14ac:dyDescent="0.3">
      <c r="C250" s="232" t="s">
        <v>64</v>
      </c>
      <c r="D250" s="127" t="s">
        <v>116</v>
      </c>
      <c r="E250" s="223">
        <v>0</v>
      </c>
      <c r="F250" s="223">
        <v>0</v>
      </c>
      <c r="G250" s="223">
        <v>178.393</v>
      </c>
      <c r="H250" s="223">
        <v>168.49700000000001</v>
      </c>
      <c r="I250" s="222">
        <f t="shared" ref="I250:R250" si="197">+H250+I280</f>
        <v>168.49700000000001</v>
      </c>
      <c r="J250" s="222">
        <f t="shared" si="197"/>
        <v>168.49700000000001</v>
      </c>
      <c r="K250" s="222">
        <f t="shared" si="197"/>
        <v>168.49700000000001</v>
      </c>
      <c r="L250" s="222">
        <f t="shared" si="197"/>
        <v>168.49700000000001</v>
      </c>
      <c r="M250" s="222">
        <f t="shared" si="197"/>
        <v>168.49700000000001</v>
      </c>
      <c r="N250" s="222">
        <f t="shared" si="197"/>
        <v>168.49700000000001</v>
      </c>
      <c r="O250" s="222">
        <f t="shared" si="197"/>
        <v>168.49700000000001</v>
      </c>
      <c r="P250" s="222">
        <f t="shared" si="197"/>
        <v>168.49700000000001</v>
      </c>
      <c r="Q250" s="222">
        <f t="shared" si="197"/>
        <v>168.49700000000001</v>
      </c>
      <c r="R250" s="222">
        <f t="shared" si="197"/>
        <v>168.49700000000001</v>
      </c>
    </row>
    <row r="251" spans="3:19" hidden="1" outlineLevel="1" x14ac:dyDescent="0.3">
      <c r="C251" s="240" t="s">
        <v>111</v>
      </c>
      <c r="D251" s="234" t="s">
        <v>116</v>
      </c>
      <c r="E251" s="235">
        <f>SUM(E247:E250)</f>
        <v>68.656000000000006</v>
      </c>
      <c r="F251" s="235">
        <f t="shared" ref="F251:H251" si="198">SUM(F247:F250)</f>
        <v>7.915</v>
      </c>
      <c r="G251" s="235">
        <f t="shared" si="198"/>
        <v>683.351</v>
      </c>
      <c r="H251" s="235">
        <f t="shared" si="198"/>
        <v>744.23099999999999</v>
      </c>
      <c r="I251" s="235">
        <f t="shared" ref="I251:R251" si="199">SUM(I247:I250)</f>
        <v>1373.5810884065531</v>
      </c>
      <c r="J251" s="235">
        <f t="shared" si="199"/>
        <v>1366.7368115607123</v>
      </c>
      <c r="K251" s="235">
        <f t="shared" si="199"/>
        <v>1360.36620107712</v>
      </c>
      <c r="L251" s="235">
        <f t="shared" si="199"/>
        <v>1054.7699268906747</v>
      </c>
      <c r="M251" s="235">
        <f t="shared" si="199"/>
        <v>190.60179735049493</v>
      </c>
      <c r="N251" s="235">
        <f t="shared" si="199"/>
        <v>195.05225269905796</v>
      </c>
      <c r="O251" s="235">
        <f t="shared" si="199"/>
        <v>199.94589660574195</v>
      </c>
      <c r="P251" s="235">
        <f t="shared" si="199"/>
        <v>205.6813789569029</v>
      </c>
      <c r="Q251" s="235">
        <f t="shared" si="199"/>
        <v>179.71478597932943</v>
      </c>
      <c r="R251" s="235">
        <f t="shared" si="199"/>
        <v>180.87300103436348</v>
      </c>
    </row>
    <row r="252" spans="3:19" hidden="1" outlineLevel="1" x14ac:dyDescent="0.3">
      <c r="C252" s="54"/>
      <c r="D252" s="55"/>
      <c r="E252" s="53"/>
      <c r="F252" s="53"/>
      <c r="G252" s="53" t="s">
        <v>20</v>
      </c>
      <c r="H252" s="53" t="s">
        <v>20</v>
      </c>
      <c r="I252" s="53" t="s">
        <v>20</v>
      </c>
      <c r="J252" s="53" t="s">
        <v>20</v>
      </c>
      <c r="K252" s="53" t="s">
        <v>20</v>
      </c>
      <c r="L252" s="53" t="s">
        <v>20</v>
      </c>
      <c r="M252" s="53" t="s">
        <v>20</v>
      </c>
      <c r="N252" s="53" t="s">
        <v>20</v>
      </c>
      <c r="O252" s="53" t="s">
        <v>20</v>
      </c>
      <c r="P252" s="53" t="s">
        <v>20</v>
      </c>
      <c r="Q252" s="53" t="s">
        <v>20</v>
      </c>
      <c r="R252" s="53" t="s">
        <v>20</v>
      </c>
    </row>
    <row r="253" spans="3:19" hidden="1" outlineLevel="1" x14ac:dyDescent="0.3">
      <c r="C253" s="227" t="s">
        <v>168</v>
      </c>
      <c r="D253" s="55" t="s">
        <v>116</v>
      </c>
      <c r="E253" s="241">
        <f>+E251+E244</f>
        <v>105.178</v>
      </c>
      <c r="F253" s="241">
        <f t="shared" ref="F253:H253" si="200">+F251+F244</f>
        <v>60.784999999999997</v>
      </c>
      <c r="G253" s="241">
        <f t="shared" si="200"/>
        <v>845.20100000000002</v>
      </c>
      <c r="H253" s="241">
        <f t="shared" si="200"/>
        <v>942.68700000000001</v>
      </c>
      <c r="I253" s="241">
        <f t="shared" ref="I253:R253" si="201">+I251+I244</f>
        <v>1623.5699553047095</v>
      </c>
      <c r="J253" s="241">
        <f t="shared" si="201"/>
        <v>1623.9105866885129</v>
      </c>
      <c r="K253" s="241">
        <f t="shared" si="201"/>
        <v>1680.8188111988272</v>
      </c>
      <c r="L253" s="241">
        <f t="shared" si="201"/>
        <v>1457.2290679391147</v>
      </c>
      <c r="M253" s="241">
        <f t="shared" si="201"/>
        <v>685.86832548288021</v>
      </c>
      <c r="N253" s="241">
        <f t="shared" si="201"/>
        <v>790.36212987372403</v>
      </c>
      <c r="O253" s="241">
        <f t="shared" si="201"/>
        <v>906.20462147481885</v>
      </c>
      <c r="P253" s="241">
        <f t="shared" si="201"/>
        <v>1036.0096619741514</v>
      </c>
      <c r="Q253" s="241">
        <f t="shared" si="201"/>
        <v>472.44790966292351</v>
      </c>
      <c r="R253" s="241">
        <f t="shared" si="201"/>
        <v>499.4248795741795</v>
      </c>
    </row>
    <row r="254" spans="3:19" hidden="1" outlineLevel="1" x14ac:dyDescent="0.3">
      <c r="C254" s="54"/>
      <c r="D254" s="55"/>
      <c r="E254" s="53"/>
      <c r="F254" s="53"/>
      <c r="G254" s="53"/>
      <c r="H254" s="53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</row>
    <row r="255" spans="3:19" hidden="1" outlineLevel="1" x14ac:dyDescent="0.3">
      <c r="C255" s="227" t="s">
        <v>32</v>
      </c>
      <c r="D255" s="55"/>
      <c r="E255" s="53"/>
      <c r="F255" s="53"/>
      <c r="G255" s="53" t="s">
        <v>20</v>
      </c>
      <c r="H255" s="53" t="s">
        <v>20</v>
      </c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</row>
    <row r="256" spans="3:19" hidden="1" outlineLevel="1" x14ac:dyDescent="0.3">
      <c r="C256" s="227" t="s">
        <v>188</v>
      </c>
      <c r="D256" s="55"/>
      <c r="E256" s="53"/>
      <c r="F256" s="53"/>
      <c r="G256" s="53"/>
      <c r="H256" s="53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</row>
    <row r="257" spans="2:19" hidden="1" outlineLevel="1" x14ac:dyDescent="0.3">
      <c r="C257" s="214" t="s">
        <v>33</v>
      </c>
      <c r="D257" s="55" t="s">
        <v>116</v>
      </c>
      <c r="E257" s="223">
        <v>505.41699999999997</v>
      </c>
      <c r="F257" s="223">
        <v>542.70100000000002</v>
      </c>
      <c r="G257" s="223">
        <v>1151.0709999999999</v>
      </c>
      <c r="H257" s="223">
        <v>1220.3779999999999</v>
      </c>
      <c r="I257" s="126">
        <f t="shared" ref="I257:R257" si="202">+H257+I278+I308</f>
        <v>1283.2410829842092</v>
      </c>
      <c r="J257" s="126">
        <f t="shared" si="202"/>
        <v>1366.2091723857545</v>
      </c>
      <c r="K257" s="126">
        <f t="shared" si="202"/>
        <v>1472.9348683913283</v>
      </c>
      <c r="L257" s="126">
        <f t="shared" si="202"/>
        <v>1609.3727496582974</v>
      </c>
      <c r="M257" s="126">
        <f t="shared" si="202"/>
        <v>1778.9577732855153</v>
      </c>
      <c r="N257" s="126">
        <f t="shared" si="202"/>
        <v>1984.7772396489977</v>
      </c>
      <c r="O257" s="126">
        <f t="shared" si="202"/>
        <v>2227.9390514474162</v>
      </c>
      <c r="P257" s="126">
        <f t="shared" si="202"/>
        <v>2514.8670970129665</v>
      </c>
      <c r="Q257" s="126">
        <f t="shared" si="202"/>
        <v>2603.6496495211791</v>
      </c>
      <c r="R257" s="126">
        <f t="shared" si="202"/>
        <v>2701.2702923150277</v>
      </c>
      <c r="S257" s="90"/>
    </row>
    <row r="258" spans="2:19" hidden="1" outlineLevel="1" x14ac:dyDescent="0.3">
      <c r="C258" s="224" t="s">
        <v>65</v>
      </c>
      <c r="D258" s="55" t="s">
        <v>116</v>
      </c>
      <c r="E258" s="223">
        <v>0</v>
      </c>
      <c r="F258" s="223">
        <v>0</v>
      </c>
      <c r="G258" s="223">
        <v>0.47099999999999997</v>
      </c>
      <c r="H258" s="223">
        <v>0.47099999999999997</v>
      </c>
      <c r="I258" s="126">
        <f t="shared" ref="I258:R258" si="203">+H258+I309</f>
        <v>0.47099999999999997</v>
      </c>
      <c r="J258" s="126">
        <f t="shared" si="203"/>
        <v>0.47099999999999997</v>
      </c>
      <c r="K258" s="126">
        <f t="shared" si="203"/>
        <v>0.47099999999999997</v>
      </c>
      <c r="L258" s="126">
        <f t="shared" si="203"/>
        <v>0.47099999999999997</v>
      </c>
      <c r="M258" s="126">
        <f t="shared" si="203"/>
        <v>0.47099999999999997</v>
      </c>
      <c r="N258" s="126">
        <f t="shared" si="203"/>
        <v>0.47099999999999997</v>
      </c>
      <c r="O258" s="126">
        <f t="shared" si="203"/>
        <v>0.47099999999999997</v>
      </c>
      <c r="P258" s="126">
        <f t="shared" si="203"/>
        <v>0.47099999999999997</v>
      </c>
      <c r="Q258" s="126">
        <f t="shared" si="203"/>
        <v>0.47099999999999997</v>
      </c>
      <c r="R258" s="126">
        <f t="shared" si="203"/>
        <v>0.47099999999999997</v>
      </c>
    </row>
    <row r="259" spans="2:19" hidden="1" outlineLevel="1" x14ac:dyDescent="0.3">
      <c r="C259" s="214" t="s">
        <v>35</v>
      </c>
      <c r="D259" s="55" t="s">
        <v>116</v>
      </c>
      <c r="E259" s="223">
        <v>0</v>
      </c>
      <c r="F259" s="223">
        <v>-3.1E-2</v>
      </c>
      <c r="G259" s="223">
        <v>31.045999999999999</v>
      </c>
      <c r="H259" s="223">
        <v>56.152999999999999</v>
      </c>
      <c r="I259" s="126">
        <f t="shared" ref="I259:R259" si="204">+H259+I313</f>
        <v>56.935249999999996</v>
      </c>
      <c r="J259" s="126">
        <f t="shared" si="204"/>
        <v>57.717499999999994</v>
      </c>
      <c r="K259" s="126">
        <f t="shared" si="204"/>
        <v>58.499749999999992</v>
      </c>
      <c r="L259" s="126">
        <f t="shared" si="204"/>
        <v>59.281999999999989</v>
      </c>
      <c r="M259" s="126">
        <f t="shared" si="204"/>
        <v>60.064249999999987</v>
      </c>
      <c r="N259" s="126">
        <f t="shared" si="204"/>
        <v>60.846499999999985</v>
      </c>
      <c r="O259" s="126">
        <f t="shared" si="204"/>
        <v>61.628749999999982</v>
      </c>
      <c r="P259" s="126">
        <f t="shared" si="204"/>
        <v>62.41099999999998</v>
      </c>
      <c r="Q259" s="126">
        <f t="shared" si="204"/>
        <v>63.193249999999978</v>
      </c>
      <c r="R259" s="126">
        <f t="shared" si="204"/>
        <v>63.975499999999975</v>
      </c>
    </row>
    <row r="260" spans="2:19" hidden="1" outlineLevel="1" x14ac:dyDescent="0.3">
      <c r="C260" s="214" t="s">
        <v>34</v>
      </c>
      <c r="D260" s="55" t="s">
        <v>116</v>
      </c>
      <c r="E260" s="223">
        <v>-474.86599999999999</v>
      </c>
      <c r="F260" s="223">
        <v>-349.88200000000001</v>
      </c>
      <c r="G260" s="223">
        <v>-61.295999999999999</v>
      </c>
      <c r="H260" s="223">
        <v>18.532</v>
      </c>
      <c r="I260" s="126">
        <f t="shared" ref="I260:R260" si="205">+H260+I273+I282+I307+I310</f>
        <v>280.54358111374597</v>
      </c>
      <c r="J260" s="126">
        <f t="shared" si="205"/>
        <v>836.80883484796448</v>
      </c>
      <c r="K260" s="126">
        <f t="shared" si="205"/>
        <v>1569.1297688443253</v>
      </c>
      <c r="L260" s="126">
        <f t="shared" si="205"/>
        <v>2529.5643138818577</v>
      </c>
      <c r="M260" s="126">
        <f t="shared" si="205"/>
        <v>3722.3176129649842</v>
      </c>
      <c r="N260" s="126">
        <f t="shared" si="205"/>
        <v>5187.8771833331821</v>
      </c>
      <c r="O260" s="126">
        <f t="shared" si="205"/>
        <v>6896.4756543024359</v>
      </c>
      <c r="P260" s="126">
        <f t="shared" si="205"/>
        <v>8907.3097034144412</v>
      </c>
      <c r="Q260" s="126">
        <f t="shared" si="205"/>
        <v>9478.7577372423639</v>
      </c>
      <c r="R260" s="126">
        <f t="shared" si="205"/>
        <v>10108.986395117825</v>
      </c>
    </row>
    <row r="261" spans="2:19" hidden="1" outlineLevel="1" x14ac:dyDescent="0.3">
      <c r="C261" s="240" t="s">
        <v>189</v>
      </c>
      <c r="D261" s="234" t="s">
        <v>116</v>
      </c>
      <c r="E261" s="242">
        <f>SUM(E257:E260)</f>
        <v>30.550999999999988</v>
      </c>
      <c r="F261" s="242">
        <f t="shared" ref="F261:I261" si="206">SUM(F257:F260)</f>
        <v>192.78800000000007</v>
      </c>
      <c r="G261" s="242">
        <f t="shared" si="206"/>
        <v>1121.2919999999999</v>
      </c>
      <c r="H261" s="242">
        <f t="shared" si="206"/>
        <v>1295.5339999999999</v>
      </c>
      <c r="I261" s="242">
        <f t="shared" si="206"/>
        <v>1621.1909140979551</v>
      </c>
      <c r="J261" s="242">
        <f t="shared" ref="J261:R261" si="207">SUM(J257:J260)</f>
        <v>2261.2065072337191</v>
      </c>
      <c r="K261" s="242">
        <f t="shared" si="207"/>
        <v>3101.0353872356536</v>
      </c>
      <c r="L261" s="242">
        <f t="shared" si="207"/>
        <v>4198.6900635401553</v>
      </c>
      <c r="M261" s="242">
        <f t="shared" si="207"/>
        <v>5561.8106362504996</v>
      </c>
      <c r="N261" s="242">
        <f t="shared" si="207"/>
        <v>7233.9719229821794</v>
      </c>
      <c r="O261" s="242">
        <f t="shared" si="207"/>
        <v>9186.5144557498515</v>
      </c>
      <c r="P261" s="242">
        <f t="shared" si="207"/>
        <v>11485.058800427407</v>
      </c>
      <c r="Q261" s="242">
        <f t="shared" si="207"/>
        <v>12146.071636763543</v>
      </c>
      <c r="R261" s="242">
        <f t="shared" si="207"/>
        <v>12874.703187432853</v>
      </c>
    </row>
    <row r="262" spans="2:19" hidden="1" outlineLevel="1" x14ac:dyDescent="0.3">
      <c r="C262" s="243" t="s">
        <v>190</v>
      </c>
      <c r="D262" s="55" t="s">
        <v>116</v>
      </c>
      <c r="E262" s="223">
        <v>0</v>
      </c>
      <c r="F262" s="223">
        <v>0</v>
      </c>
      <c r="G262" s="223">
        <v>0</v>
      </c>
      <c r="H262" s="223">
        <v>0</v>
      </c>
      <c r="I262" s="126">
        <f t="shared" ref="I262:R262" si="208">+H262+I305</f>
        <v>17.614999999999998</v>
      </c>
      <c r="J262" s="126">
        <f t="shared" si="208"/>
        <v>17.614999999999998</v>
      </c>
      <c r="K262" s="126">
        <f t="shared" si="208"/>
        <v>17.614999999999998</v>
      </c>
      <c r="L262" s="126">
        <f t="shared" si="208"/>
        <v>17.614999999999998</v>
      </c>
      <c r="M262" s="126">
        <f t="shared" si="208"/>
        <v>17.614999999999998</v>
      </c>
      <c r="N262" s="126">
        <f t="shared" si="208"/>
        <v>17.614999999999998</v>
      </c>
      <c r="O262" s="126">
        <f t="shared" si="208"/>
        <v>17.614999999999998</v>
      </c>
      <c r="P262" s="126">
        <f t="shared" si="208"/>
        <v>17.614999999999998</v>
      </c>
      <c r="Q262" s="126">
        <f t="shared" si="208"/>
        <v>17.614999999999998</v>
      </c>
      <c r="R262" s="126">
        <f t="shared" si="208"/>
        <v>17.614999999999998</v>
      </c>
    </row>
    <row r="263" spans="2:19" hidden="1" outlineLevel="1" x14ac:dyDescent="0.3">
      <c r="C263" s="240" t="s">
        <v>36</v>
      </c>
      <c r="D263" s="234" t="s">
        <v>116</v>
      </c>
      <c r="E263" s="244">
        <f>+E262+E261</f>
        <v>30.550999999999988</v>
      </c>
      <c r="F263" s="244">
        <f t="shared" ref="F263:I263" si="209">+F262+F261</f>
        <v>192.78800000000007</v>
      </c>
      <c r="G263" s="244">
        <f t="shared" si="209"/>
        <v>1121.2919999999999</v>
      </c>
      <c r="H263" s="244">
        <f t="shared" si="209"/>
        <v>1295.5339999999999</v>
      </c>
      <c r="I263" s="244">
        <f t="shared" si="209"/>
        <v>1638.8059140979551</v>
      </c>
      <c r="J263" s="244">
        <f t="shared" ref="J263" si="210">+J262+J261</f>
        <v>2278.8215072337189</v>
      </c>
      <c r="K263" s="244">
        <f t="shared" ref="K263" si="211">+K262+K261</f>
        <v>3118.6503872356534</v>
      </c>
      <c r="L263" s="244">
        <f t="shared" ref="L263" si="212">+L262+L261</f>
        <v>4216.3050635401551</v>
      </c>
      <c r="M263" s="244">
        <f t="shared" ref="M263" si="213">+M262+M261</f>
        <v>5579.4256362504993</v>
      </c>
      <c r="N263" s="244">
        <f t="shared" ref="N263" si="214">+N262+N261</f>
        <v>7251.5869229821792</v>
      </c>
      <c r="O263" s="244">
        <f t="shared" ref="O263" si="215">+O262+O261</f>
        <v>9204.1294557498513</v>
      </c>
      <c r="P263" s="244">
        <f t="shared" ref="P263" si="216">+P262+P261</f>
        <v>11502.673800427407</v>
      </c>
      <c r="Q263" s="244">
        <f t="shared" ref="Q263" si="217">+Q262+Q261</f>
        <v>12163.686636763543</v>
      </c>
      <c r="R263" s="244">
        <f t="shared" ref="R263" si="218">+R262+R261</f>
        <v>12892.318187432853</v>
      </c>
    </row>
    <row r="264" spans="2:19" hidden="1" outlineLevel="1" x14ac:dyDescent="0.3">
      <c r="C264" s="227"/>
      <c r="D264" s="55"/>
      <c r="E264" s="53"/>
      <c r="F264" s="53"/>
      <c r="G264" s="245"/>
      <c r="H264" s="53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</row>
    <row r="265" spans="2:19" hidden="1" outlineLevel="1" x14ac:dyDescent="0.3">
      <c r="C265" s="227" t="s">
        <v>37</v>
      </c>
      <c r="D265" s="55" t="s">
        <v>116</v>
      </c>
      <c r="E265" s="241">
        <f t="shared" ref="E265:I265" si="219">+E263+E253</f>
        <v>135.72899999999998</v>
      </c>
      <c r="F265" s="241">
        <f t="shared" si="219"/>
        <v>253.57300000000006</v>
      </c>
      <c r="G265" s="241">
        <f t="shared" si="219"/>
        <v>1966.4929999999999</v>
      </c>
      <c r="H265" s="241">
        <f t="shared" si="219"/>
        <v>2238.221</v>
      </c>
      <c r="I265" s="241">
        <f t="shared" si="219"/>
        <v>3262.3758694026646</v>
      </c>
      <c r="J265" s="241">
        <f t="shared" ref="J265:R265" si="220">+J263+J253</f>
        <v>3902.7320939222318</v>
      </c>
      <c r="K265" s="241">
        <f t="shared" si="220"/>
        <v>4799.4691984344809</v>
      </c>
      <c r="L265" s="241">
        <f t="shared" si="220"/>
        <v>5673.5341314792695</v>
      </c>
      <c r="M265" s="241">
        <f t="shared" si="220"/>
        <v>6265.2939617333795</v>
      </c>
      <c r="N265" s="241">
        <f t="shared" si="220"/>
        <v>8041.9490528559036</v>
      </c>
      <c r="O265" s="241">
        <f t="shared" si="220"/>
        <v>10110.33407722467</v>
      </c>
      <c r="P265" s="241">
        <f t="shared" si="220"/>
        <v>12538.683462401557</v>
      </c>
      <c r="Q265" s="241">
        <f t="shared" si="220"/>
        <v>12636.134546426467</v>
      </c>
      <c r="R265" s="241">
        <f t="shared" si="220"/>
        <v>13391.743067007032</v>
      </c>
    </row>
    <row r="266" spans="2:19" hidden="1" outlineLevel="1" x14ac:dyDescent="0.3">
      <c r="C266" s="54"/>
      <c r="D266" s="55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9" ht="15" hidden="1" customHeight="1" outlineLevel="1" x14ac:dyDescent="0.3">
      <c r="C267" s="55" t="s">
        <v>38</v>
      </c>
      <c r="D267" s="55"/>
      <c r="E267" s="246">
        <f t="shared" ref="E267:I267" si="221">+E234-E265</f>
        <v>0</v>
      </c>
      <c r="F267" s="246">
        <f t="shared" si="221"/>
        <v>0</v>
      </c>
      <c r="G267" s="246">
        <f t="shared" si="221"/>
        <v>0</v>
      </c>
      <c r="H267" s="246">
        <f t="shared" si="221"/>
        <v>0</v>
      </c>
      <c r="I267" s="246">
        <f t="shared" si="221"/>
        <v>0</v>
      </c>
      <c r="J267" s="246">
        <f t="shared" ref="J267:R267" si="222">+J234-J265</f>
        <v>0</v>
      </c>
      <c r="K267" s="246">
        <f t="shared" si="222"/>
        <v>0</v>
      </c>
      <c r="L267" s="246">
        <f t="shared" si="222"/>
        <v>0</v>
      </c>
      <c r="M267" s="246">
        <f t="shared" si="222"/>
        <v>0</v>
      </c>
      <c r="N267" s="246">
        <f t="shared" si="222"/>
        <v>0</v>
      </c>
      <c r="O267" s="246">
        <f t="shared" si="222"/>
        <v>0</v>
      </c>
      <c r="P267" s="246">
        <f t="shared" si="222"/>
        <v>0</v>
      </c>
      <c r="Q267" s="246">
        <f t="shared" si="222"/>
        <v>0</v>
      </c>
      <c r="R267" s="246">
        <f t="shared" si="222"/>
        <v>0</v>
      </c>
      <c r="S267" s="90"/>
    </row>
    <row r="268" spans="2:19" collapsed="1" x14ac:dyDescent="0.3">
      <c r="C268" s="54"/>
      <c r="D268" s="55"/>
      <c r="E268" s="55"/>
      <c r="F268" s="55"/>
      <c r="G268" s="53"/>
      <c r="H268" s="53"/>
      <c r="I268" s="247"/>
      <c r="J268" s="53"/>
      <c r="K268" s="53"/>
      <c r="L268" s="53"/>
      <c r="M268" s="53"/>
      <c r="N268" s="54"/>
      <c r="O268" s="54"/>
      <c r="P268" s="54"/>
      <c r="Q268" s="54"/>
      <c r="R268" s="54"/>
    </row>
    <row r="269" spans="2:19" x14ac:dyDescent="0.3">
      <c r="B269" s="276"/>
      <c r="C269" s="261"/>
      <c r="D269" s="262"/>
      <c r="E269" s="263" t="str">
        <f>$E$32</f>
        <v>Historical</v>
      </c>
      <c r="F269" s="264"/>
      <c r="G269" s="263"/>
      <c r="H269" s="263"/>
      <c r="I269" s="265" t="str">
        <f>$I$32</f>
        <v>Projected</v>
      </c>
      <c r="J269" s="263"/>
      <c r="K269" s="263"/>
      <c r="L269" s="263"/>
      <c r="M269" s="263"/>
      <c r="N269" s="266"/>
      <c r="O269" s="266"/>
      <c r="P269" s="266"/>
      <c r="Q269" s="266"/>
      <c r="R269" s="266"/>
    </row>
    <row r="270" spans="2:19" x14ac:dyDescent="0.3">
      <c r="B270" s="267" t="s">
        <v>40</v>
      </c>
      <c r="C270" s="267"/>
      <c r="D270" s="268" t="str">
        <f>$D$33</f>
        <v>Units</v>
      </c>
      <c r="E270" s="269">
        <f>$E$33</f>
        <v>40543</v>
      </c>
      <c r="F270" s="269">
        <f>$F$33</f>
        <v>40908</v>
      </c>
      <c r="G270" s="269">
        <f>$G$33</f>
        <v>41274</v>
      </c>
      <c r="H270" s="269">
        <f>$H$33</f>
        <v>41639</v>
      </c>
      <c r="I270" s="270">
        <f>$I$33</f>
        <v>42004</v>
      </c>
      <c r="J270" s="269">
        <f>$J$33</f>
        <v>42369</v>
      </c>
      <c r="K270" s="269">
        <f>$K$33</f>
        <v>42735</v>
      </c>
      <c r="L270" s="269">
        <f>$L$33</f>
        <v>43100</v>
      </c>
      <c r="M270" s="269">
        <f>$M$33</f>
        <v>43465</v>
      </c>
      <c r="N270" s="269">
        <f>$N$33</f>
        <v>43830</v>
      </c>
      <c r="O270" s="269">
        <f>$O$33</f>
        <v>44196</v>
      </c>
      <c r="P270" s="269">
        <f>$P$33</f>
        <v>44561</v>
      </c>
      <c r="Q270" s="269">
        <f>$Q$33</f>
        <v>44926</v>
      </c>
      <c r="R270" s="269">
        <f>$R$33</f>
        <v>45291</v>
      </c>
    </row>
    <row r="271" spans="2:19" hidden="1" outlineLevel="1" x14ac:dyDescent="0.3">
      <c r="C271" s="54"/>
      <c r="D271" s="55"/>
      <c r="E271" s="55"/>
      <c r="F271" s="55"/>
      <c r="G271" s="53"/>
      <c r="H271" s="53"/>
      <c r="I271" s="53"/>
      <c r="J271" s="53"/>
      <c r="K271" s="53"/>
      <c r="L271" s="53"/>
      <c r="M271" s="53"/>
      <c r="N271" s="54"/>
      <c r="O271" s="54"/>
      <c r="P271" s="54"/>
      <c r="Q271" s="54"/>
      <c r="R271" s="54"/>
    </row>
    <row r="272" spans="2:19" hidden="1" outlineLevel="1" x14ac:dyDescent="0.3">
      <c r="C272" s="227" t="s">
        <v>44</v>
      </c>
      <c r="D272" s="55"/>
      <c r="E272" s="55" t="s">
        <v>20</v>
      </c>
      <c r="F272" s="55"/>
      <c r="G272" s="55" t="s">
        <v>20</v>
      </c>
      <c r="H272" s="53" t="s">
        <v>20</v>
      </c>
      <c r="I272" s="53"/>
      <c r="J272" s="53"/>
      <c r="K272" s="53"/>
      <c r="L272" s="53"/>
      <c r="M272" s="53"/>
      <c r="N272" s="54"/>
      <c r="O272" s="54"/>
      <c r="P272" s="54"/>
      <c r="Q272" s="54"/>
      <c r="R272" s="54"/>
    </row>
    <row r="273" spans="3:20" hidden="1" outlineLevel="1" x14ac:dyDescent="0.3">
      <c r="C273" s="227" t="s">
        <v>18</v>
      </c>
      <c r="D273" s="55" t="s">
        <v>116</v>
      </c>
      <c r="E273" s="241">
        <f t="shared" ref="E273:R273" si="223">+E208</f>
        <v>32.778000000000013</v>
      </c>
      <c r="F273" s="241">
        <f t="shared" si="223"/>
        <v>124.98400000000002</v>
      </c>
      <c r="G273" s="241">
        <f t="shared" si="223"/>
        <v>288.58600000000001</v>
      </c>
      <c r="H273" s="241">
        <f t="shared" si="223"/>
        <v>216.31199999999998</v>
      </c>
      <c r="I273" s="241">
        <f t="shared" si="223"/>
        <v>246.040081113746</v>
      </c>
      <c r="J273" s="241">
        <f t="shared" si="223"/>
        <v>540.2937537342184</v>
      </c>
      <c r="K273" s="241">
        <f t="shared" si="223"/>
        <v>716.34943399636109</v>
      </c>
      <c r="L273" s="241">
        <f t="shared" si="223"/>
        <v>944.46304503753242</v>
      </c>
      <c r="M273" s="241">
        <f t="shared" si="223"/>
        <v>1176.7817990831261</v>
      </c>
      <c r="N273" s="241">
        <f t="shared" si="223"/>
        <v>1449.5880703681974</v>
      </c>
      <c r="O273" s="241">
        <f t="shared" si="223"/>
        <v>1692.6269709692533</v>
      </c>
      <c r="P273" s="241">
        <f t="shared" si="223"/>
        <v>1994.862549112006</v>
      </c>
      <c r="Q273" s="241">
        <f t="shared" si="223"/>
        <v>555.4765338279235</v>
      </c>
      <c r="R273" s="241">
        <f t="shared" si="223"/>
        <v>614.25715787546062</v>
      </c>
    </row>
    <row r="274" spans="3:20" hidden="1" outlineLevel="1" x14ac:dyDescent="0.3">
      <c r="C274" s="124" t="s">
        <v>47</v>
      </c>
      <c r="D274" s="55"/>
      <c r="E274" s="124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3:20" hidden="1" outlineLevel="1" x14ac:dyDescent="0.3">
      <c r="C275" s="226" t="s">
        <v>178</v>
      </c>
      <c r="D275" s="55" t="s">
        <v>116</v>
      </c>
      <c r="E275" s="125">
        <v>7.8250000000000002</v>
      </c>
      <c r="F275" s="125">
        <v>7.4480000000000004</v>
      </c>
      <c r="G275" s="125">
        <v>72.921999999999997</v>
      </c>
      <c r="H275" s="125">
        <v>79.042000000000002</v>
      </c>
      <c r="I275" s="247">
        <f t="shared" ref="I275:R275" si="224">+I190</f>
        <v>129.47</v>
      </c>
      <c r="J275" s="247">
        <f t="shared" si="224"/>
        <v>126.17</v>
      </c>
      <c r="K275" s="247">
        <f t="shared" si="224"/>
        <v>121.82</v>
      </c>
      <c r="L275" s="247">
        <f t="shared" si="224"/>
        <v>121.72799999999999</v>
      </c>
      <c r="M275" s="247">
        <f t="shared" si="224"/>
        <v>118.196</v>
      </c>
      <c r="N275" s="247">
        <f t="shared" si="224"/>
        <v>100.65922222222223</v>
      </c>
      <c r="O275" s="247">
        <f t="shared" si="224"/>
        <v>100.65922222222223</v>
      </c>
      <c r="P275" s="247">
        <f t="shared" si="224"/>
        <v>100.65922222222223</v>
      </c>
      <c r="Q275" s="247">
        <f t="shared" si="224"/>
        <v>100.65922222222223</v>
      </c>
      <c r="R275" s="247">
        <f t="shared" si="224"/>
        <v>100.65922222222223</v>
      </c>
    </row>
    <row r="276" spans="3:20" hidden="1" outlineLevel="1" x14ac:dyDescent="0.3">
      <c r="C276" s="224" t="s">
        <v>67</v>
      </c>
      <c r="D276" s="55" t="s">
        <v>116</v>
      </c>
      <c r="E276" s="125">
        <v>0.88600000000000001</v>
      </c>
      <c r="F276" s="125">
        <v>0.379</v>
      </c>
      <c r="G276" s="125">
        <v>1.3069999999999999</v>
      </c>
      <c r="H276" s="125">
        <v>3.048</v>
      </c>
      <c r="I276" s="247">
        <f t="shared" ref="I276:R276" si="225">+I179*I146</f>
        <v>4.7074790894588725</v>
      </c>
      <c r="J276" s="247">
        <f t="shared" si="225"/>
        <v>7.7662939719373405</v>
      </c>
      <c r="K276" s="247">
        <f t="shared" si="225"/>
        <v>11.988172351816992</v>
      </c>
      <c r="L276" s="247">
        <f t="shared" si="225"/>
        <v>17.879926890674646</v>
      </c>
      <c r="M276" s="247">
        <f t="shared" si="225"/>
        <v>25.398625543422632</v>
      </c>
      <c r="N276" s="247">
        <f t="shared" si="225"/>
        <v>34.678610613074341</v>
      </c>
      <c r="O276" s="247">
        <f t="shared" si="225"/>
        <v>45.522709436774001</v>
      </c>
      <c r="P276" s="247">
        <f t="shared" si="225"/>
        <v>59.087881217990045</v>
      </c>
      <c r="Q276" s="247">
        <f t="shared" si="225"/>
        <v>19.945347393135958</v>
      </c>
      <c r="R276" s="247">
        <f t="shared" si="225"/>
        <v>23.758430492389095</v>
      </c>
    </row>
    <row r="277" spans="3:20" hidden="1" outlineLevel="1" x14ac:dyDescent="0.3">
      <c r="C277" s="226" t="s">
        <v>191</v>
      </c>
      <c r="D277" s="55" t="s">
        <v>116</v>
      </c>
      <c r="E277" s="125">
        <v>0</v>
      </c>
      <c r="F277" s="125">
        <v>0</v>
      </c>
      <c r="G277" s="125">
        <v>0</v>
      </c>
      <c r="H277" s="125">
        <v>4</v>
      </c>
      <c r="I277" s="247">
        <f t="shared" ref="I277:R277" si="226">+I189</f>
        <v>127</v>
      </c>
      <c r="J277" s="247">
        <f t="shared" si="226"/>
        <v>0</v>
      </c>
      <c r="K277" s="247">
        <f t="shared" si="226"/>
        <v>0</v>
      </c>
      <c r="L277" s="247">
        <f t="shared" si="226"/>
        <v>0</v>
      </c>
      <c r="M277" s="247">
        <f t="shared" si="226"/>
        <v>0</v>
      </c>
      <c r="N277" s="247">
        <f t="shared" si="226"/>
        <v>0</v>
      </c>
      <c r="O277" s="247">
        <f t="shared" si="226"/>
        <v>0</v>
      </c>
      <c r="P277" s="247">
        <f t="shared" si="226"/>
        <v>0</v>
      </c>
      <c r="Q277" s="247">
        <f t="shared" si="226"/>
        <v>0</v>
      </c>
      <c r="R277" s="247">
        <f t="shared" si="226"/>
        <v>0</v>
      </c>
    </row>
    <row r="278" spans="3:20" hidden="1" outlineLevel="1" x14ac:dyDescent="0.3">
      <c r="C278" s="243" t="s">
        <v>95</v>
      </c>
      <c r="D278" s="55" t="s">
        <v>116</v>
      </c>
      <c r="E278" s="125">
        <v>8.2189999999999994</v>
      </c>
      <c r="F278" s="125">
        <v>20.704000000000001</v>
      </c>
      <c r="G278" s="125">
        <v>23.006</v>
      </c>
      <c r="H278" s="125">
        <v>44.551000000000002</v>
      </c>
      <c r="I278" s="247">
        <f t="shared" ref="I278:R278" si="227">+I179*I147</f>
        <v>62.863082984209271</v>
      </c>
      <c r="J278" s="247">
        <f t="shared" si="227"/>
        <v>82.968089401545342</v>
      </c>
      <c r="K278" s="247">
        <f t="shared" si="227"/>
        <v>106.72569600557385</v>
      </c>
      <c r="L278" s="247">
        <f t="shared" si="227"/>
        <v>136.43788126696893</v>
      </c>
      <c r="M278" s="247">
        <f t="shared" si="227"/>
        <v>169.58502362721794</v>
      </c>
      <c r="N278" s="247">
        <f t="shared" si="227"/>
        <v>205.81946636348232</v>
      </c>
      <c r="O278" s="247">
        <f t="shared" si="227"/>
        <v>243.1618117984184</v>
      </c>
      <c r="P278" s="247">
        <f t="shared" si="227"/>
        <v>286.92804556555029</v>
      </c>
      <c r="Q278" s="247">
        <f t="shared" si="227"/>
        <v>88.782552508212774</v>
      </c>
      <c r="R278" s="247">
        <f t="shared" si="227"/>
        <v>97.620642793848674</v>
      </c>
    </row>
    <row r="279" spans="3:20" hidden="1" outlineLevel="1" x14ac:dyDescent="0.3">
      <c r="C279" s="226" t="s">
        <v>179</v>
      </c>
      <c r="D279" s="55" t="s">
        <v>116</v>
      </c>
      <c r="E279" s="125">
        <v>0</v>
      </c>
      <c r="F279" s="125">
        <v>0</v>
      </c>
      <c r="G279" s="125">
        <v>-0.3</v>
      </c>
      <c r="H279" s="125">
        <v>15.2</v>
      </c>
      <c r="I279" s="247">
        <f t="shared" ref="I279:R279" si="228">+I150</f>
        <v>0</v>
      </c>
      <c r="J279" s="247">
        <f t="shared" si="228"/>
        <v>0</v>
      </c>
      <c r="K279" s="247">
        <f t="shared" si="228"/>
        <v>0</v>
      </c>
      <c r="L279" s="247">
        <f t="shared" si="228"/>
        <v>0</v>
      </c>
      <c r="M279" s="247">
        <f t="shared" si="228"/>
        <v>0</v>
      </c>
      <c r="N279" s="247">
        <f t="shared" si="228"/>
        <v>0</v>
      </c>
      <c r="O279" s="247">
        <f t="shared" si="228"/>
        <v>0</v>
      </c>
      <c r="P279" s="247">
        <f t="shared" si="228"/>
        <v>0</v>
      </c>
      <c r="Q279" s="247">
        <f t="shared" si="228"/>
        <v>0</v>
      </c>
      <c r="R279" s="247">
        <f t="shared" si="228"/>
        <v>0</v>
      </c>
    </row>
    <row r="280" spans="3:20" hidden="1" outlineLevel="1" x14ac:dyDescent="0.3">
      <c r="C280" s="248" t="s">
        <v>48</v>
      </c>
      <c r="D280" s="55" t="s">
        <v>116</v>
      </c>
      <c r="E280" s="125">
        <v>0</v>
      </c>
      <c r="F280" s="125">
        <v>0</v>
      </c>
      <c r="G280" s="125">
        <v>-113.86199999999999</v>
      </c>
      <c r="H280" s="125">
        <v>-10.097</v>
      </c>
      <c r="I280" s="247">
        <f t="shared" ref="I280:R280" si="229">+I203*I142</f>
        <v>0</v>
      </c>
      <c r="J280" s="247">
        <f t="shared" si="229"/>
        <v>0</v>
      </c>
      <c r="K280" s="247">
        <f t="shared" si="229"/>
        <v>0</v>
      </c>
      <c r="L280" s="247">
        <f t="shared" si="229"/>
        <v>0</v>
      </c>
      <c r="M280" s="247">
        <f t="shared" si="229"/>
        <v>0</v>
      </c>
      <c r="N280" s="247">
        <f t="shared" si="229"/>
        <v>0</v>
      </c>
      <c r="O280" s="247">
        <f t="shared" si="229"/>
        <v>0</v>
      </c>
      <c r="P280" s="247">
        <f t="shared" si="229"/>
        <v>0</v>
      </c>
      <c r="Q280" s="247">
        <f t="shared" si="229"/>
        <v>0</v>
      </c>
      <c r="R280" s="247">
        <f t="shared" si="229"/>
        <v>0</v>
      </c>
    </row>
    <row r="281" spans="3:20" hidden="1" outlineLevel="1" x14ac:dyDescent="0.3">
      <c r="C281" s="248" t="s">
        <v>85</v>
      </c>
      <c r="D281" s="55" t="s">
        <v>116</v>
      </c>
      <c r="E281" s="125">
        <v>0</v>
      </c>
      <c r="F281" s="125">
        <v>0</v>
      </c>
      <c r="G281" s="125">
        <v>0</v>
      </c>
      <c r="H281" s="125">
        <v>0</v>
      </c>
      <c r="I281" s="247">
        <f t="shared" ref="I281:R281" si="230">-I199</f>
        <v>0</v>
      </c>
      <c r="J281" s="247">
        <f t="shared" si="230"/>
        <v>0</v>
      </c>
      <c r="K281" s="247">
        <f t="shared" si="230"/>
        <v>0</v>
      </c>
      <c r="L281" s="247">
        <f t="shared" si="230"/>
        <v>0</v>
      </c>
      <c r="M281" s="247">
        <f t="shared" si="230"/>
        <v>0</v>
      </c>
      <c r="N281" s="247">
        <f t="shared" si="230"/>
        <v>0</v>
      </c>
      <c r="O281" s="247">
        <f t="shared" si="230"/>
        <v>0</v>
      </c>
      <c r="P281" s="247">
        <f t="shared" si="230"/>
        <v>0</v>
      </c>
      <c r="Q281" s="247">
        <f t="shared" si="230"/>
        <v>0</v>
      </c>
      <c r="R281" s="247">
        <f t="shared" si="230"/>
        <v>0</v>
      </c>
    </row>
    <row r="282" spans="3:20" hidden="1" outlineLevel="1" x14ac:dyDescent="0.3">
      <c r="C282" s="249" t="s">
        <v>106</v>
      </c>
      <c r="D282" s="55" t="s">
        <v>116</v>
      </c>
      <c r="E282" s="125">
        <v>14.972000000000001</v>
      </c>
      <c r="F282" s="125">
        <v>1.6739999999999999</v>
      </c>
      <c r="G282" s="125">
        <v>-16.75</v>
      </c>
      <c r="H282" s="125">
        <v>16.518000000000001</v>
      </c>
      <c r="I282" s="247">
        <f t="shared" ref="I282:R282" si="231">+I151</f>
        <v>4.1035000000000004</v>
      </c>
      <c r="J282" s="247">
        <f t="shared" si="231"/>
        <v>4.1035000000000004</v>
      </c>
      <c r="K282" s="247">
        <f t="shared" si="231"/>
        <v>4.1035000000000004</v>
      </c>
      <c r="L282" s="247">
        <f t="shared" si="231"/>
        <v>4.1035000000000004</v>
      </c>
      <c r="M282" s="247">
        <f t="shared" si="231"/>
        <v>4.1035000000000004</v>
      </c>
      <c r="N282" s="247">
        <f t="shared" si="231"/>
        <v>4.1035000000000004</v>
      </c>
      <c r="O282" s="247">
        <f t="shared" si="231"/>
        <v>4.1035000000000004</v>
      </c>
      <c r="P282" s="247">
        <f t="shared" si="231"/>
        <v>4.1035000000000004</v>
      </c>
      <c r="Q282" s="247">
        <f t="shared" si="231"/>
        <v>4.1035000000000004</v>
      </c>
      <c r="R282" s="247">
        <f t="shared" si="231"/>
        <v>4.1035000000000004</v>
      </c>
    </row>
    <row r="283" spans="3:20" ht="14.4" hidden="1" customHeight="1" outlineLevel="1" x14ac:dyDescent="0.3">
      <c r="C283" s="227" t="s">
        <v>49</v>
      </c>
      <c r="D283" s="55"/>
      <c r="E283" s="124"/>
      <c r="F283" s="53"/>
      <c r="G283" s="53"/>
      <c r="H283" s="53"/>
      <c r="I283" s="53"/>
      <c r="J283" s="112"/>
      <c r="K283" s="70"/>
      <c r="L283" s="70"/>
      <c r="M283" s="70"/>
      <c r="N283" s="70"/>
      <c r="O283" s="70"/>
      <c r="P283" s="70"/>
      <c r="Q283" s="70"/>
      <c r="R283" s="70"/>
      <c r="S283" s="5"/>
      <c r="T283" s="5"/>
    </row>
    <row r="284" spans="3:20" hidden="1" outlineLevel="1" x14ac:dyDescent="0.3">
      <c r="C284" s="250" t="s">
        <v>29</v>
      </c>
      <c r="D284" s="55" t="s">
        <v>116</v>
      </c>
      <c r="E284" s="125">
        <v>-9.7680000000000007</v>
      </c>
      <c r="F284" s="125">
        <v>-12.292999999999999</v>
      </c>
      <c r="G284" s="125">
        <v>-4.7240000000000002</v>
      </c>
      <c r="H284" s="125">
        <v>-48.845999999999997</v>
      </c>
      <c r="I284" s="247">
        <f t="shared" ref="I284:R284" si="232">+H222-I222</f>
        <v>-43.48737744815466</v>
      </c>
      <c r="J284" s="247">
        <f t="shared" si="232"/>
        <v>-55.376888943640722</v>
      </c>
      <c r="K284" s="247">
        <f t="shared" si="232"/>
        <v>-66.044898777115208</v>
      </c>
      <c r="L284" s="247">
        <f t="shared" si="232"/>
        <v>-83.210024265160541</v>
      </c>
      <c r="M284" s="247">
        <f t="shared" si="232"/>
        <v>-93.775554926319728</v>
      </c>
      <c r="N284" s="247">
        <f t="shared" si="232"/>
        <v>-103.5707412768316</v>
      </c>
      <c r="O284" s="247">
        <f t="shared" si="232"/>
        <v>-108.01788497071016</v>
      </c>
      <c r="P284" s="247">
        <f t="shared" si="232"/>
        <v>-127.45546418284073</v>
      </c>
      <c r="Q284" s="247">
        <f t="shared" si="232"/>
        <v>554.76488009381251</v>
      </c>
      <c r="R284" s="247">
        <f t="shared" si="232"/>
        <v>-26.811924906357859</v>
      </c>
    </row>
    <row r="285" spans="3:20" hidden="1" outlineLevel="1" x14ac:dyDescent="0.3">
      <c r="C285" s="250" t="s">
        <v>30</v>
      </c>
      <c r="D285" s="55" t="s">
        <v>116</v>
      </c>
      <c r="E285" s="125">
        <v>-1.6439999999999999</v>
      </c>
      <c r="F285" s="125">
        <v>1.298</v>
      </c>
      <c r="G285" s="125">
        <v>1.6970000000000001</v>
      </c>
      <c r="H285" s="125">
        <v>-8.516</v>
      </c>
      <c r="I285" s="247">
        <f t="shared" ref="I285:R285" si="233">+H223-I223</f>
        <v>-6.8817021787940469</v>
      </c>
      <c r="J285" s="247">
        <f t="shared" si="233"/>
        <v>-11.369902039723328</v>
      </c>
      <c r="K285" s="247">
        <f t="shared" si="233"/>
        <v>-13.435542082352612</v>
      </c>
      <c r="L285" s="247">
        <f t="shared" si="233"/>
        <v>-16.803010593265718</v>
      </c>
      <c r="M285" s="247">
        <f t="shared" si="233"/>
        <v>-18.745567830698135</v>
      </c>
      <c r="N285" s="247">
        <f t="shared" si="233"/>
        <v>-20.491516183752537</v>
      </c>
      <c r="O285" s="247">
        <f t="shared" si="233"/>
        <v>-21.118063865059412</v>
      </c>
      <c r="P285" s="247">
        <f t="shared" si="233"/>
        <v>-24.750939156668807</v>
      </c>
      <c r="Q285" s="247">
        <f t="shared" si="233"/>
        <v>112.05641017512875</v>
      </c>
      <c r="R285" s="247">
        <f t="shared" si="233"/>
        <v>-4.9981690470519808</v>
      </c>
    </row>
    <row r="286" spans="3:20" hidden="1" outlineLevel="1" x14ac:dyDescent="0.3">
      <c r="C286" s="243" t="s">
        <v>82</v>
      </c>
      <c r="D286" s="55" t="s">
        <v>116</v>
      </c>
      <c r="E286" s="125">
        <v>0.42599999999999999</v>
      </c>
      <c r="F286" s="125">
        <v>-0.93400000000000005</v>
      </c>
      <c r="G286" s="125">
        <v>-13.090999999999999</v>
      </c>
      <c r="H286" s="125">
        <v>-13.871</v>
      </c>
      <c r="I286" s="247">
        <f t="shared" ref="I286:R286" si="234">+H224-I224</f>
        <v>-68.629563958298007</v>
      </c>
      <c r="J286" s="247">
        <f t="shared" si="234"/>
        <v>1.5401543792379186</v>
      </c>
      <c r="K286" s="247">
        <f t="shared" si="234"/>
        <v>-37.559663890574853</v>
      </c>
      <c r="L286" s="247">
        <f t="shared" si="234"/>
        <v>-49.034651670918691</v>
      </c>
      <c r="M286" s="247">
        <f t="shared" si="234"/>
        <v>-55.652386679528377</v>
      </c>
      <c r="N286" s="247">
        <f t="shared" si="234"/>
        <v>-59.823765013056345</v>
      </c>
      <c r="O286" s="247">
        <f t="shared" si="234"/>
        <v>-67.292707480071044</v>
      </c>
      <c r="P286" s="247">
        <f t="shared" si="234"/>
        <v>-74.581142454792996</v>
      </c>
      <c r="Q286" s="247">
        <f t="shared" si="234"/>
        <v>320.32475656651542</v>
      </c>
      <c r="R286" s="247">
        <f t="shared" si="234"/>
        <v>-15.610172960668251</v>
      </c>
    </row>
    <row r="287" spans="3:20" hidden="1" outlineLevel="1" x14ac:dyDescent="0.3">
      <c r="C287" s="226" t="s">
        <v>175</v>
      </c>
      <c r="D287" s="55" t="s">
        <v>116</v>
      </c>
      <c r="E287" s="125">
        <v>0</v>
      </c>
      <c r="F287" s="125">
        <v>0.186</v>
      </c>
      <c r="G287" s="125">
        <v>-3.4910000000000001</v>
      </c>
      <c r="H287" s="125">
        <v>-4.306</v>
      </c>
      <c r="I287" s="60">
        <f t="shared" ref="I287:R287" si="235">+H231-I231</f>
        <v>0</v>
      </c>
      <c r="J287" s="60">
        <f t="shared" si="235"/>
        <v>0</v>
      </c>
      <c r="K287" s="60">
        <f t="shared" si="235"/>
        <v>0</v>
      </c>
      <c r="L287" s="60">
        <f t="shared" si="235"/>
        <v>0</v>
      </c>
      <c r="M287" s="60">
        <f t="shared" si="235"/>
        <v>0</v>
      </c>
      <c r="N287" s="60">
        <f t="shared" si="235"/>
        <v>0</v>
      </c>
      <c r="O287" s="60">
        <f t="shared" si="235"/>
        <v>0</v>
      </c>
      <c r="P287" s="60">
        <f t="shared" si="235"/>
        <v>0</v>
      </c>
      <c r="Q287" s="60">
        <f t="shared" si="235"/>
        <v>0</v>
      </c>
      <c r="R287" s="60">
        <f t="shared" si="235"/>
        <v>0</v>
      </c>
    </row>
    <row r="288" spans="3:20" hidden="1" outlineLevel="1" x14ac:dyDescent="0.3">
      <c r="C288" s="250" t="s">
        <v>31</v>
      </c>
      <c r="D288" s="55" t="s">
        <v>116</v>
      </c>
      <c r="E288" s="125">
        <v>0.89100000000000001</v>
      </c>
      <c r="F288" s="125">
        <v>2.08</v>
      </c>
      <c r="G288" s="125">
        <v>-7.2859999999999996</v>
      </c>
      <c r="H288" s="125">
        <v>5.0890000000000004</v>
      </c>
      <c r="I288" s="247">
        <f t="shared" ref="I288:R288" si="236">+I238-H238</f>
        <v>6.9834466729530824</v>
      </c>
      <c r="J288" s="247">
        <f t="shared" si="236"/>
        <v>8.9513252175738529</v>
      </c>
      <c r="K288" s="247">
        <f t="shared" si="236"/>
        <v>10.57756753166047</v>
      </c>
      <c r="L288" s="247">
        <f t="shared" si="236"/>
        <v>13.22871665289388</v>
      </c>
      <c r="M288" s="247">
        <f t="shared" si="236"/>
        <v>14.758058024988273</v>
      </c>
      <c r="N288" s="247">
        <f t="shared" si="236"/>
        <v>16.132612657620598</v>
      </c>
      <c r="O288" s="247">
        <f t="shared" si="236"/>
        <v>16.625882699886589</v>
      </c>
      <c r="P288" s="247">
        <f t="shared" si="236"/>
        <v>19.48598194229622</v>
      </c>
      <c r="Q288" s="247">
        <f t="shared" si="236"/>
        <v>-88.220053848048565</v>
      </c>
      <c r="R288" s="247">
        <f t="shared" si="236"/>
        <v>3.9349711612521645</v>
      </c>
    </row>
    <row r="289" spans="3:18" hidden="1" outlineLevel="1" x14ac:dyDescent="0.3">
      <c r="C289" s="231" t="s">
        <v>199</v>
      </c>
      <c r="D289" s="55" t="s">
        <v>116</v>
      </c>
      <c r="E289" s="125">
        <v>9.2759999999999998</v>
      </c>
      <c r="F289" s="125">
        <v>11.211</v>
      </c>
      <c r="G289" s="125">
        <v>-11.428000000000001</v>
      </c>
      <c r="H289" s="125">
        <v>14.717000000000001</v>
      </c>
      <c r="I289" s="247">
        <f t="shared" ref="I289:R289" si="237">+I239-H239</f>
        <v>79.610550452838581</v>
      </c>
      <c r="J289" s="247">
        <f t="shared" si="237"/>
        <v>-2.142806009952352</v>
      </c>
      <c r="K289" s="247">
        <f t="shared" si="237"/>
        <v>52.256497531330808</v>
      </c>
      <c r="L289" s="247">
        <f t="shared" si="237"/>
        <v>68.221567729045262</v>
      </c>
      <c r="M289" s="247">
        <f t="shared" si="237"/>
        <v>77.428776136125634</v>
      </c>
      <c r="N289" s="247">
        <f t="shared" si="237"/>
        <v>83.232385620579748</v>
      </c>
      <c r="O289" s="247">
        <f t="shared" si="237"/>
        <v>93.623873007855025</v>
      </c>
      <c r="P289" s="247">
        <f t="shared" si="237"/>
        <v>103.7642215842809</v>
      </c>
      <c r="Q289" s="247">
        <f t="shared" si="237"/>
        <v>-445.66559220309523</v>
      </c>
      <c r="R289" s="247">
        <f t="shared" si="237"/>
        <v>21.71832440139346</v>
      </c>
    </row>
    <row r="290" spans="3:18" hidden="1" outlineLevel="1" x14ac:dyDescent="0.3">
      <c r="C290" s="250" t="s">
        <v>50</v>
      </c>
      <c r="D290" s="55" t="s">
        <v>116</v>
      </c>
      <c r="E290" s="125">
        <v>0</v>
      </c>
      <c r="F290" s="125">
        <v>0</v>
      </c>
      <c r="G290" s="125">
        <v>39.340000000000003</v>
      </c>
      <c r="H290" s="125">
        <v>-38.984000000000002</v>
      </c>
      <c r="I290" s="251">
        <f t="shared" ref="I290:R290" si="238">+I240-H240</f>
        <v>0</v>
      </c>
      <c r="J290" s="251">
        <f t="shared" si="238"/>
        <v>0</v>
      </c>
      <c r="K290" s="251">
        <f t="shared" si="238"/>
        <v>0</v>
      </c>
      <c r="L290" s="251">
        <f t="shared" si="238"/>
        <v>0</v>
      </c>
      <c r="M290" s="251">
        <f t="shared" si="238"/>
        <v>0</v>
      </c>
      <c r="N290" s="251">
        <f t="shared" si="238"/>
        <v>0</v>
      </c>
      <c r="O290" s="251">
        <f t="shared" si="238"/>
        <v>0</v>
      </c>
      <c r="P290" s="251">
        <f t="shared" si="238"/>
        <v>0</v>
      </c>
      <c r="Q290" s="251">
        <f t="shared" si="238"/>
        <v>0</v>
      </c>
      <c r="R290" s="251">
        <f t="shared" si="238"/>
        <v>0</v>
      </c>
    </row>
    <row r="291" spans="3:18" hidden="1" outlineLevel="1" x14ac:dyDescent="0.3">
      <c r="C291" s="224" t="s">
        <v>63</v>
      </c>
      <c r="D291" s="55" t="s">
        <v>116</v>
      </c>
      <c r="E291" s="125">
        <v>-2.54</v>
      </c>
      <c r="F291" s="125">
        <v>-1.2729999999999999</v>
      </c>
      <c r="G291" s="125">
        <v>-1.2050000000000001</v>
      </c>
      <c r="H291" s="125">
        <v>-1.0609999999999999</v>
      </c>
      <c r="I291" s="252">
        <f t="shared" ref="I291:R291" si="239">+I242-H242+I247-H247</f>
        <v>2.5589581789177451</v>
      </c>
      <c r="J291" s="252">
        <f t="shared" si="239"/>
        <v>3.0111121761819994</v>
      </c>
      <c r="K291" s="252">
        <f t="shared" si="239"/>
        <v>3.5581594473229092</v>
      </c>
      <c r="L291" s="252">
        <f t="shared" si="239"/>
        <v>4.4499723583483686</v>
      </c>
      <c r="M291" s="252">
        <f t="shared" si="239"/>
        <v>4.96442338265161</v>
      </c>
      <c r="N291" s="252">
        <f t="shared" si="239"/>
        <v>5.4268061126434475</v>
      </c>
      <c r="O291" s="252">
        <f t="shared" si="239"/>
        <v>5.5927358933531188</v>
      </c>
      <c r="P291" s="252">
        <f t="shared" si="239"/>
        <v>6.5548369727553819</v>
      </c>
      <c r="Q291" s="252">
        <f t="shared" si="239"/>
        <v>-29.676106260083948</v>
      </c>
      <c r="R291" s="252">
        <f t="shared" si="239"/>
        <v>1.3236743486103428</v>
      </c>
    </row>
    <row r="292" spans="3:18" hidden="1" outlineLevel="1" x14ac:dyDescent="0.3">
      <c r="C292" s="253" t="s">
        <v>92</v>
      </c>
      <c r="D292" s="55" t="s">
        <v>116</v>
      </c>
      <c r="E292" s="125">
        <v>-2.4529999999999998</v>
      </c>
      <c r="F292" s="125">
        <v>-3.8679999999999999</v>
      </c>
      <c r="G292" s="125">
        <v>-4.9690000000000003</v>
      </c>
      <c r="H292" s="125">
        <v>14.82</v>
      </c>
      <c r="I292" s="247">
        <f t="shared" ref="I292:R292" si="240">+I243-H243+I249-H249</f>
        <v>0</v>
      </c>
      <c r="J292" s="247">
        <f t="shared" si="240"/>
        <v>0</v>
      </c>
      <c r="K292" s="247">
        <f t="shared" si="240"/>
        <v>0</v>
      </c>
      <c r="L292" s="247">
        <f t="shared" si="240"/>
        <v>0</v>
      </c>
      <c r="M292" s="247">
        <f t="shared" si="240"/>
        <v>0</v>
      </c>
      <c r="N292" s="247">
        <f t="shared" si="240"/>
        <v>0</v>
      </c>
      <c r="O292" s="247">
        <f t="shared" si="240"/>
        <v>0</v>
      </c>
      <c r="P292" s="247">
        <f t="shared" si="240"/>
        <v>0</v>
      </c>
      <c r="Q292" s="247">
        <f t="shared" si="240"/>
        <v>0</v>
      </c>
      <c r="R292" s="247">
        <f t="shared" si="240"/>
        <v>0</v>
      </c>
    </row>
    <row r="293" spans="3:18" hidden="1" outlineLevel="1" x14ac:dyDescent="0.3">
      <c r="C293" s="233" t="s">
        <v>51</v>
      </c>
      <c r="D293" s="234" t="s">
        <v>116</v>
      </c>
      <c r="E293" s="254">
        <f t="shared" ref="E293:I293" si="241">SUM(E273:E292)</f>
        <v>58.868000000000016</v>
      </c>
      <c r="F293" s="254">
        <f t="shared" si="241"/>
        <v>151.59600000000006</v>
      </c>
      <c r="G293" s="254">
        <f t="shared" si="241"/>
        <v>249.75199999999998</v>
      </c>
      <c r="H293" s="254">
        <f t="shared" si="241"/>
        <v>287.61599999999999</v>
      </c>
      <c r="I293" s="254">
        <f t="shared" si="241"/>
        <v>544.33845490687679</v>
      </c>
      <c r="J293" s="254">
        <f t="shared" ref="J293:R293" si="242">SUM(J273:J292)</f>
        <v>705.91463188737862</v>
      </c>
      <c r="K293" s="254">
        <f t="shared" si="242"/>
        <v>910.33892211402338</v>
      </c>
      <c r="L293" s="254">
        <f t="shared" si="242"/>
        <v>1161.4649234061183</v>
      </c>
      <c r="M293" s="254">
        <f t="shared" si="242"/>
        <v>1423.0426963609857</v>
      </c>
      <c r="N293" s="254">
        <f t="shared" si="242"/>
        <v>1715.7546514841799</v>
      </c>
      <c r="O293" s="254">
        <f t="shared" si="242"/>
        <v>2005.4880497119225</v>
      </c>
      <c r="P293" s="254">
        <f t="shared" si="242"/>
        <v>2348.6586928227985</v>
      </c>
      <c r="Q293" s="254">
        <f t="shared" si="242"/>
        <v>1192.5514504757234</v>
      </c>
      <c r="R293" s="254">
        <f t="shared" si="242"/>
        <v>819.95565638109861</v>
      </c>
    </row>
    <row r="294" spans="3:18" hidden="1" outlineLevel="1" x14ac:dyDescent="0.3">
      <c r="C294" s="54"/>
      <c r="D294" s="55"/>
      <c r="E294" s="255"/>
      <c r="F294" s="255"/>
      <c r="G294" s="255"/>
      <c r="H294" s="255"/>
      <c r="I294" s="53"/>
      <c r="J294" s="53"/>
      <c r="K294" s="53"/>
      <c r="L294" s="53"/>
      <c r="M294" s="53"/>
      <c r="N294" s="54"/>
      <c r="O294" s="54"/>
      <c r="P294" s="54"/>
      <c r="Q294" s="54"/>
      <c r="R294" s="54"/>
    </row>
    <row r="295" spans="3:18" hidden="1" outlineLevel="1" x14ac:dyDescent="0.3">
      <c r="C295" s="227" t="s">
        <v>45</v>
      </c>
      <c r="D295" s="55"/>
      <c r="E295" s="54"/>
      <c r="F295" s="53" t="s">
        <v>20</v>
      </c>
      <c r="G295" s="53" t="s">
        <v>20</v>
      </c>
      <c r="H295" s="53" t="s">
        <v>20</v>
      </c>
      <c r="I295" s="53"/>
      <c r="J295" s="53"/>
      <c r="K295" s="53"/>
      <c r="L295" s="53"/>
      <c r="M295" s="53"/>
      <c r="N295" s="54"/>
      <c r="O295" s="54"/>
      <c r="P295" s="54"/>
      <c r="Q295" s="54"/>
      <c r="R295" s="54"/>
    </row>
    <row r="296" spans="3:18" hidden="1" outlineLevel="1" x14ac:dyDescent="0.3">
      <c r="C296" s="216" t="s">
        <v>105</v>
      </c>
      <c r="D296" s="55" t="s">
        <v>116</v>
      </c>
      <c r="E296" s="125">
        <v>2.5880000000000001</v>
      </c>
      <c r="F296" s="125">
        <v>-75.452999999999989</v>
      </c>
      <c r="G296" s="125">
        <v>75.790999999999997</v>
      </c>
      <c r="H296" s="125">
        <v>0</v>
      </c>
      <c r="I296" s="70">
        <f t="shared" ref="I296:R296" si="243">+I153</f>
        <v>0</v>
      </c>
      <c r="J296" s="70">
        <f t="shared" si="243"/>
        <v>0</v>
      </c>
      <c r="K296" s="70">
        <f t="shared" si="243"/>
        <v>0</v>
      </c>
      <c r="L296" s="70">
        <f t="shared" si="243"/>
        <v>0</v>
      </c>
      <c r="M296" s="70">
        <f t="shared" si="243"/>
        <v>0</v>
      </c>
      <c r="N296" s="70">
        <f t="shared" si="243"/>
        <v>0</v>
      </c>
      <c r="O296" s="70">
        <f t="shared" si="243"/>
        <v>0</v>
      </c>
      <c r="P296" s="70">
        <f t="shared" si="243"/>
        <v>0</v>
      </c>
      <c r="Q296" s="70">
        <f t="shared" si="243"/>
        <v>0</v>
      </c>
      <c r="R296" s="70">
        <f t="shared" si="243"/>
        <v>0</v>
      </c>
    </row>
    <row r="297" spans="3:18" hidden="1" outlineLevel="1" x14ac:dyDescent="0.3">
      <c r="C297" s="216" t="s">
        <v>102</v>
      </c>
      <c r="D297" s="55" t="s">
        <v>116</v>
      </c>
      <c r="E297" s="125">
        <v>0</v>
      </c>
      <c r="F297" s="125">
        <v>0</v>
      </c>
      <c r="G297" s="125">
        <v>-448.60899999999992</v>
      </c>
      <c r="H297" s="125">
        <v>0</v>
      </c>
      <c r="I297" s="70">
        <f t="shared" ref="I297:R297" si="244">+I154</f>
        <v>-953.67600000000004</v>
      </c>
      <c r="J297" s="70">
        <f t="shared" si="244"/>
        <v>0</v>
      </c>
      <c r="K297" s="70">
        <f t="shared" si="244"/>
        <v>0</v>
      </c>
      <c r="L297" s="70">
        <f t="shared" si="244"/>
        <v>0</v>
      </c>
      <c r="M297" s="70">
        <f t="shared" si="244"/>
        <v>0</v>
      </c>
      <c r="N297" s="70">
        <f t="shared" si="244"/>
        <v>0</v>
      </c>
      <c r="O297" s="70">
        <f t="shared" si="244"/>
        <v>0</v>
      </c>
      <c r="P297" s="70">
        <f t="shared" si="244"/>
        <v>0</v>
      </c>
      <c r="Q297" s="70">
        <f t="shared" si="244"/>
        <v>0</v>
      </c>
      <c r="R297" s="70">
        <f t="shared" si="244"/>
        <v>0</v>
      </c>
    </row>
    <row r="298" spans="3:18" hidden="1" outlineLevel="1" x14ac:dyDescent="0.3">
      <c r="C298" s="216" t="s">
        <v>104</v>
      </c>
      <c r="D298" s="55" t="s">
        <v>116</v>
      </c>
      <c r="E298" s="125">
        <v>-4</v>
      </c>
      <c r="F298" s="125">
        <v>-4.5</v>
      </c>
      <c r="G298" s="125">
        <v>-16.5</v>
      </c>
      <c r="H298" s="125">
        <v>-1.3</v>
      </c>
      <c r="I298" s="70">
        <f t="shared" ref="I298:R298" si="245">+I155</f>
        <v>-6.5750000000000002</v>
      </c>
      <c r="J298" s="70">
        <f t="shared" si="245"/>
        <v>-6.5750000000000002</v>
      </c>
      <c r="K298" s="70">
        <f t="shared" si="245"/>
        <v>-6.5750000000000002</v>
      </c>
      <c r="L298" s="70">
        <f t="shared" si="245"/>
        <v>-6.5750000000000002</v>
      </c>
      <c r="M298" s="70">
        <f t="shared" si="245"/>
        <v>-6.5750000000000002</v>
      </c>
      <c r="N298" s="70">
        <f t="shared" si="245"/>
        <v>-6.5750000000000002</v>
      </c>
      <c r="O298" s="70">
        <f t="shared" si="245"/>
        <v>-6.5750000000000002</v>
      </c>
      <c r="P298" s="70">
        <f t="shared" si="245"/>
        <v>-6.5750000000000002</v>
      </c>
      <c r="Q298" s="70">
        <f t="shared" si="245"/>
        <v>-6.5750000000000002</v>
      </c>
      <c r="R298" s="70">
        <f t="shared" si="245"/>
        <v>-6.5750000000000002</v>
      </c>
    </row>
    <row r="299" spans="3:18" hidden="1" outlineLevel="1" x14ac:dyDescent="0.3">
      <c r="C299" s="216" t="s">
        <v>103</v>
      </c>
      <c r="D299" s="55" t="s">
        <v>116</v>
      </c>
      <c r="E299" s="125">
        <v>-0.73099999999999998</v>
      </c>
      <c r="F299" s="125">
        <v>-1.2789999999999999</v>
      </c>
      <c r="G299" s="125">
        <v>-5.976</v>
      </c>
      <c r="H299" s="125">
        <v>-9.9760000000000009</v>
      </c>
      <c r="I299" s="256">
        <f t="shared" ref="I299:R299" si="246">-I179*I148</f>
        <v>-14.122437268376617</v>
      </c>
      <c r="J299" s="256">
        <f t="shared" si="246"/>
        <v>-20.192364327037083</v>
      </c>
      <c r="K299" s="256">
        <f t="shared" si="246"/>
        <v>-27.972402154239646</v>
      </c>
      <c r="L299" s="256">
        <f t="shared" si="246"/>
        <v>-38.314129051445668</v>
      </c>
      <c r="M299" s="256">
        <f t="shared" si="246"/>
        <v>-50.797251086845264</v>
      </c>
      <c r="N299" s="256">
        <f t="shared" si="246"/>
        <v>-65.504042269140427</v>
      </c>
      <c r="O299" s="256">
        <f t="shared" si="246"/>
        <v>-81.940876986193203</v>
      </c>
      <c r="P299" s="256">
        <f t="shared" si="246"/>
        <v>-102.06088574016464</v>
      </c>
      <c r="Q299" s="256">
        <f t="shared" si="246"/>
        <v>-33.242245655226597</v>
      </c>
      <c r="R299" s="256">
        <f t="shared" si="246"/>
        <v>-38.379003103090085</v>
      </c>
    </row>
    <row r="300" spans="3:18" hidden="1" outlineLevel="1" x14ac:dyDescent="0.3">
      <c r="C300" s="233" t="s">
        <v>52</v>
      </c>
      <c r="D300" s="234" t="s">
        <v>116</v>
      </c>
      <c r="E300" s="254">
        <f t="shared" ref="E300:H300" si="247">SUM(E296:E299)</f>
        <v>-2.1429999999999998</v>
      </c>
      <c r="F300" s="254">
        <f t="shared" si="247"/>
        <v>-81.231999999999985</v>
      </c>
      <c r="G300" s="254">
        <f t="shared" si="247"/>
        <v>-395.29399999999993</v>
      </c>
      <c r="H300" s="254">
        <f t="shared" si="247"/>
        <v>-11.276000000000002</v>
      </c>
      <c r="I300" s="257">
        <f>SUM(I296:I299)</f>
        <v>-974.37343726837673</v>
      </c>
      <c r="J300" s="257">
        <f t="shared" ref="J300:R300" si="248">SUM(J296:J299)</f>
        <v>-26.767364327037082</v>
      </c>
      <c r="K300" s="257">
        <f t="shared" si="248"/>
        <v>-34.547402154239649</v>
      </c>
      <c r="L300" s="257">
        <f t="shared" si="248"/>
        <v>-44.889129051445671</v>
      </c>
      <c r="M300" s="257">
        <f t="shared" si="248"/>
        <v>-57.372251086845267</v>
      </c>
      <c r="N300" s="257">
        <f t="shared" si="248"/>
        <v>-72.07904226914043</v>
      </c>
      <c r="O300" s="257">
        <f t="shared" si="248"/>
        <v>-88.515876986193206</v>
      </c>
      <c r="P300" s="257">
        <f t="shared" si="248"/>
        <v>-108.63588574016464</v>
      </c>
      <c r="Q300" s="257">
        <f t="shared" si="248"/>
        <v>-39.8172456552266</v>
      </c>
      <c r="R300" s="257">
        <f t="shared" si="248"/>
        <v>-44.954003103090088</v>
      </c>
    </row>
    <row r="301" spans="3:18" hidden="1" outlineLevel="1" x14ac:dyDescent="0.3">
      <c r="C301" s="54"/>
      <c r="D301" s="55"/>
      <c r="E301" s="53"/>
      <c r="F301" s="53"/>
      <c r="G301" s="53"/>
      <c r="H301" s="53"/>
      <c r="I301" s="53"/>
      <c r="J301" s="53"/>
      <c r="K301" s="53"/>
      <c r="L301" s="53"/>
      <c r="M301" s="53"/>
      <c r="N301" s="54"/>
      <c r="O301" s="54"/>
      <c r="P301" s="54"/>
      <c r="Q301" s="54"/>
      <c r="R301" s="54"/>
    </row>
    <row r="302" spans="3:18" hidden="1" outlineLevel="1" x14ac:dyDescent="0.3">
      <c r="C302" s="227" t="s">
        <v>46</v>
      </c>
      <c r="D302" s="55"/>
      <c r="E302" s="55"/>
      <c r="F302" s="53"/>
      <c r="G302" s="53"/>
      <c r="H302" s="53"/>
      <c r="I302" s="53"/>
      <c r="J302" s="53"/>
      <c r="K302" s="53"/>
      <c r="L302" s="53"/>
      <c r="M302" s="53"/>
      <c r="N302" s="54"/>
      <c r="O302" s="54"/>
      <c r="P302" s="54"/>
      <c r="Q302" s="54"/>
      <c r="R302" s="54"/>
    </row>
    <row r="303" spans="3:18" hidden="1" outlineLevel="1" x14ac:dyDescent="0.3">
      <c r="C303" s="216" t="s">
        <v>107</v>
      </c>
      <c r="D303" s="55" t="s">
        <v>116</v>
      </c>
      <c r="E303" s="125">
        <v>48.427</v>
      </c>
      <c r="F303" s="125">
        <v>0</v>
      </c>
      <c r="G303" s="125">
        <v>450.916</v>
      </c>
      <c r="H303" s="125">
        <v>553.42499999999995</v>
      </c>
      <c r="I303" s="70">
        <f t="shared" ref="I303:R303" si="249">+I157</f>
        <v>636.35500000000002</v>
      </c>
      <c r="J303" s="70">
        <f t="shared" si="249"/>
        <v>0</v>
      </c>
      <c r="K303" s="70">
        <f t="shared" si="249"/>
        <v>0</v>
      </c>
      <c r="L303" s="70">
        <f t="shared" si="249"/>
        <v>0</v>
      </c>
      <c r="M303" s="70">
        <f t="shared" si="249"/>
        <v>0</v>
      </c>
      <c r="N303" s="70">
        <f t="shared" si="249"/>
        <v>0</v>
      </c>
      <c r="O303" s="70">
        <f t="shared" si="249"/>
        <v>0</v>
      </c>
      <c r="P303" s="70">
        <f t="shared" si="249"/>
        <v>0</v>
      </c>
      <c r="Q303" s="70">
        <f t="shared" si="249"/>
        <v>0</v>
      </c>
      <c r="R303" s="70">
        <f t="shared" si="249"/>
        <v>0</v>
      </c>
    </row>
    <row r="304" spans="3:18" hidden="1" outlineLevel="1" x14ac:dyDescent="0.3">
      <c r="C304" s="216" t="s">
        <v>108</v>
      </c>
      <c r="D304" s="55" t="s">
        <v>116</v>
      </c>
      <c r="E304" s="125">
        <v>-129.87700000000001</v>
      </c>
      <c r="F304" s="125">
        <v>-49.018000000000001</v>
      </c>
      <c r="G304" s="125">
        <v>-11.875</v>
      </c>
      <c r="H304" s="125">
        <v>-465.91</v>
      </c>
      <c r="I304" s="70">
        <f t="shared" ref="I304:R304" si="250">+I158</f>
        <v>-9.5250000000000004</v>
      </c>
      <c r="J304" s="70">
        <f t="shared" si="250"/>
        <v>-9.4789999999999992</v>
      </c>
      <c r="K304" s="70">
        <f t="shared" si="250"/>
        <v>-9.484</v>
      </c>
      <c r="L304" s="70">
        <f t="shared" si="250"/>
        <v>-309.49</v>
      </c>
      <c r="M304" s="70">
        <f t="shared" si="250"/>
        <v>-868.51199999999994</v>
      </c>
      <c r="N304" s="70">
        <f t="shared" si="250"/>
        <v>-0.29799999999999999</v>
      </c>
      <c r="O304" s="70">
        <f t="shared" si="250"/>
        <v>0</v>
      </c>
      <c r="P304" s="70">
        <f t="shared" si="250"/>
        <v>0</v>
      </c>
      <c r="Q304" s="70">
        <f t="shared" si="250"/>
        <v>0</v>
      </c>
      <c r="R304" s="70">
        <f t="shared" si="250"/>
        <v>0</v>
      </c>
    </row>
    <row r="305" spans="2:18" hidden="1" outlineLevel="1" x14ac:dyDescent="0.3">
      <c r="C305" s="226" t="s">
        <v>192</v>
      </c>
      <c r="D305" s="55" t="s">
        <v>116</v>
      </c>
      <c r="E305" s="125">
        <v>0</v>
      </c>
      <c r="F305" s="125">
        <v>0</v>
      </c>
      <c r="G305" s="125">
        <v>0</v>
      </c>
      <c r="H305" s="125">
        <v>0</v>
      </c>
      <c r="I305" s="70">
        <f t="shared" ref="I305:R305" si="251">+I159</f>
        <v>17.614999999999998</v>
      </c>
      <c r="J305" s="70">
        <f t="shared" si="251"/>
        <v>0</v>
      </c>
      <c r="K305" s="70">
        <f t="shared" si="251"/>
        <v>0</v>
      </c>
      <c r="L305" s="70">
        <f t="shared" si="251"/>
        <v>0</v>
      </c>
      <c r="M305" s="70">
        <f t="shared" si="251"/>
        <v>0</v>
      </c>
      <c r="N305" s="70">
        <f t="shared" si="251"/>
        <v>0</v>
      </c>
      <c r="O305" s="70">
        <f t="shared" si="251"/>
        <v>0</v>
      </c>
      <c r="P305" s="70">
        <f t="shared" si="251"/>
        <v>0</v>
      </c>
      <c r="Q305" s="70">
        <f t="shared" si="251"/>
        <v>0</v>
      </c>
      <c r="R305" s="70">
        <f t="shared" si="251"/>
        <v>0</v>
      </c>
    </row>
    <row r="306" spans="2:18" hidden="1" outlineLevel="1" x14ac:dyDescent="0.3">
      <c r="C306" s="226" t="s">
        <v>193</v>
      </c>
      <c r="D306" s="55" t="s">
        <v>116</v>
      </c>
      <c r="E306" s="125">
        <v>0</v>
      </c>
      <c r="F306" s="125">
        <v>0</v>
      </c>
      <c r="G306" s="125">
        <v>0</v>
      </c>
      <c r="H306" s="125">
        <v>0</v>
      </c>
      <c r="I306" s="70">
        <f t="shared" ref="I306:R306" si="252">+I160</f>
        <v>-35.1</v>
      </c>
      <c r="J306" s="70">
        <f t="shared" si="252"/>
        <v>0</v>
      </c>
      <c r="K306" s="70">
        <f t="shared" si="252"/>
        <v>0</v>
      </c>
      <c r="L306" s="70">
        <f t="shared" si="252"/>
        <v>0</v>
      </c>
      <c r="M306" s="70">
        <f t="shared" si="252"/>
        <v>0</v>
      </c>
      <c r="N306" s="70">
        <f t="shared" si="252"/>
        <v>0</v>
      </c>
      <c r="O306" s="70">
        <f t="shared" si="252"/>
        <v>0</v>
      </c>
      <c r="P306" s="70">
        <f t="shared" si="252"/>
        <v>0</v>
      </c>
      <c r="Q306" s="70">
        <f t="shared" si="252"/>
        <v>0</v>
      </c>
      <c r="R306" s="70">
        <f t="shared" si="252"/>
        <v>0</v>
      </c>
    </row>
    <row r="307" spans="2:18" hidden="1" outlineLevel="1" x14ac:dyDescent="0.3">
      <c r="C307" s="216" t="s">
        <v>106</v>
      </c>
      <c r="D307" s="55" t="s">
        <v>116</v>
      </c>
      <c r="E307" s="125">
        <v>-2.8929999999999998</v>
      </c>
      <c r="F307" s="125">
        <v>15.936</v>
      </c>
      <c r="G307" s="125">
        <v>9.4890000000000008</v>
      </c>
      <c r="H307" s="125">
        <v>24.94</v>
      </c>
      <c r="I307" s="70">
        <f t="shared" ref="I307:R307" si="253">+I161</f>
        <v>11.868</v>
      </c>
      <c r="J307" s="70">
        <f t="shared" si="253"/>
        <v>11.868</v>
      </c>
      <c r="K307" s="70">
        <f t="shared" si="253"/>
        <v>11.868</v>
      </c>
      <c r="L307" s="70">
        <f t="shared" si="253"/>
        <v>11.868</v>
      </c>
      <c r="M307" s="70">
        <f t="shared" si="253"/>
        <v>11.868</v>
      </c>
      <c r="N307" s="70">
        <f t="shared" si="253"/>
        <v>11.868</v>
      </c>
      <c r="O307" s="70">
        <f t="shared" si="253"/>
        <v>11.868</v>
      </c>
      <c r="P307" s="70">
        <f t="shared" si="253"/>
        <v>11.868</v>
      </c>
      <c r="Q307" s="70">
        <f t="shared" si="253"/>
        <v>11.868</v>
      </c>
      <c r="R307" s="70">
        <f t="shared" si="253"/>
        <v>11.868</v>
      </c>
    </row>
    <row r="308" spans="2:18" hidden="1" outlineLevel="1" x14ac:dyDescent="0.3">
      <c r="C308" s="216" t="s">
        <v>109</v>
      </c>
      <c r="D308" s="55" t="s">
        <v>116</v>
      </c>
      <c r="E308" s="125">
        <v>56.817</v>
      </c>
      <c r="F308" s="125">
        <v>0</v>
      </c>
      <c r="G308" s="125">
        <v>0</v>
      </c>
      <c r="H308" s="125">
        <v>0</v>
      </c>
      <c r="I308" s="70">
        <f t="shared" ref="I308:R308" si="254">+I163</f>
        <v>0</v>
      </c>
      <c r="J308" s="70">
        <f t="shared" si="254"/>
        <v>0</v>
      </c>
      <c r="K308" s="70">
        <f t="shared" si="254"/>
        <v>0</v>
      </c>
      <c r="L308" s="70">
        <f t="shared" si="254"/>
        <v>0</v>
      </c>
      <c r="M308" s="70">
        <f t="shared" si="254"/>
        <v>0</v>
      </c>
      <c r="N308" s="70">
        <f t="shared" si="254"/>
        <v>0</v>
      </c>
      <c r="O308" s="70">
        <f t="shared" si="254"/>
        <v>0</v>
      </c>
      <c r="P308" s="70">
        <f t="shared" si="254"/>
        <v>0</v>
      </c>
      <c r="Q308" s="70">
        <f t="shared" si="254"/>
        <v>0</v>
      </c>
      <c r="R308" s="70">
        <f t="shared" si="254"/>
        <v>0</v>
      </c>
    </row>
    <row r="309" spans="2:18" hidden="1" outlineLevel="1" x14ac:dyDescent="0.3">
      <c r="C309" s="224" t="s">
        <v>69</v>
      </c>
      <c r="D309" s="55" t="s">
        <v>116</v>
      </c>
      <c r="E309" s="125">
        <v>0</v>
      </c>
      <c r="F309" s="125">
        <v>0</v>
      </c>
      <c r="G309" s="125">
        <v>0</v>
      </c>
      <c r="H309" s="125">
        <v>-136.48400000000001</v>
      </c>
      <c r="I309" s="70">
        <f t="shared" ref="I309:R309" si="255">+I164</f>
        <v>0</v>
      </c>
      <c r="J309" s="70">
        <f t="shared" si="255"/>
        <v>0</v>
      </c>
      <c r="K309" s="70">
        <f t="shared" si="255"/>
        <v>0</v>
      </c>
      <c r="L309" s="70">
        <f t="shared" si="255"/>
        <v>0</v>
      </c>
      <c r="M309" s="70">
        <f t="shared" si="255"/>
        <v>0</v>
      </c>
      <c r="N309" s="70">
        <f t="shared" si="255"/>
        <v>0</v>
      </c>
      <c r="O309" s="70">
        <f t="shared" si="255"/>
        <v>0</v>
      </c>
      <c r="P309" s="70">
        <f t="shared" si="255"/>
        <v>0</v>
      </c>
      <c r="Q309" s="70">
        <f t="shared" si="255"/>
        <v>0</v>
      </c>
      <c r="R309" s="70">
        <f t="shared" si="255"/>
        <v>0</v>
      </c>
    </row>
    <row r="310" spans="2:18" hidden="1" outlineLevel="1" x14ac:dyDescent="0.3">
      <c r="C310" s="248" t="s">
        <v>86</v>
      </c>
      <c r="D310" s="55" t="s">
        <v>116</v>
      </c>
      <c r="E310" s="125">
        <v>0</v>
      </c>
      <c r="F310" s="125">
        <v>0</v>
      </c>
      <c r="G310" s="125">
        <v>0</v>
      </c>
      <c r="H310" s="125">
        <v>0</v>
      </c>
      <c r="I310" s="159">
        <f t="shared" ref="I310:R310" si="256">+I165</f>
        <v>0</v>
      </c>
      <c r="J310" s="159">
        <f t="shared" si="256"/>
        <v>0</v>
      </c>
      <c r="K310" s="159">
        <f t="shared" si="256"/>
        <v>0</v>
      </c>
      <c r="L310" s="159">
        <f t="shared" si="256"/>
        <v>0</v>
      </c>
      <c r="M310" s="159">
        <f t="shared" si="256"/>
        <v>0</v>
      </c>
      <c r="N310" s="159">
        <f t="shared" si="256"/>
        <v>0</v>
      </c>
      <c r="O310" s="159">
        <f t="shared" si="256"/>
        <v>0</v>
      </c>
      <c r="P310" s="159">
        <f t="shared" si="256"/>
        <v>0</v>
      </c>
      <c r="Q310" s="159">
        <f t="shared" si="256"/>
        <v>0</v>
      </c>
      <c r="R310" s="159">
        <f t="shared" si="256"/>
        <v>0</v>
      </c>
    </row>
    <row r="311" spans="2:18" hidden="1" outlineLevel="1" x14ac:dyDescent="0.3">
      <c r="C311" s="233" t="s">
        <v>53</v>
      </c>
      <c r="D311" s="234" t="s">
        <v>116</v>
      </c>
      <c r="E311" s="254">
        <f t="shared" ref="E311:H311" si="257">SUM(E303:E310)</f>
        <v>-27.526000000000018</v>
      </c>
      <c r="F311" s="254">
        <f t="shared" si="257"/>
        <v>-33.082000000000001</v>
      </c>
      <c r="G311" s="254">
        <f t="shared" si="257"/>
        <v>448.53</v>
      </c>
      <c r="H311" s="254">
        <f t="shared" si="257"/>
        <v>-24.029000000000082</v>
      </c>
      <c r="I311" s="257">
        <f>SUM(I303:I310)</f>
        <v>621.21300000000008</v>
      </c>
      <c r="J311" s="257">
        <f t="shared" ref="J311:R311" si="258">SUM(J303:J310)</f>
        <v>2.3890000000000011</v>
      </c>
      <c r="K311" s="257">
        <f t="shared" si="258"/>
        <v>2.3840000000000003</v>
      </c>
      <c r="L311" s="257">
        <f t="shared" si="258"/>
        <v>-297.62200000000001</v>
      </c>
      <c r="M311" s="257">
        <f t="shared" si="258"/>
        <v>-856.64399999999989</v>
      </c>
      <c r="N311" s="257">
        <f t="shared" si="258"/>
        <v>11.57</v>
      </c>
      <c r="O311" s="257">
        <f t="shared" si="258"/>
        <v>11.868</v>
      </c>
      <c r="P311" s="257">
        <f t="shared" si="258"/>
        <v>11.868</v>
      </c>
      <c r="Q311" s="257">
        <f t="shared" si="258"/>
        <v>11.868</v>
      </c>
      <c r="R311" s="257">
        <f t="shared" si="258"/>
        <v>11.868</v>
      </c>
    </row>
    <row r="312" spans="2:18" hidden="1" outlineLevel="1" x14ac:dyDescent="0.3">
      <c r="C312" s="54"/>
      <c r="D312" s="55"/>
      <c r="E312" s="258"/>
      <c r="F312" s="258"/>
      <c r="G312" s="258"/>
      <c r="H312" s="258"/>
      <c r="I312" s="53"/>
      <c r="J312" s="53"/>
      <c r="K312" s="53"/>
      <c r="L312" s="53"/>
      <c r="M312" s="53"/>
      <c r="N312" s="54"/>
      <c r="O312" s="54"/>
      <c r="P312" s="54"/>
      <c r="Q312" s="54"/>
      <c r="R312" s="54"/>
    </row>
    <row r="313" spans="2:18" hidden="1" outlineLevel="1" x14ac:dyDescent="0.3">
      <c r="C313" s="124" t="s">
        <v>54</v>
      </c>
      <c r="D313" s="55" t="s">
        <v>116</v>
      </c>
      <c r="E313" s="125">
        <v>0</v>
      </c>
      <c r="F313" s="223">
        <v>0</v>
      </c>
      <c r="G313" s="223">
        <v>2.1320000000000001</v>
      </c>
      <c r="H313" s="223">
        <v>0.997</v>
      </c>
      <c r="I313" s="70">
        <f t="shared" ref="I313:R313" si="259">+I166</f>
        <v>0.78225</v>
      </c>
      <c r="J313" s="70">
        <f t="shared" si="259"/>
        <v>0.78225</v>
      </c>
      <c r="K313" s="70">
        <f t="shared" si="259"/>
        <v>0.78225</v>
      </c>
      <c r="L313" s="70">
        <f t="shared" si="259"/>
        <v>0.78225</v>
      </c>
      <c r="M313" s="70">
        <f t="shared" si="259"/>
        <v>0.78225</v>
      </c>
      <c r="N313" s="70">
        <f t="shared" si="259"/>
        <v>0.78225</v>
      </c>
      <c r="O313" s="70">
        <f t="shared" si="259"/>
        <v>0.78225</v>
      </c>
      <c r="P313" s="70">
        <f t="shared" si="259"/>
        <v>0.78225</v>
      </c>
      <c r="Q313" s="70">
        <f t="shared" si="259"/>
        <v>0.78225</v>
      </c>
      <c r="R313" s="70">
        <f t="shared" si="259"/>
        <v>0.78225</v>
      </c>
    </row>
    <row r="314" spans="2:18" hidden="1" outlineLevel="1" x14ac:dyDescent="0.3">
      <c r="C314" s="124"/>
      <c r="D314" s="55"/>
      <c r="E314" s="54"/>
      <c r="F314" s="54"/>
      <c r="G314" s="54"/>
      <c r="H314" s="54"/>
      <c r="I314" s="53"/>
      <c r="J314" s="53"/>
      <c r="K314" s="53"/>
      <c r="L314" s="53"/>
      <c r="M314" s="53"/>
      <c r="N314" s="54"/>
      <c r="O314" s="54"/>
      <c r="P314" s="54"/>
      <c r="Q314" s="54"/>
      <c r="R314" s="54"/>
    </row>
    <row r="315" spans="2:18" hidden="1" outlineLevel="1" x14ac:dyDescent="0.3">
      <c r="C315" s="124" t="s">
        <v>55</v>
      </c>
      <c r="D315" s="55" t="s">
        <v>116</v>
      </c>
      <c r="E315" s="259">
        <f t="shared" ref="E315:I315" si="260">+E313+E311+E300+E293</f>
        <v>29.198999999999998</v>
      </c>
      <c r="F315" s="259">
        <f t="shared" si="260"/>
        <v>37.282000000000068</v>
      </c>
      <c r="G315" s="259">
        <f t="shared" si="260"/>
        <v>305.12</v>
      </c>
      <c r="H315" s="259">
        <f t="shared" si="260"/>
        <v>253.30799999999991</v>
      </c>
      <c r="I315" s="259">
        <f t="shared" si="260"/>
        <v>191.96026763850011</v>
      </c>
      <c r="J315" s="259">
        <f t="shared" ref="J315:R315" si="261">+J313+J311+J300+J293</f>
        <v>682.31851756034155</v>
      </c>
      <c r="K315" s="259">
        <f t="shared" si="261"/>
        <v>878.95776995978372</v>
      </c>
      <c r="L315" s="259">
        <f t="shared" si="261"/>
        <v>819.73604435467257</v>
      </c>
      <c r="M315" s="259">
        <f t="shared" si="261"/>
        <v>509.80869527414052</v>
      </c>
      <c r="N315" s="259">
        <f t="shared" si="261"/>
        <v>1656.0278592150396</v>
      </c>
      <c r="O315" s="259">
        <f t="shared" si="261"/>
        <v>1929.6224227257294</v>
      </c>
      <c r="P315" s="259">
        <f t="shared" si="261"/>
        <v>2252.6730570826339</v>
      </c>
      <c r="Q315" s="259">
        <f t="shared" si="261"/>
        <v>1165.3844548204968</v>
      </c>
      <c r="R315" s="259">
        <f t="shared" si="261"/>
        <v>787.65190327800849</v>
      </c>
    </row>
    <row r="316" spans="2:18" hidden="1" outlineLevel="1" x14ac:dyDescent="0.3">
      <c r="C316" s="124" t="s">
        <v>56</v>
      </c>
      <c r="D316" s="55" t="s">
        <v>116</v>
      </c>
      <c r="E316" s="125">
        <f>15595/Units</f>
        <v>15.595000000000001</v>
      </c>
      <c r="F316" s="260">
        <f>+E317</f>
        <v>44.793999999999997</v>
      </c>
      <c r="G316" s="260">
        <f t="shared" ref="G316:H316" si="262">+F317</f>
        <v>82.076000000000064</v>
      </c>
      <c r="H316" s="260">
        <f t="shared" si="262"/>
        <v>387.19600000000008</v>
      </c>
      <c r="I316" s="260">
        <f>+H317</f>
        <v>640.50400000000002</v>
      </c>
      <c r="J316" s="260">
        <f t="shared" ref="J316:R316" si="263">+I317</f>
        <v>832.46426763850013</v>
      </c>
      <c r="K316" s="260">
        <f t="shared" si="263"/>
        <v>1514.7827851988418</v>
      </c>
      <c r="L316" s="260">
        <f t="shared" si="263"/>
        <v>2393.7405551586253</v>
      </c>
      <c r="M316" s="260">
        <f t="shared" si="263"/>
        <v>3213.476599513298</v>
      </c>
      <c r="N316" s="260">
        <f t="shared" si="263"/>
        <v>3723.2852947874385</v>
      </c>
      <c r="O316" s="260">
        <f t="shared" si="263"/>
        <v>5379.3131540024779</v>
      </c>
      <c r="P316" s="260">
        <f t="shared" si="263"/>
        <v>7308.9355767282068</v>
      </c>
      <c r="Q316" s="260">
        <f t="shared" si="263"/>
        <v>9561.6086338108398</v>
      </c>
      <c r="R316" s="260">
        <f t="shared" si="263"/>
        <v>10726.993088631336</v>
      </c>
    </row>
    <row r="317" spans="2:18" hidden="1" outlineLevel="1" x14ac:dyDescent="0.3">
      <c r="C317" s="227" t="s">
        <v>57</v>
      </c>
      <c r="D317" s="55" t="s">
        <v>116</v>
      </c>
      <c r="E317" s="257">
        <f>+E316+E315</f>
        <v>44.793999999999997</v>
      </c>
      <c r="F317" s="257">
        <f t="shared" ref="F317:H317" si="264">+F316+F315</f>
        <v>82.076000000000064</v>
      </c>
      <c r="G317" s="257">
        <f t="shared" si="264"/>
        <v>387.19600000000008</v>
      </c>
      <c r="H317" s="257">
        <f t="shared" si="264"/>
        <v>640.50400000000002</v>
      </c>
      <c r="I317" s="257">
        <f>+I316+I315</f>
        <v>832.46426763850013</v>
      </c>
      <c r="J317" s="257">
        <f t="shared" ref="J317:R317" si="265">+J316+J315</f>
        <v>1514.7827851988418</v>
      </c>
      <c r="K317" s="257">
        <f t="shared" si="265"/>
        <v>2393.7405551586253</v>
      </c>
      <c r="L317" s="257">
        <f t="shared" si="265"/>
        <v>3213.476599513298</v>
      </c>
      <c r="M317" s="257">
        <f t="shared" si="265"/>
        <v>3723.2852947874385</v>
      </c>
      <c r="N317" s="257">
        <f t="shared" si="265"/>
        <v>5379.3131540024779</v>
      </c>
      <c r="O317" s="257">
        <f t="shared" si="265"/>
        <v>7308.9355767282068</v>
      </c>
      <c r="P317" s="257">
        <f t="shared" si="265"/>
        <v>9561.6086338108398</v>
      </c>
      <c r="Q317" s="257">
        <f t="shared" si="265"/>
        <v>10726.993088631336</v>
      </c>
      <c r="R317" s="257">
        <f t="shared" si="265"/>
        <v>11514.644991909345</v>
      </c>
    </row>
    <row r="318" spans="2:18" collapsed="1" x14ac:dyDescent="0.3"/>
    <row r="319" spans="2:18" x14ac:dyDescent="0.3">
      <c r="B319" s="276"/>
      <c r="C319" s="276"/>
      <c r="D319" s="580"/>
      <c r="E319" s="580"/>
      <c r="F319" s="580"/>
      <c r="G319" s="581"/>
      <c r="H319" s="581"/>
      <c r="I319" s="581"/>
      <c r="J319" s="581"/>
      <c r="K319" s="581"/>
      <c r="L319" s="581"/>
      <c r="M319" s="581"/>
      <c r="N319" s="276"/>
      <c r="O319" s="276"/>
      <c r="P319" s="276"/>
      <c r="Q319" s="276"/>
      <c r="R319" s="276"/>
    </row>
    <row r="320" spans="2:18" x14ac:dyDescent="0.3">
      <c r="B320" s="267" t="s">
        <v>380</v>
      </c>
      <c r="C320" s="267"/>
      <c r="D320" s="268"/>
      <c r="E320" s="273"/>
      <c r="F320" s="273"/>
      <c r="G320" s="564"/>
      <c r="H320" s="564"/>
      <c r="I320" s="564"/>
      <c r="J320" s="564"/>
      <c r="K320" s="564"/>
      <c r="L320" s="564"/>
      <c r="M320" s="564"/>
      <c r="N320" s="565"/>
      <c r="O320" s="565"/>
      <c r="P320" s="565"/>
      <c r="Q320" s="565"/>
      <c r="R320" s="565"/>
    </row>
    <row r="321" spans="2:20" outlineLevel="1" x14ac:dyDescent="0.3">
      <c r="B321" s="584"/>
      <c r="C321" s="584"/>
      <c r="G321" s="642"/>
      <c r="H321" s="642"/>
      <c r="I321" s="642"/>
      <c r="J321" s="642"/>
      <c r="K321" s="642"/>
      <c r="L321" s="642"/>
      <c r="M321" s="642"/>
      <c r="N321" s="584"/>
      <c r="O321" s="584"/>
      <c r="P321" s="584"/>
      <c r="Q321" s="584"/>
      <c r="R321" s="584"/>
    </row>
    <row r="322" spans="2:20" outlineLevel="1" x14ac:dyDescent="0.3">
      <c r="B322" s="584"/>
      <c r="C322" s="566" t="s">
        <v>381</v>
      </c>
      <c r="D322" s="719">
        <f>+WACC</f>
        <v>8.0689413117016523E-2</v>
      </c>
      <c r="E322" s="566"/>
      <c r="F322" s="566" t="s">
        <v>387</v>
      </c>
      <c r="G322" s="566"/>
      <c r="H322" s="566"/>
      <c r="I322" s="569">
        <v>0</v>
      </c>
      <c r="J322" s="642"/>
      <c r="K322" s="746" t="s">
        <v>464</v>
      </c>
      <c r="L322" s="747"/>
      <c r="M322" s="747"/>
      <c r="N322" s="748"/>
      <c r="O322" s="748"/>
      <c r="P322" s="748"/>
      <c r="Q322" s="748"/>
      <c r="R322" s="748"/>
    </row>
    <row r="323" spans="2:20" outlineLevel="1" x14ac:dyDescent="0.3">
      <c r="B323" s="584"/>
      <c r="C323" s="631" t="s">
        <v>394</v>
      </c>
      <c r="D323" s="668">
        <v>0.75</v>
      </c>
      <c r="F323" s="511"/>
      <c r="G323" s="511"/>
      <c r="H323" s="511"/>
      <c r="I323" s="511"/>
      <c r="J323" s="642"/>
      <c r="K323" s="642"/>
      <c r="L323" s="642"/>
      <c r="M323" s="642"/>
      <c r="N323" s="584"/>
      <c r="O323" s="584"/>
      <c r="P323" s="584"/>
      <c r="Q323" s="584"/>
      <c r="R323" s="584"/>
    </row>
    <row r="324" spans="2:20" outlineLevel="1" x14ac:dyDescent="0.3">
      <c r="B324" s="584"/>
      <c r="C324" s="631" t="s">
        <v>395</v>
      </c>
      <c r="D324" s="669">
        <f>_xlfn.DAYS(Next_Year,Valuation_Date)/_xlfn.DAYS(Next_Year,Hist_Year)</f>
        <v>0.64657534246575343</v>
      </c>
      <c r="F324" s="570" t="s">
        <v>541</v>
      </c>
      <c r="G324" s="566"/>
      <c r="H324" s="566"/>
      <c r="I324" s="571">
        <f>IF(Multiples_Method,D327/((1+Discount_Rate)^R408),D331/((1+Discount_Rate)^R408))</f>
        <v>4962.0698920078503</v>
      </c>
      <c r="J324" s="642"/>
      <c r="K324" s="642" t="s">
        <v>466</v>
      </c>
      <c r="L324" s="642"/>
      <c r="M324" s="642"/>
      <c r="N324" s="584"/>
      <c r="O324" s="584"/>
      <c r="P324" s="584"/>
      <c r="Q324" s="584"/>
      <c r="R324" s="584"/>
      <c r="S324" s="584"/>
      <c r="T324" s="584"/>
    </row>
    <row r="325" spans="2:20" outlineLevel="1" x14ac:dyDescent="0.3">
      <c r="B325" s="584"/>
      <c r="C325" s="584"/>
      <c r="D325" s="584"/>
      <c r="F325" s="572" t="s">
        <v>542</v>
      </c>
      <c r="G325" s="573"/>
      <c r="H325" s="573"/>
      <c r="I325" s="574">
        <f>SUM(I406:R406)</f>
        <v>8395.6653234491714</v>
      </c>
      <c r="J325" s="642"/>
      <c r="K325" s="642"/>
      <c r="L325" s="642"/>
      <c r="M325" s="642"/>
      <c r="N325" s="584"/>
      <c r="O325" s="584"/>
      <c r="P325" s="584"/>
      <c r="Q325" s="584"/>
      <c r="R325" s="584"/>
      <c r="S325" s="584"/>
      <c r="T325" s="584"/>
    </row>
    <row r="326" spans="2:20" outlineLevel="1" x14ac:dyDescent="0.3">
      <c r="B326" s="584"/>
      <c r="C326" s="566" t="s">
        <v>382</v>
      </c>
      <c r="D326" s="670">
        <v>12</v>
      </c>
      <c r="F326" s="575" t="s">
        <v>388</v>
      </c>
      <c r="G326" s="566"/>
      <c r="H326" s="566"/>
      <c r="I326" s="576">
        <f>SUM(I324:I325)</f>
        <v>13357.735215457022</v>
      </c>
      <c r="J326" s="642"/>
      <c r="K326" s="642" t="s">
        <v>467</v>
      </c>
      <c r="L326" s="642"/>
      <c r="M326" s="642"/>
      <c r="N326" s="584"/>
      <c r="O326" s="584"/>
      <c r="P326" s="584"/>
      <c r="Q326" s="584"/>
      <c r="R326" s="584"/>
      <c r="S326" s="584"/>
      <c r="T326" s="584"/>
    </row>
    <row r="327" spans="2:20" outlineLevel="1" x14ac:dyDescent="0.3">
      <c r="B327" s="584"/>
      <c r="C327" s="566" t="s">
        <v>383</v>
      </c>
      <c r="D327" s="567">
        <f>+Terminal_Multiple*R413</f>
        <v>10482.140972216221</v>
      </c>
      <c r="F327" s="511"/>
      <c r="G327" s="511"/>
      <c r="H327" s="511"/>
      <c r="I327" s="511"/>
      <c r="J327" s="642"/>
      <c r="K327" s="722" t="s">
        <v>468</v>
      </c>
      <c r="L327" s="642"/>
      <c r="M327" s="642"/>
      <c r="N327" s="584"/>
      <c r="O327" s="584"/>
      <c r="P327" s="584"/>
      <c r="Q327" s="584"/>
      <c r="R327" s="584"/>
      <c r="S327" s="584"/>
      <c r="T327" s="584"/>
    </row>
    <row r="328" spans="2:20" outlineLevel="1" x14ac:dyDescent="0.3">
      <c r="B328" s="584"/>
      <c r="C328" s="566" t="s">
        <v>384</v>
      </c>
      <c r="D328" s="568">
        <f>(+D327*Discount_Rate-R404*(1+Discount_Rate)^0.5)/(R404*(1+Discount_Rate)^0.5+D327)</f>
        <v>2.9483295393891483E-3</v>
      </c>
      <c r="F328" s="583" t="s">
        <v>389</v>
      </c>
      <c r="G328" s="511"/>
      <c r="H328" s="511"/>
      <c r="I328" s="672">
        <f>+I324/I326</f>
        <v>0.37147538950060538</v>
      </c>
      <c r="J328" s="642"/>
      <c r="K328" s="642" t="s">
        <v>469</v>
      </c>
      <c r="L328" s="642"/>
      <c r="M328" s="642"/>
      <c r="N328" s="584"/>
      <c r="O328" s="584"/>
      <c r="P328" s="584"/>
      <c r="Q328" s="584"/>
      <c r="R328" s="584"/>
      <c r="S328" s="584"/>
      <c r="T328" s="584"/>
    </row>
    <row r="329" spans="2:20" outlineLevel="1" x14ac:dyDescent="0.3">
      <c r="B329" s="584"/>
      <c r="C329" s="584"/>
      <c r="D329" s="511"/>
      <c r="F329" s="511"/>
      <c r="G329" s="511"/>
      <c r="H329" s="511"/>
      <c r="I329" s="511"/>
      <c r="J329" s="642"/>
      <c r="K329" s="642"/>
      <c r="L329" s="642"/>
      <c r="M329" s="642"/>
      <c r="N329" s="584"/>
      <c r="O329" s="584"/>
      <c r="P329" s="584"/>
      <c r="Q329" s="584"/>
      <c r="R329" s="584"/>
      <c r="S329" s="584"/>
      <c r="T329" s="584"/>
    </row>
    <row r="330" spans="2:20" outlineLevel="1" x14ac:dyDescent="0.3">
      <c r="B330" s="584"/>
      <c r="C330" s="566" t="s">
        <v>385</v>
      </c>
      <c r="D330" s="671">
        <v>3.0000000000000001E-3</v>
      </c>
      <c r="F330" s="511" t="s">
        <v>396</v>
      </c>
      <c r="G330" s="511"/>
      <c r="H330" s="511"/>
      <c r="I330" s="657">
        <f>-'Public-Comps-Data'!AP25</f>
        <v>251.376</v>
      </c>
      <c r="J330" s="642"/>
      <c r="K330" s="746" t="s">
        <v>470</v>
      </c>
      <c r="L330" s="747"/>
      <c r="M330" s="747"/>
      <c r="N330" s="748"/>
      <c r="O330" s="748"/>
      <c r="P330" s="748"/>
      <c r="Q330" s="748"/>
      <c r="R330" s="748"/>
      <c r="S330" s="584"/>
      <c r="T330" s="584"/>
    </row>
    <row r="331" spans="2:20" outlineLevel="1" x14ac:dyDescent="0.3">
      <c r="B331" s="584"/>
      <c r="C331" s="566" t="s">
        <v>383</v>
      </c>
      <c r="D331" s="567">
        <f>+R404*(1+Terminal_Growth_Rate)/(Discount_Rate-Terminal_Growth_Rate)*(1+Discount_Rate)^0.5</f>
        <v>10489.652924594395</v>
      </c>
      <c r="F331" s="584" t="s">
        <v>397</v>
      </c>
      <c r="G331" s="584"/>
      <c r="H331" s="584"/>
      <c r="I331" s="658">
        <f>-'Public-Comps-Data'!AP26</f>
        <v>0</v>
      </c>
      <c r="J331" s="642"/>
      <c r="K331" s="642"/>
      <c r="L331" s="642"/>
      <c r="M331" s="642"/>
      <c r="N331" s="584"/>
      <c r="O331" s="584"/>
      <c r="P331" s="584"/>
      <c r="Q331" s="584"/>
      <c r="R331" s="584"/>
      <c r="S331" s="584"/>
      <c r="T331" s="584"/>
    </row>
    <row r="332" spans="2:20" outlineLevel="1" x14ac:dyDescent="0.3">
      <c r="B332" s="584"/>
      <c r="C332" s="566" t="s">
        <v>386</v>
      </c>
      <c r="D332" s="667">
        <f>+D331/R413</f>
        <v>12.008599715342219</v>
      </c>
      <c r="F332" s="584" t="s">
        <v>398</v>
      </c>
      <c r="G332" s="584"/>
      <c r="H332" s="584"/>
      <c r="I332" s="658">
        <f>-'Public-Comps-Data'!AP27</f>
        <v>0</v>
      </c>
      <c r="J332" s="642"/>
      <c r="K332" s="642" t="s">
        <v>471</v>
      </c>
      <c r="L332" s="642"/>
      <c r="M332" s="642"/>
      <c r="N332" s="584"/>
      <c r="O332" s="584"/>
      <c r="P332" s="584"/>
      <c r="Q332" s="584"/>
      <c r="R332" s="584"/>
      <c r="S332" s="584"/>
      <c r="T332" s="584"/>
    </row>
    <row r="333" spans="2:20" outlineLevel="1" x14ac:dyDescent="0.3">
      <c r="B333" s="584"/>
      <c r="C333" s="584"/>
      <c r="D333" s="584"/>
      <c r="F333" s="584" t="s">
        <v>399</v>
      </c>
      <c r="G333" s="584"/>
      <c r="H333" s="584"/>
      <c r="I333" s="658">
        <f>-'Public-Comps-Data'!AP28</f>
        <v>71.364000000000004</v>
      </c>
      <c r="J333" s="642"/>
      <c r="K333" s="642" t="s">
        <v>472</v>
      </c>
      <c r="L333" s="642"/>
      <c r="M333" s="642"/>
      <c r="N333" s="584"/>
      <c r="O333" s="584"/>
      <c r="P333" s="584"/>
      <c r="Q333" s="584"/>
      <c r="R333" s="584"/>
      <c r="S333" s="584"/>
      <c r="T333" s="584"/>
    </row>
    <row r="334" spans="2:20" outlineLevel="1" x14ac:dyDescent="0.3">
      <c r="B334" s="584"/>
      <c r="C334" s="584"/>
      <c r="F334" s="584" t="s">
        <v>400</v>
      </c>
      <c r="G334" s="584"/>
      <c r="H334" s="584"/>
      <c r="I334" s="658">
        <f>-'Public-Comps-Data'!AP29</f>
        <v>-1198.6089999999999</v>
      </c>
      <c r="J334" s="642"/>
      <c r="K334" s="642"/>
      <c r="L334" s="642"/>
      <c r="M334" s="642"/>
      <c r="N334" s="584"/>
      <c r="O334" s="584"/>
      <c r="P334" s="584"/>
      <c r="Q334" s="584"/>
      <c r="R334" s="584"/>
      <c r="S334" s="584"/>
      <c r="T334" s="584"/>
    </row>
    <row r="335" spans="2:20" outlineLevel="1" x14ac:dyDescent="0.3">
      <c r="B335" s="584"/>
      <c r="C335" s="584"/>
      <c r="F335" s="584" t="s">
        <v>401</v>
      </c>
      <c r="G335" s="584"/>
      <c r="H335" s="584"/>
      <c r="I335" s="658">
        <f>-'Public-Comps-Data'!AP30</f>
        <v>0</v>
      </c>
      <c r="J335" s="642"/>
      <c r="K335" s="746" t="s">
        <v>473</v>
      </c>
      <c r="L335" s="747"/>
      <c r="M335" s="747"/>
      <c r="N335" s="748"/>
      <c r="O335" s="748"/>
      <c r="P335" s="748"/>
      <c r="Q335" s="748"/>
      <c r="R335" s="748"/>
      <c r="S335" s="584"/>
      <c r="T335" s="584"/>
    </row>
    <row r="336" spans="2:20" outlineLevel="1" x14ac:dyDescent="0.3">
      <c r="B336" s="584"/>
      <c r="C336" s="584"/>
      <c r="F336" s="584" t="s">
        <v>402</v>
      </c>
      <c r="G336" s="584"/>
      <c r="H336" s="584"/>
      <c r="I336" s="658">
        <f>-'Public-Comps-Data'!AP31</f>
        <v>-17.614999999999998</v>
      </c>
      <c r="J336" s="642"/>
      <c r="K336" s="685"/>
      <c r="L336" s="642"/>
      <c r="M336" s="642"/>
      <c r="N336" s="584"/>
      <c r="O336" s="584"/>
      <c r="P336" s="584"/>
      <c r="Q336" s="584"/>
      <c r="R336" s="584"/>
      <c r="S336" s="584"/>
      <c r="T336" s="584"/>
    </row>
    <row r="337" spans="2:20" outlineLevel="1" x14ac:dyDescent="0.3">
      <c r="B337" s="584"/>
      <c r="C337" s="584"/>
      <c r="F337" s="584" t="s">
        <v>403</v>
      </c>
      <c r="G337" s="584"/>
      <c r="H337" s="584"/>
      <c r="I337" s="658">
        <f>-'Public-Comps-Data'!AP32</f>
        <v>0</v>
      </c>
      <c r="J337" s="642"/>
      <c r="K337" s="642" t="s">
        <v>474</v>
      </c>
      <c r="L337" s="642"/>
      <c r="M337" s="642"/>
      <c r="N337" s="584"/>
      <c r="O337" s="584"/>
      <c r="P337" s="584"/>
      <c r="Q337" s="584"/>
      <c r="R337" s="584"/>
      <c r="S337" s="584"/>
      <c r="T337" s="584"/>
    </row>
    <row r="338" spans="2:20" outlineLevel="1" x14ac:dyDescent="0.3">
      <c r="B338" s="584"/>
      <c r="C338" s="584"/>
      <c r="F338" s="584" t="s">
        <v>404</v>
      </c>
      <c r="G338" s="584"/>
      <c r="H338" s="584"/>
      <c r="I338" s="658">
        <f>-'Public-Comps-Data'!AP33</f>
        <v>0</v>
      </c>
      <c r="J338" s="642"/>
      <c r="K338" s="642" t="s">
        <v>475</v>
      </c>
      <c r="L338" s="642"/>
      <c r="M338" s="642"/>
      <c r="N338" s="584"/>
      <c r="O338" s="584"/>
      <c r="P338" s="584"/>
      <c r="Q338" s="584"/>
      <c r="R338" s="584"/>
      <c r="S338" s="584"/>
      <c r="T338" s="584"/>
    </row>
    <row r="339" spans="2:20" outlineLevel="1" x14ac:dyDescent="0.3">
      <c r="B339" s="584"/>
      <c r="C339" s="584"/>
      <c r="F339" s="584" t="s">
        <v>405</v>
      </c>
      <c r="G339" s="584"/>
      <c r="H339" s="584"/>
      <c r="I339" s="658">
        <f>-'Public-Comps-Data'!AP34</f>
        <v>0</v>
      </c>
      <c r="J339" s="642"/>
      <c r="K339" s="642" t="s">
        <v>476</v>
      </c>
      <c r="L339" s="642"/>
      <c r="M339" s="642"/>
      <c r="N339" s="584"/>
      <c r="O339" s="584"/>
      <c r="P339" s="584"/>
      <c r="Q339" s="584"/>
      <c r="R339" s="584"/>
      <c r="S339" s="584"/>
      <c r="T339" s="584"/>
    </row>
    <row r="340" spans="2:20" outlineLevel="1" x14ac:dyDescent="0.3">
      <c r="B340" s="584"/>
      <c r="C340" s="584"/>
      <c r="F340" s="585" t="s">
        <v>390</v>
      </c>
      <c r="G340" s="579"/>
      <c r="H340" s="579"/>
      <c r="I340" s="586">
        <f>+I326+SUM(I330:I339)</f>
        <v>12464.251215457021</v>
      </c>
      <c r="J340" s="642"/>
      <c r="K340" s="642"/>
      <c r="L340" s="642"/>
      <c r="M340" s="642"/>
      <c r="N340" s="584"/>
      <c r="O340" s="584"/>
      <c r="P340" s="584"/>
      <c r="Q340" s="584"/>
      <c r="R340" s="584"/>
      <c r="S340" s="584"/>
      <c r="T340" s="584"/>
    </row>
    <row r="341" spans="2:20" outlineLevel="1" x14ac:dyDescent="0.3">
      <c r="B341" s="584"/>
      <c r="C341" s="584"/>
      <c r="F341" s="577"/>
      <c r="G341" s="511"/>
      <c r="H341" s="511"/>
      <c r="I341" s="578"/>
      <c r="J341" s="642"/>
      <c r="K341" s="746" t="s">
        <v>504</v>
      </c>
      <c r="L341" s="747"/>
      <c r="M341" s="747"/>
      <c r="N341" s="748"/>
      <c r="O341" s="748"/>
      <c r="P341" s="748"/>
      <c r="Q341" s="748"/>
      <c r="R341" s="748"/>
      <c r="S341" s="584"/>
      <c r="T341" s="584"/>
    </row>
    <row r="342" spans="2:20" outlineLevel="1" x14ac:dyDescent="0.3">
      <c r="B342" s="584"/>
      <c r="C342" s="584"/>
      <c r="F342" s="511" t="s">
        <v>391</v>
      </c>
      <c r="G342" s="511"/>
      <c r="H342" s="511"/>
      <c r="I342" s="673">
        <f ca="1">+Basic_Shares+I353</f>
        <v>63.444799685372864</v>
      </c>
      <c r="J342" s="642"/>
      <c r="K342" s="642"/>
      <c r="L342" s="642"/>
      <c r="M342" s="642"/>
      <c r="N342" s="584"/>
      <c r="O342" s="584"/>
      <c r="P342" s="584"/>
      <c r="Q342" s="584"/>
      <c r="R342" s="584"/>
      <c r="S342" s="584"/>
      <c r="T342" s="584"/>
    </row>
    <row r="343" spans="2:20" outlineLevel="1" x14ac:dyDescent="0.3">
      <c r="B343" s="584"/>
      <c r="C343" s="584"/>
      <c r="F343" s="511"/>
      <c r="G343" s="511"/>
      <c r="H343" s="511"/>
      <c r="I343" s="511"/>
      <c r="J343" s="642"/>
      <c r="K343" s="642" t="s">
        <v>477</v>
      </c>
      <c r="L343" s="642"/>
      <c r="M343" s="642"/>
      <c r="N343" s="584"/>
      <c r="O343" s="584"/>
      <c r="P343" s="584"/>
      <c r="Q343" s="584"/>
      <c r="R343" s="584"/>
      <c r="S343" s="584"/>
      <c r="T343" s="584"/>
    </row>
    <row r="344" spans="2:20" outlineLevel="1" x14ac:dyDescent="0.3">
      <c r="B344" s="584"/>
      <c r="C344" s="584"/>
      <c r="F344" s="674" t="s">
        <v>392</v>
      </c>
      <c r="G344" s="675"/>
      <c r="H344" s="675"/>
      <c r="I344" s="676">
        <f ca="1">+I340/I342</f>
        <v>196.45820110187285</v>
      </c>
      <c r="J344" s="642"/>
      <c r="K344" s="642" t="s">
        <v>478</v>
      </c>
      <c r="L344" s="642"/>
      <c r="M344" s="642"/>
      <c r="N344" s="584"/>
      <c r="O344" s="584"/>
      <c r="P344" s="584"/>
      <c r="Q344" s="584"/>
      <c r="R344" s="584"/>
      <c r="S344" s="584"/>
      <c r="T344" s="584"/>
    </row>
    <row r="345" spans="2:20" outlineLevel="1" x14ac:dyDescent="0.3">
      <c r="B345" s="584"/>
      <c r="C345" s="584"/>
      <c r="F345" s="677" t="s">
        <v>393</v>
      </c>
      <c r="G345" s="678"/>
      <c r="H345" s="678"/>
      <c r="I345" s="679">
        <f ca="1">+I344/Share_Price-1</f>
        <v>0.51763770646483476</v>
      </c>
      <c r="J345" s="642"/>
      <c r="K345" s="642"/>
      <c r="L345" s="642"/>
      <c r="M345" s="642"/>
      <c r="N345" s="584"/>
      <c r="O345" s="584"/>
      <c r="P345" s="584"/>
      <c r="Q345" s="584"/>
      <c r="R345" s="584"/>
      <c r="S345" s="584"/>
      <c r="T345" s="584"/>
    </row>
    <row r="346" spans="2:20" outlineLevel="1" x14ac:dyDescent="0.3">
      <c r="B346" s="584"/>
      <c r="C346" s="584"/>
      <c r="G346" s="642"/>
      <c r="H346" s="642"/>
      <c r="I346" s="642"/>
      <c r="J346" s="642"/>
      <c r="K346" s="746" t="s">
        <v>479</v>
      </c>
      <c r="L346" s="747"/>
      <c r="M346" s="747"/>
      <c r="N346" s="748"/>
      <c r="O346" s="748"/>
      <c r="P346" s="748"/>
      <c r="Q346" s="748"/>
      <c r="R346" s="748"/>
      <c r="S346" s="584"/>
      <c r="T346" s="584"/>
    </row>
    <row r="347" spans="2:20" outlineLevel="1" x14ac:dyDescent="0.3">
      <c r="B347" s="584"/>
      <c r="C347" s="584"/>
      <c r="F347" s="633"/>
      <c r="G347" s="633"/>
      <c r="H347" s="595" t="s">
        <v>406</v>
      </c>
      <c r="I347" s="633"/>
      <c r="J347" s="584"/>
      <c r="K347" s="642"/>
      <c r="L347" s="642"/>
      <c r="M347" s="642"/>
      <c r="N347" s="642"/>
      <c r="O347" s="642"/>
      <c r="P347" s="642"/>
      <c r="Q347" s="642"/>
      <c r="R347" s="642"/>
      <c r="S347" s="584"/>
      <c r="T347" s="584"/>
    </row>
    <row r="348" spans="2:20" outlineLevel="1" x14ac:dyDescent="0.3">
      <c r="B348" s="584"/>
      <c r="C348" s="584"/>
      <c r="F348" s="267" t="s">
        <v>407</v>
      </c>
      <c r="G348" s="596" t="s">
        <v>408</v>
      </c>
      <c r="H348" s="596" t="s">
        <v>409</v>
      </c>
      <c r="I348" s="596" t="s">
        <v>410</v>
      </c>
      <c r="J348" s="584"/>
      <c r="K348" s="642" t="s">
        <v>480</v>
      </c>
      <c r="L348" s="642"/>
      <c r="M348" s="642"/>
      <c r="N348" s="642"/>
      <c r="O348" s="642"/>
      <c r="P348" s="642"/>
      <c r="Q348" s="642"/>
      <c r="R348" s="642"/>
      <c r="S348" s="584"/>
      <c r="T348" s="584"/>
    </row>
    <row r="349" spans="2:20" outlineLevel="1" x14ac:dyDescent="0.3">
      <c r="B349" s="584"/>
      <c r="C349" s="584"/>
      <c r="F349" s="570" t="s">
        <v>413</v>
      </c>
      <c r="G349" s="587">
        <f>+'Public-Comps-Data'!AN49</f>
        <v>0.60399999999999998</v>
      </c>
      <c r="H349" s="588">
        <f>+'Public-Comps-Data'!AO49</f>
        <v>7.37</v>
      </c>
      <c r="I349" s="589">
        <f ca="1">IF(H349&lt;$I$344,G349-((G349*H349)/$I$344),0)</f>
        <v>0.58134133787730402</v>
      </c>
      <c r="J349" s="584"/>
      <c r="K349" s="642" t="s">
        <v>481</v>
      </c>
      <c r="L349" s="642"/>
      <c r="M349" s="642"/>
      <c r="N349" s="584"/>
      <c r="O349" s="584"/>
      <c r="P349" s="584"/>
      <c r="Q349" s="584"/>
      <c r="R349" s="584"/>
      <c r="S349" s="584"/>
      <c r="T349" s="584"/>
    </row>
    <row r="350" spans="2:20" outlineLevel="1" x14ac:dyDescent="0.3">
      <c r="B350" s="584"/>
      <c r="C350" s="584"/>
      <c r="F350" s="570" t="s">
        <v>414</v>
      </c>
      <c r="G350" s="590">
        <f>+'Public-Comps-Data'!AN50</f>
        <v>0.94799999999999995</v>
      </c>
      <c r="H350" s="591">
        <f>+'Public-Comps-Data'!AO50</f>
        <v>4</v>
      </c>
      <c r="I350" s="592">
        <f t="shared" ref="I350:I351" ca="1" si="266">IF(H350&lt;$I$344,G350-((G350*H350)/$I$344),0)</f>
        <v>0.92869818425124595</v>
      </c>
      <c r="J350" s="642"/>
      <c r="K350" s="642"/>
      <c r="L350" s="642"/>
      <c r="M350" s="642"/>
      <c r="N350" s="642"/>
      <c r="O350" s="642"/>
      <c r="P350" s="642"/>
      <c r="Q350" s="642"/>
      <c r="R350" s="642"/>
      <c r="S350" s="584"/>
      <c r="T350" s="584"/>
    </row>
    <row r="351" spans="2:20" outlineLevel="1" x14ac:dyDescent="0.3">
      <c r="B351" s="584"/>
      <c r="C351" s="584"/>
      <c r="F351" s="570" t="s">
        <v>415</v>
      </c>
      <c r="G351" s="590">
        <f>+'Public-Comps-Data'!AN51</f>
        <v>1.59</v>
      </c>
      <c r="H351" s="591">
        <f>+'Public-Comps-Data'!AO51</f>
        <v>26.09</v>
      </c>
      <c r="I351" s="592">
        <f t="shared" ca="1" si="266"/>
        <v>1.3788451601036038</v>
      </c>
      <c r="J351" s="642"/>
      <c r="K351" s="746" t="s">
        <v>482</v>
      </c>
      <c r="L351" s="747"/>
      <c r="M351" s="747"/>
      <c r="N351" s="747"/>
      <c r="O351" s="747"/>
      <c r="P351" s="747"/>
      <c r="Q351" s="747"/>
      <c r="R351" s="747"/>
      <c r="S351" s="584"/>
      <c r="T351" s="584"/>
    </row>
    <row r="352" spans="2:20" outlineLevel="1" x14ac:dyDescent="0.3">
      <c r="B352" s="584"/>
      <c r="C352" s="584"/>
      <c r="F352" s="570" t="s">
        <v>411</v>
      </c>
      <c r="G352" s="590">
        <f>+'Public-Comps-Data'!AO64</f>
        <v>1.1639999999999999</v>
      </c>
      <c r="H352" s="2"/>
      <c r="I352" s="592">
        <f>+G352</f>
        <v>1.1639999999999999</v>
      </c>
      <c r="J352" s="642"/>
      <c r="K352" s="642"/>
      <c r="L352" s="642"/>
      <c r="M352" s="642"/>
      <c r="N352" s="642"/>
      <c r="O352" s="642"/>
      <c r="P352" s="642"/>
      <c r="Q352" s="642"/>
      <c r="R352" s="642"/>
      <c r="S352" s="584"/>
      <c r="T352" s="584"/>
    </row>
    <row r="353" spans="2:20" outlineLevel="1" x14ac:dyDescent="0.3">
      <c r="B353" s="584"/>
      <c r="C353" s="584"/>
      <c r="F353" s="593" t="s">
        <v>412</v>
      </c>
      <c r="G353" s="594"/>
      <c r="H353" s="8"/>
      <c r="I353" s="594">
        <f ca="1">SUM(I349:I352)</f>
        <v>4.052884682232154</v>
      </c>
      <c r="J353" s="642"/>
      <c r="K353" s="3" t="s">
        <v>483</v>
      </c>
      <c r="L353" s="642"/>
      <c r="M353" s="642"/>
      <c r="N353" s="642"/>
      <c r="O353" s="642"/>
      <c r="P353" s="642"/>
      <c r="Q353" s="642"/>
      <c r="R353" s="642"/>
      <c r="S353" s="584"/>
      <c r="T353" s="584"/>
    </row>
    <row r="354" spans="2:20" x14ac:dyDescent="0.3">
      <c r="B354" s="584"/>
      <c r="C354" s="584"/>
      <c r="G354" s="642"/>
      <c r="H354" s="642"/>
      <c r="I354" s="642"/>
      <c r="J354" s="642"/>
      <c r="K354" s="642" t="s">
        <v>484</v>
      </c>
      <c r="L354" s="642"/>
      <c r="M354" s="642"/>
      <c r="N354" s="584"/>
      <c r="O354" s="584"/>
      <c r="P354" s="584"/>
      <c r="Q354" s="584"/>
      <c r="R354" s="584"/>
    </row>
    <row r="355" spans="2:20" x14ac:dyDescent="0.3">
      <c r="B355" s="584"/>
      <c r="C355" s="584"/>
      <c r="G355" s="642"/>
      <c r="H355" s="642"/>
      <c r="I355" s="642"/>
      <c r="J355" s="642"/>
      <c r="K355" s="642"/>
      <c r="L355" s="642"/>
      <c r="M355" s="642"/>
      <c r="N355" s="584"/>
      <c r="O355" s="584"/>
      <c r="P355" s="584"/>
      <c r="Q355" s="584"/>
      <c r="R355" s="584"/>
    </row>
    <row r="356" spans="2:20" x14ac:dyDescent="0.3">
      <c r="B356" s="584"/>
      <c r="C356" s="584"/>
      <c r="G356" s="642"/>
      <c r="H356" s="642"/>
      <c r="I356" s="642"/>
      <c r="J356" s="642"/>
      <c r="K356" s="723" t="s">
        <v>485</v>
      </c>
      <c r="L356" s="642"/>
      <c r="M356" s="642"/>
      <c r="N356" s="584"/>
      <c r="O356" s="584"/>
      <c r="P356" s="584"/>
      <c r="Q356" s="584"/>
      <c r="R356" s="584"/>
    </row>
    <row r="357" spans="2:20" x14ac:dyDescent="0.3">
      <c r="B357" s="584"/>
      <c r="C357" s="584"/>
      <c r="G357" s="642"/>
      <c r="H357" s="642"/>
      <c r="I357" s="642"/>
      <c r="J357" s="642"/>
      <c r="K357" s="642" t="s">
        <v>486</v>
      </c>
      <c r="L357" s="642"/>
      <c r="M357" s="642"/>
      <c r="N357" s="584"/>
      <c r="O357" s="584"/>
      <c r="P357" s="584"/>
      <c r="Q357" s="584"/>
      <c r="R357" s="584"/>
    </row>
    <row r="358" spans="2:20" x14ac:dyDescent="0.3">
      <c r="B358" s="584"/>
      <c r="C358" s="584"/>
      <c r="G358" s="642"/>
      <c r="H358" s="642"/>
      <c r="I358" s="642"/>
      <c r="J358" s="642"/>
      <c r="K358" s="642"/>
      <c r="L358" s="642"/>
      <c r="M358" s="642"/>
      <c r="N358" s="642"/>
      <c r="O358" s="642"/>
      <c r="P358" s="642"/>
      <c r="Q358" s="642"/>
      <c r="R358" s="642"/>
    </row>
    <row r="359" spans="2:20" x14ac:dyDescent="0.3">
      <c r="B359" s="584"/>
      <c r="C359" s="584"/>
      <c r="G359" s="642"/>
      <c r="H359" s="642"/>
      <c r="I359" s="642"/>
      <c r="J359" s="642"/>
      <c r="K359" s="723" t="s">
        <v>487</v>
      </c>
      <c r="L359" s="642"/>
      <c r="M359" s="642"/>
      <c r="N359" s="642"/>
      <c r="O359" s="642"/>
      <c r="P359" s="642"/>
      <c r="Q359" s="642"/>
      <c r="R359" s="642"/>
    </row>
    <row r="360" spans="2:20" x14ac:dyDescent="0.3">
      <c r="B360" s="584"/>
      <c r="C360" s="584"/>
      <c r="G360" s="642"/>
      <c r="H360" s="642"/>
      <c r="I360" s="642"/>
      <c r="J360" s="642"/>
      <c r="K360" s="642" t="s">
        <v>503</v>
      </c>
      <c r="L360" s="642"/>
      <c r="M360" s="642"/>
      <c r="N360" s="642"/>
      <c r="O360" s="642"/>
      <c r="P360" s="642"/>
      <c r="Q360" s="642"/>
      <c r="R360" s="642"/>
    </row>
    <row r="361" spans="2:20" x14ac:dyDescent="0.3">
      <c r="B361" s="584"/>
      <c r="C361" s="584"/>
      <c r="G361" s="642"/>
      <c r="H361" s="642"/>
      <c r="I361" s="642"/>
      <c r="J361" s="642"/>
      <c r="K361" s="642"/>
      <c r="L361" s="642"/>
      <c r="M361" s="642"/>
      <c r="N361" s="642"/>
      <c r="O361" s="642"/>
      <c r="P361" s="642"/>
      <c r="Q361" s="642"/>
      <c r="R361" s="642"/>
    </row>
    <row r="362" spans="2:20" x14ac:dyDescent="0.3">
      <c r="B362" s="584"/>
      <c r="C362" s="584"/>
      <c r="G362" s="642"/>
      <c r="H362" s="642"/>
      <c r="I362" s="642"/>
      <c r="J362" s="642"/>
      <c r="K362" s="723" t="s">
        <v>488</v>
      </c>
      <c r="L362" s="642"/>
      <c r="M362" s="642"/>
      <c r="N362" s="642"/>
      <c r="O362" s="642"/>
      <c r="P362" s="642"/>
      <c r="Q362" s="642"/>
      <c r="R362" s="642"/>
    </row>
    <row r="363" spans="2:20" x14ac:dyDescent="0.3">
      <c r="B363" s="584"/>
      <c r="C363" s="584"/>
      <c r="G363" s="642"/>
      <c r="H363" s="642"/>
      <c r="I363" s="642"/>
      <c r="J363" s="642"/>
      <c r="K363" s="642" t="s">
        <v>489</v>
      </c>
      <c r="L363" s="642"/>
      <c r="M363" s="642"/>
      <c r="N363" s="642"/>
      <c r="O363" s="642"/>
      <c r="P363" s="642"/>
      <c r="Q363" s="642"/>
      <c r="R363" s="642"/>
    </row>
    <row r="364" spans="2:20" x14ac:dyDescent="0.3">
      <c r="B364" s="584"/>
      <c r="C364" s="584"/>
      <c r="G364" s="642"/>
      <c r="H364" s="642"/>
      <c r="I364" s="642"/>
      <c r="J364" s="642"/>
      <c r="K364" s="642" t="s">
        <v>490</v>
      </c>
      <c r="L364" s="642"/>
      <c r="M364" s="642"/>
      <c r="N364" s="642"/>
      <c r="O364" s="642"/>
      <c r="P364" s="642"/>
      <c r="Q364" s="642"/>
      <c r="R364" s="642"/>
    </row>
    <row r="365" spans="2:20" x14ac:dyDescent="0.3">
      <c r="B365" s="584"/>
      <c r="C365" s="584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</row>
    <row r="366" spans="2:20" x14ac:dyDescent="0.3">
      <c r="B366" s="584"/>
      <c r="C366" s="584"/>
      <c r="G366" s="642"/>
      <c r="H366" s="642"/>
      <c r="I366" s="642"/>
      <c r="J366" s="642"/>
      <c r="K366" s="642"/>
      <c r="L366" s="642"/>
      <c r="M366" s="642"/>
      <c r="N366" s="584"/>
      <c r="O366" s="584"/>
      <c r="P366" s="584"/>
      <c r="Q366" s="584"/>
      <c r="R366" s="584"/>
    </row>
    <row r="367" spans="2:20" x14ac:dyDescent="0.3">
      <c r="B367" s="632"/>
      <c r="C367" s="633"/>
      <c r="D367" s="262"/>
      <c r="E367" s="263" t="str">
        <f>$E$32</f>
        <v>Historical</v>
      </c>
      <c r="F367" s="264"/>
      <c r="G367" s="263"/>
      <c r="H367" s="263"/>
      <c r="I367" s="265" t="str">
        <f>$I$32</f>
        <v>Projected</v>
      </c>
      <c r="J367" s="263"/>
      <c r="K367" s="263"/>
      <c r="L367" s="263"/>
      <c r="M367" s="263"/>
      <c r="N367" s="634"/>
      <c r="O367" s="634"/>
      <c r="P367" s="634"/>
      <c r="Q367" s="634"/>
      <c r="R367" s="634"/>
    </row>
    <row r="368" spans="2:20" x14ac:dyDescent="0.3">
      <c r="B368" s="267" t="s">
        <v>441</v>
      </c>
      <c r="C368" s="267"/>
      <c r="D368" s="268" t="str">
        <f>$D$33</f>
        <v>Units</v>
      </c>
      <c r="E368" s="269">
        <f>$E$33</f>
        <v>40543</v>
      </c>
      <c r="F368" s="269">
        <f>$F$33</f>
        <v>40908</v>
      </c>
      <c r="G368" s="269">
        <f>$G$33</f>
        <v>41274</v>
      </c>
      <c r="H368" s="655">
        <f>$H$33</f>
        <v>41639</v>
      </c>
      <c r="I368" s="269">
        <f>$I$33</f>
        <v>42004</v>
      </c>
      <c r="J368" s="269">
        <f>$J$33</f>
        <v>42369</v>
      </c>
      <c r="K368" s="269">
        <f>$K$33</f>
        <v>42735</v>
      </c>
      <c r="L368" s="269">
        <f>$L$33</f>
        <v>43100</v>
      </c>
      <c r="M368" s="269">
        <f>$M$33</f>
        <v>43465</v>
      </c>
      <c r="N368" s="269">
        <f>$N$33</f>
        <v>43830</v>
      </c>
      <c r="O368" s="269">
        <f>$O$33</f>
        <v>44196</v>
      </c>
      <c r="P368" s="269">
        <f>$P$33</f>
        <v>44561</v>
      </c>
      <c r="Q368" s="269">
        <f>$Q$33</f>
        <v>44926</v>
      </c>
      <c r="R368" s="269">
        <f>$R$33</f>
        <v>45291</v>
      </c>
    </row>
    <row r="370" spans="3:18" x14ac:dyDescent="0.3">
      <c r="C370" s="598" t="s">
        <v>7</v>
      </c>
      <c r="D370" s="4" t="s">
        <v>116</v>
      </c>
      <c r="E370" s="660">
        <f t="shared" ref="E370:R370" si="267">+E179</f>
        <v>173.78100000000001</v>
      </c>
      <c r="F370" s="660">
        <f t="shared" si="267"/>
        <v>272.27700000000004</v>
      </c>
      <c r="G370" s="660">
        <f t="shared" si="267"/>
        <v>585.97900000000004</v>
      </c>
      <c r="H370" s="660">
        <f t="shared" si="267"/>
        <v>872.423</v>
      </c>
      <c r="I370" s="660">
        <f t="shared" si="267"/>
        <v>1176.8697723647181</v>
      </c>
      <c r="J370" s="660">
        <f t="shared" si="267"/>
        <v>1553.258794387468</v>
      </c>
      <c r="K370" s="660">
        <f t="shared" si="267"/>
        <v>1998.0287253028318</v>
      </c>
      <c r="L370" s="660">
        <f t="shared" si="267"/>
        <v>2554.2752700963779</v>
      </c>
      <c r="M370" s="660">
        <f t="shared" si="267"/>
        <v>3174.8281929278291</v>
      </c>
      <c r="N370" s="660">
        <f t="shared" si="267"/>
        <v>3853.1789570082601</v>
      </c>
      <c r="O370" s="660">
        <f t="shared" si="267"/>
        <v>4552.2709436774003</v>
      </c>
      <c r="P370" s="660">
        <f t="shared" si="267"/>
        <v>5371.6255652718228</v>
      </c>
      <c r="Q370" s="660">
        <f t="shared" si="267"/>
        <v>1662.1122827613299</v>
      </c>
      <c r="R370" s="660">
        <f t="shared" si="267"/>
        <v>1827.5715763376229</v>
      </c>
    </row>
    <row r="371" spans="3:18" x14ac:dyDescent="0.3">
      <c r="C371" s="635" t="s">
        <v>437</v>
      </c>
      <c r="D371" s="4" t="s">
        <v>10</v>
      </c>
      <c r="E371" s="24">
        <f t="shared" ref="E371:R371" si="268">+E180</f>
        <v>0.3529182788499714</v>
      </c>
      <c r="F371" s="24">
        <f t="shared" si="268"/>
        <v>0.5667823294836607</v>
      </c>
      <c r="G371" s="24">
        <f t="shared" si="268"/>
        <v>1.1521428545194783</v>
      </c>
      <c r="H371" s="24">
        <f t="shared" si="268"/>
        <v>0.48882980448104796</v>
      </c>
      <c r="I371" s="24">
        <f t="shared" si="268"/>
        <v>0.34896692586591382</v>
      </c>
      <c r="J371" s="24">
        <f t="shared" si="268"/>
        <v>0.31982215098146383</v>
      </c>
      <c r="K371" s="24">
        <f t="shared" si="268"/>
        <v>0.28634631429256463</v>
      </c>
      <c r="L371" s="24">
        <f t="shared" si="268"/>
        <v>0.27839767153960127</v>
      </c>
      <c r="M371" s="24">
        <f t="shared" si="268"/>
        <v>0.24294676853996111</v>
      </c>
      <c r="N371" s="24">
        <f t="shared" si="268"/>
        <v>0.21366534592061037</v>
      </c>
      <c r="O371" s="24">
        <f t="shared" si="268"/>
        <v>0.18143252479815764</v>
      </c>
      <c r="P371" s="24">
        <f t="shared" si="268"/>
        <v>0.17998810521865249</v>
      </c>
      <c r="Q371" s="24">
        <f t="shared" si="268"/>
        <v>-0.69057555062901677</v>
      </c>
      <c r="R371" s="24">
        <f t="shared" si="268"/>
        <v>9.9547602946179481E-2</v>
      </c>
    </row>
    <row r="372" spans="3:18" x14ac:dyDescent="0.3">
      <c r="C372" t="s">
        <v>13</v>
      </c>
      <c r="D372" s="4" t="s">
        <v>116</v>
      </c>
      <c r="E372" s="645">
        <f t="shared" ref="E372:R372" si="269">+E193</f>
        <v>57.789000000000016</v>
      </c>
      <c r="F372" s="645">
        <f t="shared" si="269"/>
        <v>127.83100000000002</v>
      </c>
      <c r="G372" s="645">
        <f t="shared" si="269"/>
        <v>197.84399999999999</v>
      </c>
      <c r="H372" s="645">
        <f t="shared" si="269"/>
        <v>340.31200000000001</v>
      </c>
      <c r="I372" s="645">
        <f t="shared" si="269"/>
        <v>348.6808794070073</v>
      </c>
      <c r="J372" s="645">
        <f t="shared" si="269"/>
        <v>696.99982162709557</v>
      </c>
      <c r="K372" s="645">
        <f t="shared" si="269"/>
        <v>911.70187072726958</v>
      </c>
      <c r="L372" s="645">
        <f t="shared" si="269"/>
        <v>1169.9112012652834</v>
      </c>
      <c r="M372" s="645">
        <f t="shared" si="269"/>
        <v>1453.2267549794219</v>
      </c>
      <c r="N372" s="645">
        <f t="shared" si="269"/>
        <v>1767.9903297173139</v>
      </c>
      <c r="O372" s="645">
        <f t="shared" si="269"/>
        <v>2064.1792328893334</v>
      </c>
      <c r="P372" s="645">
        <f t="shared" si="269"/>
        <v>2432.7592062341537</v>
      </c>
      <c r="Q372" s="645">
        <f t="shared" si="269"/>
        <v>677.4104071072237</v>
      </c>
      <c r="R372" s="645">
        <f t="shared" si="269"/>
        <v>749.09409497007391</v>
      </c>
    </row>
    <row r="373" spans="3:18" x14ac:dyDescent="0.3">
      <c r="C373" s="635" t="s">
        <v>438</v>
      </c>
      <c r="D373" s="4" t="s">
        <v>10</v>
      </c>
      <c r="E373" s="24">
        <f t="shared" ref="E373:R373" si="270">+E194</f>
        <v>0.33253923041068939</v>
      </c>
      <c r="F373" s="24">
        <f t="shared" si="270"/>
        <v>0.46948879266335386</v>
      </c>
      <c r="G373" s="24">
        <f t="shared" si="270"/>
        <v>0.3376298468033837</v>
      </c>
      <c r="H373" s="24">
        <f t="shared" si="270"/>
        <v>0.39007683199548843</v>
      </c>
      <c r="I373" s="24">
        <f t="shared" si="270"/>
        <v>0.29627821836768975</v>
      </c>
      <c r="J373" s="24">
        <f t="shared" si="270"/>
        <v>0.44873386466288084</v>
      </c>
      <c r="K373" s="24">
        <f t="shared" si="270"/>
        <v>0.45630068235835158</v>
      </c>
      <c r="L373" s="24">
        <f t="shared" si="270"/>
        <v>0.45802079946580709</v>
      </c>
      <c r="M373" s="24">
        <f t="shared" si="270"/>
        <v>0.45773398328029052</v>
      </c>
      <c r="N373" s="24">
        <f t="shared" si="270"/>
        <v>0.45883940233340265</v>
      </c>
      <c r="O373" s="24">
        <f t="shared" si="270"/>
        <v>0.45343944998622054</v>
      </c>
      <c r="P373" s="24">
        <f t="shared" si="270"/>
        <v>0.45289068954512052</v>
      </c>
      <c r="Q373" s="24">
        <f t="shared" si="270"/>
        <v>0.40755995496394276</v>
      </c>
      <c r="R373" s="24">
        <f t="shared" si="270"/>
        <v>0.40988495589936191</v>
      </c>
    </row>
    <row r="374" spans="3:18" x14ac:dyDescent="0.3">
      <c r="C37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3:18" x14ac:dyDescent="0.3">
      <c r="C375" s="636" t="s">
        <v>428</v>
      </c>
      <c r="D375" s="4" t="s">
        <v>116</v>
      </c>
      <c r="E375" s="645">
        <f t="shared" ref="E375:R375" si="271">-E372*Tax_Rate</f>
        <v>-10.402020000000002</v>
      </c>
      <c r="F375" s="645">
        <f t="shared" si="271"/>
        <v>-23.009580000000003</v>
      </c>
      <c r="G375" s="645">
        <f t="shared" si="271"/>
        <v>-35.611919999999998</v>
      </c>
      <c r="H375" s="645">
        <f t="shared" si="271"/>
        <v>-61.256160000000001</v>
      </c>
      <c r="I375" s="645">
        <f t="shared" si="271"/>
        <v>-62.762558293261314</v>
      </c>
      <c r="J375" s="645">
        <f t="shared" si="271"/>
        <v>-125.4599678928772</v>
      </c>
      <c r="K375" s="645">
        <f t="shared" si="271"/>
        <v>-164.10633673090851</v>
      </c>
      <c r="L375" s="645">
        <f t="shared" si="271"/>
        <v>-210.58401622775099</v>
      </c>
      <c r="M375" s="645">
        <f t="shared" si="271"/>
        <v>-261.58081589629592</v>
      </c>
      <c r="N375" s="645">
        <f t="shared" si="271"/>
        <v>-318.2382593491165</v>
      </c>
      <c r="O375" s="645">
        <f t="shared" si="271"/>
        <v>-371.55226192008001</v>
      </c>
      <c r="P375" s="645">
        <f t="shared" si="271"/>
        <v>-437.89665712214764</v>
      </c>
      <c r="Q375" s="645">
        <f t="shared" si="271"/>
        <v>-121.93387327930026</v>
      </c>
      <c r="R375" s="645">
        <f t="shared" si="271"/>
        <v>-134.83693709461329</v>
      </c>
    </row>
    <row r="376" spans="3:18" x14ac:dyDescent="0.3">
      <c r="C376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5"/>
      <c r="P376" s="645"/>
      <c r="Q376" s="645"/>
      <c r="R376" s="645"/>
    </row>
    <row r="377" spans="3:18" x14ac:dyDescent="0.3">
      <c r="C377" s="598" t="s">
        <v>429</v>
      </c>
      <c r="D377" s="4" t="s">
        <v>116</v>
      </c>
      <c r="E377" s="77">
        <f>+E372+E375</f>
        <v>47.386980000000015</v>
      </c>
      <c r="F377" s="77">
        <f t="shared" ref="F377:R377" si="272">+F372+F375</f>
        <v>104.82142000000002</v>
      </c>
      <c r="G377" s="77">
        <f t="shared" si="272"/>
        <v>162.23208</v>
      </c>
      <c r="H377" s="77">
        <f t="shared" si="272"/>
        <v>279.05583999999999</v>
      </c>
      <c r="I377" s="77">
        <f t="shared" si="272"/>
        <v>285.918321113746</v>
      </c>
      <c r="J377" s="77">
        <f t="shared" si="272"/>
        <v>571.53985373421835</v>
      </c>
      <c r="K377" s="77">
        <f t="shared" si="272"/>
        <v>747.59553399636104</v>
      </c>
      <c r="L377" s="77">
        <f t="shared" si="272"/>
        <v>959.32718503753233</v>
      </c>
      <c r="M377" s="77">
        <f t="shared" si="272"/>
        <v>1191.645939083126</v>
      </c>
      <c r="N377" s="77">
        <f t="shared" si="272"/>
        <v>1449.7520703681973</v>
      </c>
      <c r="O377" s="77">
        <f t="shared" si="272"/>
        <v>1692.6269709692533</v>
      </c>
      <c r="P377" s="77">
        <f t="shared" si="272"/>
        <v>1994.862549112006</v>
      </c>
      <c r="Q377" s="77">
        <f t="shared" si="272"/>
        <v>555.4765338279235</v>
      </c>
      <c r="R377" s="77">
        <f t="shared" si="272"/>
        <v>614.25715787546062</v>
      </c>
    </row>
    <row r="378" spans="3:18" x14ac:dyDescent="0.3">
      <c r="C378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3:18" outlineLevel="1" x14ac:dyDescent="0.3">
      <c r="C379" s="598" t="s">
        <v>47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3:18" outlineLevel="1" x14ac:dyDescent="0.3">
      <c r="C380" s="637" t="str">
        <f t="shared" ref="C380:C387" si="273">+C275</f>
        <v>Amortization of Intangible Assets:</v>
      </c>
      <c r="D380" s="4" t="s">
        <v>116</v>
      </c>
      <c r="E380" s="645">
        <f t="shared" ref="E380:R380" si="274">+E275</f>
        <v>7.8250000000000002</v>
      </c>
      <c r="F380" s="645">
        <f t="shared" si="274"/>
        <v>7.4480000000000004</v>
      </c>
      <c r="G380" s="645">
        <f t="shared" si="274"/>
        <v>72.921999999999997</v>
      </c>
      <c r="H380" s="645">
        <f t="shared" si="274"/>
        <v>79.042000000000002</v>
      </c>
      <c r="I380" s="645">
        <f t="shared" si="274"/>
        <v>129.47</v>
      </c>
      <c r="J380" s="645">
        <f t="shared" si="274"/>
        <v>126.17</v>
      </c>
      <c r="K380" s="645">
        <f t="shared" si="274"/>
        <v>121.82</v>
      </c>
      <c r="L380" s="645">
        <f t="shared" si="274"/>
        <v>121.72799999999999</v>
      </c>
      <c r="M380" s="645">
        <f t="shared" si="274"/>
        <v>118.196</v>
      </c>
      <c r="N380" s="645">
        <f t="shared" si="274"/>
        <v>100.65922222222223</v>
      </c>
      <c r="O380" s="645">
        <f t="shared" si="274"/>
        <v>100.65922222222223</v>
      </c>
      <c r="P380" s="645">
        <f t="shared" si="274"/>
        <v>100.65922222222223</v>
      </c>
      <c r="Q380" s="645">
        <f t="shared" si="274"/>
        <v>100.65922222222223</v>
      </c>
      <c r="R380" s="645">
        <f t="shared" si="274"/>
        <v>100.65922222222223</v>
      </c>
    </row>
    <row r="381" spans="3:18" outlineLevel="1" x14ac:dyDescent="0.3">
      <c r="C381" s="638" t="str">
        <f t="shared" si="273"/>
        <v>Depreciation:</v>
      </c>
      <c r="D381" s="4" t="s">
        <v>116</v>
      </c>
      <c r="E381" s="645">
        <f t="shared" ref="E381:R381" si="275">+E276</f>
        <v>0.88600000000000001</v>
      </c>
      <c r="F381" s="645">
        <f t="shared" si="275"/>
        <v>0.379</v>
      </c>
      <c r="G381" s="645">
        <f t="shared" si="275"/>
        <v>1.3069999999999999</v>
      </c>
      <c r="H381" s="645">
        <f t="shared" si="275"/>
        <v>3.048</v>
      </c>
      <c r="I381" s="645">
        <f t="shared" si="275"/>
        <v>4.7074790894588725</v>
      </c>
      <c r="J381" s="645">
        <f t="shared" si="275"/>
        <v>7.7662939719373405</v>
      </c>
      <c r="K381" s="645">
        <f t="shared" si="275"/>
        <v>11.988172351816992</v>
      </c>
      <c r="L381" s="645">
        <f t="shared" si="275"/>
        <v>17.879926890674646</v>
      </c>
      <c r="M381" s="645">
        <f t="shared" si="275"/>
        <v>25.398625543422632</v>
      </c>
      <c r="N381" s="645">
        <f t="shared" si="275"/>
        <v>34.678610613074341</v>
      </c>
      <c r="O381" s="645">
        <f t="shared" si="275"/>
        <v>45.522709436774001</v>
      </c>
      <c r="P381" s="645">
        <f t="shared" si="275"/>
        <v>59.087881217990045</v>
      </c>
      <c r="Q381" s="645">
        <f t="shared" si="275"/>
        <v>19.945347393135958</v>
      </c>
      <c r="R381" s="645">
        <f t="shared" si="275"/>
        <v>23.758430492389095</v>
      </c>
    </row>
    <row r="382" spans="3:18" outlineLevel="1" x14ac:dyDescent="0.3">
      <c r="C382" s="638" t="str">
        <f t="shared" si="273"/>
        <v>Acquired In-Process Research &amp; Development:</v>
      </c>
      <c r="D382" s="4" t="s">
        <v>116</v>
      </c>
      <c r="E382" s="645">
        <f t="shared" ref="E382:R382" si="276">+E277</f>
        <v>0</v>
      </c>
      <c r="F382" s="645">
        <f t="shared" si="276"/>
        <v>0</v>
      </c>
      <c r="G382" s="645">
        <f t="shared" si="276"/>
        <v>0</v>
      </c>
      <c r="H382" s="645">
        <f t="shared" si="276"/>
        <v>4</v>
      </c>
      <c r="I382" s="645">
        <f t="shared" si="276"/>
        <v>127</v>
      </c>
      <c r="J382" s="645">
        <f t="shared" si="276"/>
        <v>0</v>
      </c>
      <c r="K382" s="645">
        <f t="shared" si="276"/>
        <v>0</v>
      </c>
      <c r="L382" s="645">
        <f t="shared" si="276"/>
        <v>0</v>
      </c>
      <c r="M382" s="645">
        <f t="shared" si="276"/>
        <v>0</v>
      </c>
      <c r="N382" s="645">
        <f t="shared" si="276"/>
        <v>0</v>
      </c>
      <c r="O382" s="645">
        <f t="shared" si="276"/>
        <v>0</v>
      </c>
      <c r="P382" s="645">
        <f t="shared" si="276"/>
        <v>0</v>
      </c>
      <c r="Q382" s="645">
        <f t="shared" si="276"/>
        <v>0</v>
      </c>
      <c r="R382" s="645">
        <f t="shared" si="276"/>
        <v>0</v>
      </c>
    </row>
    <row r="383" spans="3:18" outlineLevel="1" x14ac:dyDescent="0.3">
      <c r="C383" s="638" t="str">
        <f t="shared" si="273"/>
        <v>Stock-Based Compensation:</v>
      </c>
      <c r="D383" s="4" t="s">
        <v>116</v>
      </c>
      <c r="E383" s="645">
        <f t="shared" ref="E383:R383" si="277">+E278</f>
        <v>8.2189999999999994</v>
      </c>
      <c r="F383" s="645">
        <f t="shared" si="277"/>
        <v>20.704000000000001</v>
      </c>
      <c r="G383" s="645">
        <f t="shared" si="277"/>
        <v>23.006</v>
      </c>
      <c r="H383" s="645">
        <f t="shared" si="277"/>
        <v>44.551000000000002</v>
      </c>
      <c r="I383" s="645">
        <f t="shared" si="277"/>
        <v>62.863082984209271</v>
      </c>
      <c r="J383" s="645">
        <f t="shared" si="277"/>
        <v>82.968089401545342</v>
      </c>
      <c r="K383" s="645">
        <f t="shared" si="277"/>
        <v>106.72569600557385</v>
      </c>
      <c r="L383" s="645">
        <f t="shared" si="277"/>
        <v>136.43788126696893</v>
      </c>
      <c r="M383" s="645">
        <f t="shared" si="277"/>
        <v>169.58502362721794</v>
      </c>
      <c r="N383" s="645">
        <f t="shared" si="277"/>
        <v>205.81946636348232</v>
      </c>
      <c r="O383" s="645">
        <f t="shared" si="277"/>
        <v>243.1618117984184</v>
      </c>
      <c r="P383" s="645">
        <f t="shared" si="277"/>
        <v>286.92804556555029</v>
      </c>
      <c r="Q383" s="645">
        <f t="shared" si="277"/>
        <v>88.782552508212774</v>
      </c>
      <c r="R383" s="645">
        <f t="shared" si="277"/>
        <v>97.620642793848674</v>
      </c>
    </row>
    <row r="384" spans="3:18" outlineLevel="1" x14ac:dyDescent="0.3">
      <c r="C384" s="638" t="str">
        <f t="shared" si="273"/>
        <v>Change in Fair Value of Contingent Consideration:</v>
      </c>
      <c r="D384" s="4" t="s">
        <v>116</v>
      </c>
      <c r="E384" s="645">
        <f t="shared" ref="E384:R384" si="278">+E279</f>
        <v>0</v>
      </c>
      <c r="F384" s="645">
        <f t="shared" si="278"/>
        <v>0</v>
      </c>
      <c r="G384" s="645">
        <f t="shared" si="278"/>
        <v>-0.3</v>
      </c>
      <c r="H384" s="645">
        <f t="shared" si="278"/>
        <v>15.2</v>
      </c>
      <c r="I384" s="645">
        <f t="shared" si="278"/>
        <v>0</v>
      </c>
      <c r="J384" s="645">
        <f t="shared" si="278"/>
        <v>0</v>
      </c>
      <c r="K384" s="645">
        <f t="shared" si="278"/>
        <v>0</v>
      </c>
      <c r="L384" s="645">
        <f t="shared" si="278"/>
        <v>0</v>
      </c>
      <c r="M384" s="645">
        <f t="shared" si="278"/>
        <v>0</v>
      </c>
      <c r="N384" s="645">
        <f t="shared" si="278"/>
        <v>0</v>
      </c>
      <c r="O384" s="645">
        <f t="shared" si="278"/>
        <v>0</v>
      </c>
      <c r="P384" s="645">
        <f t="shared" si="278"/>
        <v>0</v>
      </c>
      <c r="Q384" s="645">
        <f t="shared" si="278"/>
        <v>0</v>
      </c>
      <c r="R384" s="645">
        <f t="shared" si="278"/>
        <v>0</v>
      </c>
    </row>
    <row r="385" spans="3:18" outlineLevel="1" x14ac:dyDescent="0.3">
      <c r="C385" s="638" t="str">
        <f t="shared" si="273"/>
        <v>Deferred Income Taxes:</v>
      </c>
      <c r="D385" s="4" t="s">
        <v>116</v>
      </c>
      <c r="E385" s="645">
        <f t="shared" ref="E385:R385" si="279">+E280</f>
        <v>0</v>
      </c>
      <c r="F385" s="645">
        <f t="shared" si="279"/>
        <v>0</v>
      </c>
      <c r="G385" s="645">
        <f t="shared" si="279"/>
        <v>-113.86199999999999</v>
      </c>
      <c r="H385" s="645">
        <f t="shared" si="279"/>
        <v>-10.097</v>
      </c>
      <c r="I385" s="645">
        <f t="shared" si="279"/>
        <v>0</v>
      </c>
      <c r="J385" s="645">
        <f t="shared" si="279"/>
        <v>0</v>
      </c>
      <c r="K385" s="645">
        <f t="shared" si="279"/>
        <v>0</v>
      </c>
      <c r="L385" s="645">
        <f t="shared" si="279"/>
        <v>0</v>
      </c>
      <c r="M385" s="645">
        <f t="shared" si="279"/>
        <v>0</v>
      </c>
      <c r="N385" s="645">
        <f t="shared" si="279"/>
        <v>0</v>
      </c>
      <c r="O385" s="645">
        <f t="shared" si="279"/>
        <v>0</v>
      </c>
      <c r="P385" s="645">
        <f t="shared" si="279"/>
        <v>0</v>
      </c>
      <c r="Q385" s="645">
        <f t="shared" si="279"/>
        <v>0</v>
      </c>
      <c r="R385" s="645">
        <f t="shared" si="279"/>
        <v>0</v>
      </c>
    </row>
    <row r="386" spans="3:18" outlineLevel="1" x14ac:dyDescent="0.3">
      <c r="C386" s="638" t="str">
        <f t="shared" si="273"/>
        <v>Goodwill Impairment:</v>
      </c>
      <c r="D386" s="4" t="s">
        <v>116</v>
      </c>
      <c r="E386" s="645">
        <f t="shared" ref="E386:R386" si="280">+E281</f>
        <v>0</v>
      </c>
      <c r="F386" s="645">
        <f t="shared" si="280"/>
        <v>0</v>
      </c>
      <c r="G386" s="645">
        <f t="shared" si="280"/>
        <v>0</v>
      </c>
      <c r="H386" s="645">
        <f t="shared" si="280"/>
        <v>0</v>
      </c>
      <c r="I386" s="645">
        <f t="shared" si="280"/>
        <v>0</v>
      </c>
      <c r="J386" s="645">
        <f t="shared" si="280"/>
        <v>0</v>
      </c>
      <c r="K386" s="645">
        <f t="shared" si="280"/>
        <v>0</v>
      </c>
      <c r="L386" s="645">
        <f t="shared" si="280"/>
        <v>0</v>
      </c>
      <c r="M386" s="645">
        <f t="shared" si="280"/>
        <v>0</v>
      </c>
      <c r="N386" s="645">
        <f t="shared" si="280"/>
        <v>0</v>
      </c>
      <c r="O386" s="645">
        <f t="shared" si="280"/>
        <v>0</v>
      </c>
      <c r="P386" s="645">
        <f t="shared" si="280"/>
        <v>0</v>
      </c>
      <c r="Q386" s="645">
        <f t="shared" si="280"/>
        <v>0</v>
      </c>
      <c r="R386" s="645">
        <f t="shared" si="280"/>
        <v>0</v>
      </c>
    </row>
    <row r="387" spans="3:18" outlineLevel="1" x14ac:dyDescent="0.3">
      <c r="C387" s="639" t="str">
        <f t="shared" si="273"/>
        <v>Other Items and Adjustments:</v>
      </c>
      <c r="D387" s="6" t="s">
        <v>116</v>
      </c>
      <c r="E387" s="652">
        <f t="shared" ref="E387:R387" si="281">+E282</f>
        <v>14.972000000000001</v>
      </c>
      <c r="F387" s="652">
        <f t="shared" si="281"/>
        <v>1.6739999999999999</v>
      </c>
      <c r="G387" s="652">
        <f t="shared" si="281"/>
        <v>-16.75</v>
      </c>
      <c r="H387" s="652">
        <f t="shared" si="281"/>
        <v>16.518000000000001</v>
      </c>
      <c r="I387" s="652">
        <f t="shared" si="281"/>
        <v>4.1035000000000004</v>
      </c>
      <c r="J387" s="652">
        <f t="shared" si="281"/>
        <v>4.1035000000000004</v>
      </c>
      <c r="K387" s="652">
        <f t="shared" si="281"/>
        <v>4.1035000000000004</v>
      </c>
      <c r="L387" s="652">
        <f t="shared" si="281"/>
        <v>4.1035000000000004</v>
      </c>
      <c r="M387" s="652">
        <f t="shared" si="281"/>
        <v>4.1035000000000004</v>
      </c>
      <c r="N387" s="652">
        <f t="shared" si="281"/>
        <v>4.1035000000000004</v>
      </c>
      <c r="O387" s="652">
        <f t="shared" si="281"/>
        <v>4.1035000000000004</v>
      </c>
      <c r="P387" s="652">
        <f t="shared" si="281"/>
        <v>4.1035000000000004</v>
      </c>
      <c r="Q387" s="652">
        <f t="shared" si="281"/>
        <v>4.1035000000000004</v>
      </c>
      <c r="R387" s="652">
        <f t="shared" si="281"/>
        <v>4.1035000000000004</v>
      </c>
    </row>
    <row r="388" spans="3:18" x14ac:dyDescent="0.3">
      <c r="C388" s="640" t="s">
        <v>430</v>
      </c>
      <c r="D388" s="4" t="s">
        <v>116</v>
      </c>
      <c r="E388" s="77">
        <f>SUM(E380:E387)</f>
        <v>31.902000000000001</v>
      </c>
      <c r="F388" s="77">
        <f t="shared" ref="F388:R388" si="282">SUM(F380:F387)</f>
        <v>30.204999999999998</v>
      </c>
      <c r="G388" s="77">
        <f t="shared" si="282"/>
        <v>-33.676999999999992</v>
      </c>
      <c r="H388" s="77">
        <f t="shared" si="282"/>
        <v>152.262</v>
      </c>
      <c r="I388" s="77">
        <f t="shared" si="282"/>
        <v>328.14406207366812</v>
      </c>
      <c r="J388" s="77">
        <f t="shared" si="282"/>
        <v>221.00788337348268</v>
      </c>
      <c r="K388" s="77">
        <f t="shared" si="282"/>
        <v>244.63736835739081</v>
      </c>
      <c r="L388" s="77">
        <f t="shared" si="282"/>
        <v>280.14930815764359</v>
      </c>
      <c r="M388" s="77">
        <f t="shared" si="282"/>
        <v>317.28314917064057</v>
      </c>
      <c r="N388" s="77">
        <f t="shared" si="282"/>
        <v>345.2607991987789</v>
      </c>
      <c r="O388" s="77">
        <f t="shared" si="282"/>
        <v>393.44724345741463</v>
      </c>
      <c r="P388" s="77">
        <f t="shared" si="282"/>
        <v>450.77864900576259</v>
      </c>
      <c r="Q388" s="77">
        <f t="shared" si="282"/>
        <v>213.49062212357097</v>
      </c>
      <c r="R388" s="77">
        <f t="shared" si="282"/>
        <v>226.14179550846001</v>
      </c>
    </row>
    <row r="389" spans="3:18" x14ac:dyDescent="0.3">
      <c r="C389"/>
      <c r="E389" s="645"/>
      <c r="F389" s="645"/>
      <c r="G389" s="645"/>
      <c r="H389" s="645"/>
      <c r="I389" s="645"/>
      <c r="J389" s="645"/>
      <c r="K389" s="645"/>
      <c r="L389" s="645"/>
      <c r="M389" s="645"/>
      <c r="N389" s="645"/>
      <c r="O389" s="645"/>
      <c r="P389" s="645"/>
      <c r="Q389" s="645"/>
      <c r="R389" s="645"/>
    </row>
    <row r="390" spans="3:18" outlineLevel="1" x14ac:dyDescent="0.3">
      <c r="C390" s="598" t="s">
        <v>431</v>
      </c>
      <c r="E390" s="645"/>
      <c r="F390" s="645"/>
      <c r="G390" s="645"/>
      <c r="H390" s="645"/>
      <c r="I390" s="645"/>
      <c r="J390" s="645"/>
      <c r="K390" s="645"/>
      <c r="L390" s="645"/>
      <c r="M390" s="645"/>
      <c r="N390" s="645"/>
      <c r="O390" s="645"/>
      <c r="P390" s="645"/>
      <c r="Q390" s="645"/>
      <c r="R390" s="645"/>
    </row>
    <row r="391" spans="3:18" outlineLevel="1" x14ac:dyDescent="0.3">
      <c r="C391" s="638" t="str">
        <f t="shared" ref="C391:C399" si="283">+C284</f>
        <v>Accounts Receivable:</v>
      </c>
      <c r="D391" s="4" t="s">
        <v>116</v>
      </c>
      <c r="E391" s="645">
        <f t="shared" ref="E391:R391" si="284">+E284</f>
        <v>-9.7680000000000007</v>
      </c>
      <c r="F391" s="645">
        <f t="shared" si="284"/>
        <v>-12.292999999999999</v>
      </c>
      <c r="G391" s="645">
        <f t="shared" si="284"/>
        <v>-4.7240000000000002</v>
      </c>
      <c r="H391" s="645">
        <f t="shared" si="284"/>
        <v>-48.845999999999997</v>
      </c>
      <c r="I391" s="645">
        <f t="shared" si="284"/>
        <v>-43.48737744815466</v>
      </c>
      <c r="J391" s="645">
        <f t="shared" si="284"/>
        <v>-55.376888943640722</v>
      </c>
      <c r="K391" s="645">
        <f t="shared" si="284"/>
        <v>-66.044898777115208</v>
      </c>
      <c r="L391" s="645">
        <f t="shared" si="284"/>
        <v>-83.210024265160541</v>
      </c>
      <c r="M391" s="645">
        <f t="shared" si="284"/>
        <v>-93.775554926319728</v>
      </c>
      <c r="N391" s="645">
        <f t="shared" si="284"/>
        <v>-103.5707412768316</v>
      </c>
      <c r="O391" s="645">
        <f t="shared" si="284"/>
        <v>-108.01788497071016</v>
      </c>
      <c r="P391" s="645">
        <f t="shared" si="284"/>
        <v>-127.45546418284073</v>
      </c>
      <c r="Q391" s="645">
        <f t="shared" si="284"/>
        <v>554.76488009381251</v>
      </c>
      <c r="R391" s="645">
        <f t="shared" si="284"/>
        <v>-26.811924906357859</v>
      </c>
    </row>
    <row r="392" spans="3:18" outlineLevel="1" x14ac:dyDescent="0.3">
      <c r="C392" s="638" t="str">
        <f t="shared" si="283"/>
        <v>Inventories:</v>
      </c>
      <c r="D392" s="4" t="s">
        <v>116</v>
      </c>
      <c r="E392" s="645">
        <f t="shared" ref="E392:R392" si="285">+E285</f>
        <v>-1.6439999999999999</v>
      </c>
      <c r="F392" s="645">
        <f t="shared" si="285"/>
        <v>1.298</v>
      </c>
      <c r="G392" s="645">
        <f t="shared" si="285"/>
        <v>1.6970000000000001</v>
      </c>
      <c r="H392" s="645">
        <f t="shared" si="285"/>
        <v>-8.516</v>
      </c>
      <c r="I392" s="645">
        <f t="shared" si="285"/>
        <v>-6.8817021787940469</v>
      </c>
      <c r="J392" s="645">
        <f t="shared" si="285"/>
        <v>-11.369902039723328</v>
      </c>
      <c r="K392" s="645">
        <f t="shared" si="285"/>
        <v>-13.435542082352612</v>
      </c>
      <c r="L392" s="645">
        <f t="shared" si="285"/>
        <v>-16.803010593265718</v>
      </c>
      <c r="M392" s="645">
        <f t="shared" si="285"/>
        <v>-18.745567830698135</v>
      </c>
      <c r="N392" s="645">
        <f t="shared" si="285"/>
        <v>-20.491516183752537</v>
      </c>
      <c r="O392" s="645">
        <f t="shared" si="285"/>
        <v>-21.118063865059412</v>
      </c>
      <c r="P392" s="645">
        <f t="shared" si="285"/>
        <v>-24.750939156668807</v>
      </c>
      <c r="Q392" s="645">
        <f t="shared" si="285"/>
        <v>112.05641017512875</v>
      </c>
      <c r="R392" s="645">
        <f t="shared" si="285"/>
        <v>-4.9981690470519808</v>
      </c>
    </row>
    <row r="393" spans="3:18" outlineLevel="1" x14ac:dyDescent="0.3">
      <c r="C393" s="638" t="str">
        <f t="shared" si="283"/>
        <v>Prepaid Expenses &amp; Other Current Assets:</v>
      </c>
      <c r="D393" s="4" t="s">
        <v>116</v>
      </c>
      <c r="E393" s="645">
        <f t="shared" ref="E393:R393" si="286">+E286</f>
        <v>0.42599999999999999</v>
      </c>
      <c r="F393" s="645">
        <f t="shared" si="286"/>
        <v>-0.93400000000000005</v>
      </c>
      <c r="G393" s="645">
        <f t="shared" si="286"/>
        <v>-13.090999999999999</v>
      </c>
      <c r="H393" s="645">
        <f t="shared" si="286"/>
        <v>-13.871</v>
      </c>
      <c r="I393" s="645">
        <f t="shared" si="286"/>
        <v>-68.629563958298007</v>
      </c>
      <c r="J393" s="645">
        <f t="shared" si="286"/>
        <v>1.5401543792379186</v>
      </c>
      <c r="K393" s="645">
        <f t="shared" si="286"/>
        <v>-37.559663890574853</v>
      </c>
      <c r="L393" s="645">
        <f t="shared" si="286"/>
        <v>-49.034651670918691</v>
      </c>
      <c r="M393" s="645">
        <f t="shared" si="286"/>
        <v>-55.652386679528377</v>
      </c>
      <c r="N393" s="645">
        <f t="shared" si="286"/>
        <v>-59.823765013056345</v>
      </c>
      <c r="O393" s="645">
        <f t="shared" si="286"/>
        <v>-67.292707480071044</v>
      </c>
      <c r="P393" s="645">
        <f t="shared" si="286"/>
        <v>-74.581142454792996</v>
      </c>
      <c r="Q393" s="645">
        <f t="shared" si="286"/>
        <v>320.32475656651542</v>
      </c>
      <c r="R393" s="645">
        <f t="shared" si="286"/>
        <v>-15.610172960668251</v>
      </c>
    </row>
    <row r="394" spans="3:18" outlineLevel="1" x14ac:dyDescent="0.3">
      <c r="C394" s="638" t="str">
        <f t="shared" si="283"/>
        <v>Other Non-Current Assets:</v>
      </c>
      <c r="D394" s="4" t="s">
        <v>116</v>
      </c>
      <c r="E394" s="645">
        <f t="shared" ref="E394:R394" si="287">+E287</f>
        <v>0</v>
      </c>
      <c r="F394" s="645">
        <f t="shared" si="287"/>
        <v>0.186</v>
      </c>
      <c r="G394" s="645">
        <f t="shared" si="287"/>
        <v>-3.4910000000000001</v>
      </c>
      <c r="H394" s="645">
        <f t="shared" si="287"/>
        <v>-4.306</v>
      </c>
      <c r="I394" s="645">
        <f t="shared" si="287"/>
        <v>0</v>
      </c>
      <c r="J394" s="645">
        <f t="shared" si="287"/>
        <v>0</v>
      </c>
      <c r="K394" s="645">
        <f t="shared" si="287"/>
        <v>0</v>
      </c>
      <c r="L394" s="645">
        <f t="shared" si="287"/>
        <v>0</v>
      </c>
      <c r="M394" s="645">
        <f t="shared" si="287"/>
        <v>0</v>
      </c>
      <c r="N394" s="645">
        <f t="shared" si="287"/>
        <v>0</v>
      </c>
      <c r="O394" s="645">
        <f t="shared" si="287"/>
        <v>0</v>
      </c>
      <c r="P394" s="645">
        <f t="shared" si="287"/>
        <v>0</v>
      </c>
      <c r="Q394" s="645">
        <f t="shared" si="287"/>
        <v>0</v>
      </c>
      <c r="R394" s="645">
        <f t="shared" si="287"/>
        <v>0</v>
      </c>
    </row>
    <row r="395" spans="3:18" outlineLevel="1" x14ac:dyDescent="0.3">
      <c r="C395" s="638" t="str">
        <f t="shared" si="283"/>
        <v>Accounts Payable:</v>
      </c>
      <c r="D395" s="4" t="s">
        <v>116</v>
      </c>
      <c r="E395" s="645">
        <f t="shared" ref="E395:R395" si="288">+E288</f>
        <v>0.89100000000000001</v>
      </c>
      <c r="F395" s="645">
        <f t="shared" si="288"/>
        <v>2.08</v>
      </c>
      <c r="G395" s="645">
        <f t="shared" si="288"/>
        <v>-7.2859999999999996</v>
      </c>
      <c r="H395" s="645">
        <f t="shared" si="288"/>
        <v>5.0890000000000004</v>
      </c>
      <c r="I395" s="645">
        <f t="shared" si="288"/>
        <v>6.9834466729530824</v>
      </c>
      <c r="J395" s="645">
        <f t="shared" si="288"/>
        <v>8.9513252175738529</v>
      </c>
      <c r="K395" s="645">
        <f t="shared" si="288"/>
        <v>10.57756753166047</v>
      </c>
      <c r="L395" s="645">
        <f t="shared" si="288"/>
        <v>13.22871665289388</v>
      </c>
      <c r="M395" s="645">
        <f t="shared" si="288"/>
        <v>14.758058024988273</v>
      </c>
      <c r="N395" s="645">
        <f t="shared" si="288"/>
        <v>16.132612657620598</v>
      </c>
      <c r="O395" s="645">
        <f t="shared" si="288"/>
        <v>16.625882699886589</v>
      </c>
      <c r="P395" s="645">
        <f t="shared" si="288"/>
        <v>19.48598194229622</v>
      </c>
      <c r="Q395" s="645">
        <f t="shared" si="288"/>
        <v>-88.220053848048565</v>
      </c>
      <c r="R395" s="645">
        <f t="shared" si="288"/>
        <v>3.9349711612521645</v>
      </c>
    </row>
    <row r="396" spans="3:18" outlineLevel="1" x14ac:dyDescent="0.3">
      <c r="C396" s="638" t="str">
        <f t="shared" si="283"/>
        <v>Accrued Liabilities:</v>
      </c>
      <c r="D396" s="4" t="s">
        <v>116</v>
      </c>
      <c r="E396" s="645">
        <f t="shared" ref="E396:R396" si="289">+E289</f>
        <v>9.2759999999999998</v>
      </c>
      <c r="F396" s="645">
        <f t="shared" si="289"/>
        <v>11.211</v>
      </c>
      <c r="G396" s="645">
        <f t="shared" si="289"/>
        <v>-11.428000000000001</v>
      </c>
      <c r="H396" s="645">
        <f t="shared" si="289"/>
        <v>14.717000000000001</v>
      </c>
      <c r="I396" s="645">
        <f t="shared" si="289"/>
        <v>79.610550452838581</v>
      </c>
      <c r="J396" s="645">
        <f t="shared" si="289"/>
        <v>-2.142806009952352</v>
      </c>
      <c r="K396" s="645">
        <f t="shared" si="289"/>
        <v>52.256497531330808</v>
      </c>
      <c r="L396" s="645">
        <f t="shared" si="289"/>
        <v>68.221567729045262</v>
      </c>
      <c r="M396" s="645">
        <f t="shared" si="289"/>
        <v>77.428776136125634</v>
      </c>
      <c r="N396" s="645">
        <f t="shared" si="289"/>
        <v>83.232385620579748</v>
      </c>
      <c r="O396" s="645">
        <f t="shared" si="289"/>
        <v>93.623873007855025</v>
      </c>
      <c r="P396" s="645">
        <f t="shared" si="289"/>
        <v>103.7642215842809</v>
      </c>
      <c r="Q396" s="645">
        <f t="shared" si="289"/>
        <v>-445.66559220309523</v>
      </c>
      <c r="R396" s="645">
        <f t="shared" si="289"/>
        <v>21.71832440139346</v>
      </c>
    </row>
    <row r="397" spans="3:18" outlineLevel="1" x14ac:dyDescent="0.3">
      <c r="C397" s="638" t="str">
        <f t="shared" si="283"/>
        <v>Income Taxes Payable:</v>
      </c>
      <c r="D397" s="4" t="s">
        <v>116</v>
      </c>
      <c r="E397" s="645">
        <f t="shared" ref="E397:R397" si="290">+E290</f>
        <v>0</v>
      </c>
      <c r="F397" s="645">
        <f t="shared" si="290"/>
        <v>0</v>
      </c>
      <c r="G397" s="645">
        <f t="shared" si="290"/>
        <v>39.340000000000003</v>
      </c>
      <c r="H397" s="645">
        <f t="shared" si="290"/>
        <v>-38.984000000000002</v>
      </c>
      <c r="I397" s="645">
        <f t="shared" si="290"/>
        <v>0</v>
      </c>
      <c r="J397" s="645">
        <f t="shared" si="290"/>
        <v>0</v>
      </c>
      <c r="K397" s="645">
        <f t="shared" si="290"/>
        <v>0</v>
      </c>
      <c r="L397" s="645">
        <f t="shared" si="290"/>
        <v>0</v>
      </c>
      <c r="M397" s="645">
        <f t="shared" si="290"/>
        <v>0</v>
      </c>
      <c r="N397" s="645">
        <f t="shared" si="290"/>
        <v>0</v>
      </c>
      <c r="O397" s="645">
        <f t="shared" si="290"/>
        <v>0</v>
      </c>
      <c r="P397" s="645">
        <f t="shared" si="290"/>
        <v>0</v>
      </c>
      <c r="Q397" s="645">
        <f t="shared" si="290"/>
        <v>0</v>
      </c>
      <c r="R397" s="645">
        <f t="shared" si="290"/>
        <v>0</v>
      </c>
    </row>
    <row r="398" spans="3:18" outlineLevel="1" x14ac:dyDescent="0.3">
      <c r="C398" s="638" t="str">
        <f t="shared" si="283"/>
        <v>Deferred Revenue:</v>
      </c>
      <c r="D398" s="4" t="s">
        <v>116</v>
      </c>
      <c r="E398" s="645">
        <f t="shared" ref="E398:R398" si="291">+E291</f>
        <v>-2.54</v>
      </c>
      <c r="F398" s="645">
        <f t="shared" si="291"/>
        <v>-1.2729999999999999</v>
      </c>
      <c r="G398" s="645">
        <f t="shared" si="291"/>
        <v>-1.2050000000000001</v>
      </c>
      <c r="H398" s="645">
        <f t="shared" si="291"/>
        <v>-1.0609999999999999</v>
      </c>
      <c r="I398" s="645">
        <f t="shared" si="291"/>
        <v>2.5589581789177451</v>
      </c>
      <c r="J398" s="645">
        <f t="shared" si="291"/>
        <v>3.0111121761819994</v>
      </c>
      <c r="K398" s="645">
        <f t="shared" si="291"/>
        <v>3.5581594473229092</v>
      </c>
      <c r="L398" s="645">
        <f t="shared" si="291"/>
        <v>4.4499723583483686</v>
      </c>
      <c r="M398" s="645">
        <f t="shared" si="291"/>
        <v>4.96442338265161</v>
      </c>
      <c r="N398" s="645">
        <f t="shared" si="291"/>
        <v>5.4268061126434475</v>
      </c>
      <c r="O398" s="645">
        <f t="shared" si="291"/>
        <v>5.5927358933531188</v>
      </c>
      <c r="P398" s="645">
        <f t="shared" si="291"/>
        <v>6.5548369727553819</v>
      </c>
      <c r="Q398" s="645">
        <f t="shared" si="291"/>
        <v>-29.676106260083948</v>
      </c>
      <c r="R398" s="645">
        <f t="shared" si="291"/>
        <v>1.3236743486103428</v>
      </c>
    </row>
    <row r="399" spans="3:18" outlineLevel="1" x14ac:dyDescent="0.3">
      <c r="C399" s="639" t="str">
        <f t="shared" si="283"/>
        <v>Other Current &amp; Non-Current Liabilities:</v>
      </c>
      <c r="D399" s="6" t="s">
        <v>116</v>
      </c>
      <c r="E399" s="652">
        <f t="shared" ref="E399:R399" si="292">+E292</f>
        <v>-2.4529999999999998</v>
      </c>
      <c r="F399" s="652">
        <f t="shared" si="292"/>
        <v>-3.8679999999999999</v>
      </c>
      <c r="G399" s="652">
        <f t="shared" si="292"/>
        <v>-4.9690000000000003</v>
      </c>
      <c r="H399" s="652">
        <f t="shared" si="292"/>
        <v>14.82</v>
      </c>
      <c r="I399" s="652">
        <f t="shared" si="292"/>
        <v>0</v>
      </c>
      <c r="J399" s="652">
        <f t="shared" si="292"/>
        <v>0</v>
      </c>
      <c r="K399" s="652">
        <f t="shared" si="292"/>
        <v>0</v>
      </c>
      <c r="L399" s="652">
        <f t="shared" si="292"/>
        <v>0</v>
      </c>
      <c r="M399" s="652">
        <f t="shared" si="292"/>
        <v>0</v>
      </c>
      <c r="N399" s="652">
        <f t="shared" si="292"/>
        <v>0</v>
      </c>
      <c r="O399" s="652">
        <f t="shared" si="292"/>
        <v>0</v>
      </c>
      <c r="P399" s="652">
        <f t="shared" si="292"/>
        <v>0</v>
      </c>
      <c r="Q399" s="652">
        <f t="shared" si="292"/>
        <v>0</v>
      </c>
      <c r="R399" s="652">
        <f t="shared" si="292"/>
        <v>0</v>
      </c>
    </row>
    <row r="400" spans="3:18" x14ac:dyDescent="0.3">
      <c r="C400" s="598" t="s">
        <v>432</v>
      </c>
      <c r="D400" s="4" t="s">
        <v>116</v>
      </c>
      <c r="E400" s="77">
        <f>SUM(E391:E399)</f>
        <v>-5.8120000000000012</v>
      </c>
      <c r="F400" s="77">
        <f t="shared" ref="F400:R400" si="293">SUM(F391:F399)</f>
        <v>-3.5929999999999982</v>
      </c>
      <c r="G400" s="77">
        <f t="shared" si="293"/>
        <v>-5.1569999999999903</v>
      </c>
      <c r="H400" s="77">
        <f t="shared" si="293"/>
        <v>-80.957999999999998</v>
      </c>
      <c r="I400" s="77">
        <f t="shared" si="293"/>
        <v>-29.845688280537306</v>
      </c>
      <c r="J400" s="77">
        <f t="shared" si="293"/>
        <v>-55.387005220322635</v>
      </c>
      <c r="K400" s="77">
        <f t="shared" si="293"/>
        <v>-50.647880239728494</v>
      </c>
      <c r="L400" s="77">
        <f t="shared" si="293"/>
        <v>-63.147429789057462</v>
      </c>
      <c r="M400" s="77">
        <f t="shared" si="293"/>
        <v>-71.02225189278073</v>
      </c>
      <c r="N400" s="77">
        <f t="shared" si="293"/>
        <v>-79.094218082796687</v>
      </c>
      <c r="O400" s="77">
        <f t="shared" si="293"/>
        <v>-80.586164714745891</v>
      </c>
      <c r="P400" s="77">
        <f t="shared" si="293"/>
        <v>-96.982505294970039</v>
      </c>
      <c r="Q400" s="77">
        <f t="shared" si="293"/>
        <v>423.58429452422894</v>
      </c>
      <c r="R400" s="77">
        <f t="shared" si="293"/>
        <v>-20.443297002822124</v>
      </c>
    </row>
    <row r="401" spans="3:18" x14ac:dyDescent="0.3">
      <c r="C401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5"/>
      <c r="P401" s="645"/>
      <c r="Q401" s="645"/>
      <c r="R401" s="645"/>
    </row>
    <row r="402" spans="3:18" x14ac:dyDescent="0.3">
      <c r="C402" s="598" t="s">
        <v>433</v>
      </c>
      <c r="D402" s="4" t="s">
        <v>116</v>
      </c>
      <c r="E402" s="77">
        <f t="shared" ref="E402:R402" si="294">+E299</f>
        <v>-0.73099999999999998</v>
      </c>
      <c r="F402" s="77">
        <f t="shared" si="294"/>
        <v>-1.2789999999999999</v>
      </c>
      <c r="G402" s="77">
        <f t="shared" si="294"/>
        <v>-5.976</v>
      </c>
      <c r="H402" s="77">
        <f t="shared" si="294"/>
        <v>-9.9760000000000009</v>
      </c>
      <c r="I402" s="77">
        <f t="shared" si="294"/>
        <v>-14.122437268376617</v>
      </c>
      <c r="J402" s="77">
        <f t="shared" si="294"/>
        <v>-20.192364327037083</v>
      </c>
      <c r="K402" s="77">
        <f t="shared" si="294"/>
        <v>-27.972402154239646</v>
      </c>
      <c r="L402" s="77">
        <f t="shared" si="294"/>
        <v>-38.314129051445668</v>
      </c>
      <c r="M402" s="77">
        <f t="shared" si="294"/>
        <v>-50.797251086845264</v>
      </c>
      <c r="N402" s="77">
        <f t="shared" si="294"/>
        <v>-65.504042269140427</v>
      </c>
      <c r="O402" s="77">
        <f t="shared" si="294"/>
        <v>-81.940876986193203</v>
      </c>
      <c r="P402" s="77">
        <f t="shared" si="294"/>
        <v>-102.06088574016464</v>
      </c>
      <c r="Q402" s="77">
        <f t="shared" si="294"/>
        <v>-33.242245655226597</v>
      </c>
      <c r="R402" s="77">
        <f t="shared" si="294"/>
        <v>-38.379003103090085</v>
      </c>
    </row>
    <row r="403" spans="3:18" x14ac:dyDescent="0.3">
      <c r="C403"/>
      <c r="E403" s="645"/>
      <c r="F403" s="645"/>
      <c r="G403" s="645"/>
      <c r="H403" s="645"/>
      <c r="I403" s="645"/>
      <c r="J403" s="645"/>
      <c r="K403" s="645"/>
      <c r="L403" s="645"/>
      <c r="M403" s="645"/>
      <c r="N403" s="645"/>
      <c r="O403" s="645"/>
      <c r="P403" s="645"/>
      <c r="Q403" s="645"/>
      <c r="R403" s="645"/>
    </row>
    <row r="404" spans="3:18" x14ac:dyDescent="0.3">
      <c r="C404" s="661" t="s">
        <v>443</v>
      </c>
      <c r="D404" s="662" t="s">
        <v>116</v>
      </c>
      <c r="E404" s="663">
        <f>+E377+E388+E400+E402</f>
        <v>72.745980000000017</v>
      </c>
      <c r="F404" s="663">
        <f t="shared" ref="F404:R404" si="295">+F377+F388+F400+F402</f>
        <v>130.15442000000004</v>
      </c>
      <c r="G404" s="663">
        <f t="shared" si="295"/>
        <v>117.42208000000001</v>
      </c>
      <c r="H404" s="663">
        <f t="shared" si="295"/>
        <v>340.38383999999996</v>
      </c>
      <c r="I404" s="663">
        <f t="shared" si="295"/>
        <v>570.09425763850015</v>
      </c>
      <c r="J404" s="663">
        <f t="shared" si="295"/>
        <v>716.96836756034133</v>
      </c>
      <c r="K404" s="663">
        <f t="shared" si="295"/>
        <v>913.61261995978373</v>
      </c>
      <c r="L404" s="663">
        <f t="shared" si="295"/>
        <v>1138.0149343546727</v>
      </c>
      <c r="M404" s="663">
        <f t="shared" si="295"/>
        <v>1387.1095852741405</v>
      </c>
      <c r="N404" s="663">
        <f t="shared" si="295"/>
        <v>1650.414609215039</v>
      </c>
      <c r="O404" s="663">
        <f t="shared" si="295"/>
        <v>1923.5471727257288</v>
      </c>
      <c r="P404" s="663">
        <f t="shared" si="295"/>
        <v>2246.5978070826336</v>
      </c>
      <c r="Q404" s="663">
        <f t="shared" si="295"/>
        <v>1159.3092048204969</v>
      </c>
      <c r="R404" s="663">
        <f t="shared" si="295"/>
        <v>781.57665327800839</v>
      </c>
    </row>
    <row r="405" spans="3:18" x14ac:dyDescent="0.3">
      <c r="C405" s="598" t="s">
        <v>440</v>
      </c>
      <c r="D405" s="4" t="s">
        <v>116</v>
      </c>
      <c r="E405" s="77"/>
      <c r="F405" s="77"/>
      <c r="G405" s="77"/>
      <c r="H405" s="77"/>
      <c r="I405" s="77">
        <f>+I404-'Q1-Stub'!I41</f>
        <v>489.91687763850018</v>
      </c>
      <c r="J405" s="77">
        <f>+J404</f>
        <v>716.96836756034133</v>
      </c>
      <c r="K405" s="77">
        <f t="shared" ref="K405:R405" si="296">+K404</f>
        <v>913.61261995978373</v>
      </c>
      <c r="L405" s="77">
        <f t="shared" si="296"/>
        <v>1138.0149343546727</v>
      </c>
      <c r="M405" s="77">
        <f t="shared" si="296"/>
        <v>1387.1095852741405</v>
      </c>
      <c r="N405" s="77">
        <f t="shared" si="296"/>
        <v>1650.414609215039</v>
      </c>
      <c r="O405" s="77">
        <f t="shared" si="296"/>
        <v>1923.5471727257288</v>
      </c>
      <c r="P405" s="77">
        <f t="shared" si="296"/>
        <v>2246.5978070826336</v>
      </c>
      <c r="Q405" s="77">
        <f t="shared" si="296"/>
        <v>1159.3092048204969</v>
      </c>
      <c r="R405" s="77">
        <f t="shared" si="296"/>
        <v>781.57665327800839</v>
      </c>
    </row>
    <row r="406" spans="3:18" x14ac:dyDescent="0.3">
      <c r="C406" s="598" t="s">
        <v>543</v>
      </c>
      <c r="D406" s="4" t="s">
        <v>116</v>
      </c>
      <c r="G406" s="642"/>
      <c r="H406" s="642"/>
      <c r="I406" s="77">
        <f t="shared" ref="I406:R406" si="297">+I405/((1+Discount_Rate)^I409)</f>
        <v>477.7792855265788</v>
      </c>
      <c r="J406" s="77">
        <f t="shared" si="297"/>
        <v>655.93284421617977</v>
      </c>
      <c r="K406" s="77">
        <f t="shared" si="297"/>
        <v>773.42921986605666</v>
      </c>
      <c r="L406" s="77">
        <f t="shared" si="297"/>
        <v>891.46757222119993</v>
      </c>
      <c r="M406" s="77">
        <f t="shared" si="297"/>
        <v>1005.4661737160442</v>
      </c>
      <c r="N406" s="77">
        <f t="shared" si="297"/>
        <v>1107.0031431323248</v>
      </c>
      <c r="O406" s="77">
        <f t="shared" si="297"/>
        <v>1193.8719238503982</v>
      </c>
      <c r="P406" s="77">
        <f t="shared" si="297"/>
        <v>1290.2662321472915</v>
      </c>
      <c r="Q406" s="77">
        <f t="shared" si="297"/>
        <v>616.10167278535425</v>
      </c>
      <c r="R406" s="77">
        <f t="shared" si="297"/>
        <v>384.34725598774423</v>
      </c>
    </row>
    <row r="407" spans="3:18" x14ac:dyDescent="0.3">
      <c r="C407"/>
      <c r="G407" s="642"/>
      <c r="H407" s="642"/>
      <c r="I407" s="642"/>
      <c r="J407" s="642"/>
      <c r="K407" s="642"/>
      <c r="L407" s="642"/>
      <c r="M407" s="642"/>
      <c r="N407" s="584"/>
      <c r="O407" s="584"/>
      <c r="P407" s="584"/>
      <c r="Q407" s="584"/>
      <c r="R407" s="584"/>
    </row>
    <row r="408" spans="3:18" x14ac:dyDescent="0.3">
      <c r="C408" t="s">
        <v>434</v>
      </c>
      <c r="D408" s="2" t="s">
        <v>446</v>
      </c>
      <c r="G408" s="642"/>
      <c r="H408" s="642"/>
      <c r="I408" s="653">
        <f>+Stub_Period</f>
        <v>0.64657534246575343</v>
      </c>
      <c r="J408" s="654">
        <f>+I408+1</f>
        <v>1.6465753424657534</v>
      </c>
      <c r="K408" s="654">
        <f t="shared" ref="K408:R408" si="298">+J408+1</f>
        <v>2.6465753424657534</v>
      </c>
      <c r="L408" s="654">
        <f t="shared" si="298"/>
        <v>3.6465753424657534</v>
      </c>
      <c r="M408" s="654">
        <f t="shared" si="298"/>
        <v>4.6465753424657539</v>
      </c>
      <c r="N408" s="654">
        <f t="shared" si="298"/>
        <v>5.6465753424657539</v>
      </c>
      <c r="O408" s="654">
        <f t="shared" si="298"/>
        <v>6.6465753424657539</v>
      </c>
      <c r="P408" s="654">
        <f t="shared" si="298"/>
        <v>7.6465753424657539</v>
      </c>
      <c r="Q408" s="654">
        <f t="shared" si="298"/>
        <v>8.6465753424657539</v>
      </c>
      <c r="R408" s="654">
        <f t="shared" si="298"/>
        <v>9.6465753424657539</v>
      </c>
    </row>
    <row r="409" spans="3:18" x14ac:dyDescent="0.3">
      <c r="C409" t="s">
        <v>447</v>
      </c>
      <c r="D409" s="2" t="s">
        <v>446</v>
      </c>
      <c r="G409" s="642"/>
      <c r="H409" s="642"/>
      <c r="I409" s="653">
        <f>+I408/2</f>
        <v>0.32328767123287672</v>
      </c>
      <c r="J409" s="654">
        <f>+J408-0.5</f>
        <v>1.1465753424657534</v>
      </c>
      <c r="K409" s="654">
        <f t="shared" ref="K409:R409" si="299">+K408-0.5</f>
        <v>2.1465753424657534</v>
      </c>
      <c r="L409" s="654">
        <f t="shared" si="299"/>
        <v>3.1465753424657534</v>
      </c>
      <c r="M409" s="654">
        <f t="shared" si="299"/>
        <v>4.1465753424657539</v>
      </c>
      <c r="N409" s="654">
        <f t="shared" si="299"/>
        <v>5.1465753424657539</v>
      </c>
      <c r="O409" s="654">
        <f t="shared" si="299"/>
        <v>6.1465753424657539</v>
      </c>
      <c r="P409" s="654">
        <f t="shared" si="299"/>
        <v>7.1465753424657539</v>
      </c>
      <c r="Q409" s="654">
        <f t="shared" si="299"/>
        <v>8.1465753424657539</v>
      </c>
      <c r="R409" s="654">
        <f t="shared" si="299"/>
        <v>9.1465753424657539</v>
      </c>
    </row>
    <row r="410" spans="3:18" x14ac:dyDescent="0.3">
      <c r="C410"/>
      <c r="G410" s="642"/>
      <c r="H410" s="642"/>
      <c r="I410" s="642"/>
      <c r="J410" s="642"/>
      <c r="K410" s="642"/>
      <c r="L410" s="642"/>
      <c r="M410" s="642"/>
      <c r="N410" s="584"/>
      <c r="O410" s="584"/>
      <c r="P410" s="584"/>
      <c r="Q410" s="584"/>
      <c r="R410" s="584"/>
    </row>
    <row r="411" spans="3:18" x14ac:dyDescent="0.3">
      <c r="C411" s="641" t="s">
        <v>444</v>
      </c>
      <c r="D411" s="2" t="s">
        <v>10</v>
      </c>
      <c r="E411" s="24" t="str">
        <f>IFERROR(+E404/D404-1,"N/A")</f>
        <v>N/A</v>
      </c>
      <c r="F411" s="24">
        <f>IFERROR(+F404/E404-1,"N/A")</f>
        <v>0.78916305753252636</v>
      </c>
      <c r="G411" s="24">
        <f t="shared" ref="G411:R411" si="300">IFERROR(+G404/F404-1,"N/A")</f>
        <v>-9.7824876020345952E-2</v>
      </c>
      <c r="H411" s="24">
        <f t="shared" si="300"/>
        <v>1.8988060848521839</v>
      </c>
      <c r="I411" s="24">
        <f t="shared" si="300"/>
        <v>0.67485700155007411</v>
      </c>
      <c r="J411" s="24">
        <f t="shared" si="300"/>
        <v>0.25763127404622077</v>
      </c>
      <c r="K411" s="24">
        <f t="shared" si="300"/>
        <v>0.27427186651005564</v>
      </c>
      <c r="L411" s="24">
        <f t="shared" si="300"/>
        <v>0.2456208566873419</v>
      </c>
      <c r="M411" s="24">
        <f t="shared" si="300"/>
        <v>0.21888522144985756</v>
      </c>
      <c r="N411" s="24">
        <f t="shared" si="300"/>
        <v>0.1898227989599397</v>
      </c>
      <c r="O411" s="24">
        <f t="shared" si="300"/>
        <v>0.16549330209855295</v>
      </c>
      <c r="P411" s="24">
        <f t="shared" si="300"/>
        <v>0.16794526224128492</v>
      </c>
      <c r="Q411" s="24">
        <f t="shared" si="300"/>
        <v>-0.4839711847106527</v>
      </c>
      <c r="R411" s="24">
        <f t="shared" si="300"/>
        <v>-0.32582554332515212</v>
      </c>
    </row>
    <row r="412" spans="3:18" x14ac:dyDescent="0.3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3:18" x14ac:dyDescent="0.3">
      <c r="C413" s="665" t="s">
        <v>435</v>
      </c>
      <c r="D413" s="664" t="s">
        <v>116</v>
      </c>
      <c r="E413" s="666">
        <f t="shared" ref="E413:R413" si="301">+E214</f>
        <v>66.500000000000014</v>
      </c>
      <c r="F413" s="666">
        <f t="shared" si="301"/>
        <v>135.65800000000002</v>
      </c>
      <c r="G413" s="666">
        <f t="shared" si="301"/>
        <v>272.07299999999998</v>
      </c>
      <c r="H413" s="666">
        <f t="shared" si="301"/>
        <v>426.40200000000004</v>
      </c>
      <c r="I413" s="666">
        <f t="shared" si="301"/>
        <v>609.85835849646628</v>
      </c>
      <c r="J413" s="666">
        <f t="shared" si="301"/>
        <v>830.93611559903286</v>
      </c>
      <c r="K413" s="666">
        <f t="shared" si="301"/>
        <v>1045.5100430790865</v>
      </c>
      <c r="L413" s="666">
        <f t="shared" si="301"/>
        <v>1309.519128155958</v>
      </c>
      <c r="M413" s="666">
        <f t="shared" si="301"/>
        <v>1596.8213805228445</v>
      </c>
      <c r="N413" s="666">
        <f t="shared" si="301"/>
        <v>1903.3281625526106</v>
      </c>
      <c r="O413" s="666">
        <f t="shared" si="301"/>
        <v>2210.3611645483297</v>
      </c>
      <c r="P413" s="666">
        <f t="shared" si="301"/>
        <v>2592.5063096743656</v>
      </c>
      <c r="Q413" s="666">
        <f t="shared" si="301"/>
        <v>798.01497672258188</v>
      </c>
      <c r="R413" s="666">
        <f t="shared" si="301"/>
        <v>873.51174768468513</v>
      </c>
    </row>
    <row r="414" spans="3:18" x14ac:dyDescent="0.3">
      <c r="C414" s="659" t="s">
        <v>445</v>
      </c>
      <c r="D414" s="2" t="s">
        <v>10</v>
      </c>
      <c r="E414" s="24" t="str">
        <f>IFERROR(+E413/D413-1,"N/A")</f>
        <v>N/A</v>
      </c>
      <c r="F414" s="24">
        <f t="shared" ref="F414:R414" si="302">IFERROR(+F413/E413-1,"N/A")</f>
        <v>1.0399699248120298</v>
      </c>
      <c r="G414" s="24">
        <f t="shared" si="302"/>
        <v>1.0055802090551236</v>
      </c>
      <c r="H414" s="24">
        <f t="shared" si="302"/>
        <v>0.56723379387149797</v>
      </c>
      <c r="I414" s="24">
        <f t="shared" si="302"/>
        <v>0.43024272516654749</v>
      </c>
      <c r="J414" s="24">
        <f t="shared" si="302"/>
        <v>0.36250672639399029</v>
      </c>
      <c r="K414" s="24">
        <f t="shared" si="302"/>
        <v>0.25823155769967276</v>
      </c>
      <c r="L414" s="24">
        <f t="shared" si="302"/>
        <v>0.25251702441743151</v>
      </c>
      <c r="M414" s="24">
        <f t="shared" si="302"/>
        <v>0.21939523156982088</v>
      </c>
      <c r="N414" s="24">
        <f t="shared" si="302"/>
        <v>0.19194806993967428</v>
      </c>
      <c r="O414" s="24">
        <f t="shared" si="302"/>
        <v>0.16131374927166942</v>
      </c>
      <c r="P414" s="24">
        <f t="shared" si="302"/>
        <v>0.17288810139049127</v>
      </c>
      <c r="Q414" s="24">
        <f t="shared" si="302"/>
        <v>-0.69218397897638395</v>
      </c>
      <c r="R414" s="24">
        <f t="shared" si="302"/>
        <v>9.4605706865509953E-2</v>
      </c>
    </row>
    <row r="417" spans="4:16" x14ac:dyDescent="0.3">
      <c r="D417" s="3" t="s">
        <v>491</v>
      </c>
      <c r="G417" s="642"/>
      <c r="H417" s="642"/>
      <c r="I417" s="642"/>
      <c r="J417" s="642"/>
      <c r="K417" s="642"/>
      <c r="L417" s="642"/>
      <c r="M417" s="642"/>
      <c r="N417" s="584"/>
    </row>
    <row r="418" spans="4:16" x14ac:dyDescent="0.3">
      <c r="G418" s="642"/>
      <c r="H418" s="642"/>
      <c r="I418" s="642"/>
      <c r="J418" s="642"/>
      <c r="K418" s="642"/>
      <c r="L418" s="642"/>
      <c r="M418" s="642"/>
      <c r="N418" s="584"/>
    </row>
    <row r="419" spans="4:16" x14ac:dyDescent="0.3">
      <c r="D419" s="724"/>
      <c r="E419" s="725"/>
      <c r="F419" s="726" t="s">
        <v>492</v>
      </c>
      <c r="G419" s="726"/>
      <c r="H419" s="726"/>
      <c r="I419" s="726"/>
      <c r="J419" s="726"/>
      <c r="K419" s="726"/>
      <c r="L419" s="726"/>
      <c r="M419" s="726"/>
      <c r="N419" s="727"/>
      <c r="P419" s="3" t="s">
        <v>505</v>
      </c>
    </row>
    <row r="420" spans="4:16" x14ac:dyDescent="0.3">
      <c r="D420" s="728"/>
      <c r="E420" s="729">
        <f ca="1">+$I$344</f>
        <v>196.45820110187285</v>
      </c>
      <c r="F420" s="730">
        <v>-0.02</v>
      </c>
      <c r="G420" s="730">
        <f>+F420+0.5%</f>
        <v>-1.4999999999999999E-2</v>
      </c>
      <c r="H420" s="730">
        <f t="shared" ref="H420:N420" si="303">+G420+0.5%</f>
        <v>-9.9999999999999985E-3</v>
      </c>
      <c r="I420" s="730">
        <f t="shared" si="303"/>
        <v>-4.9999999999999984E-3</v>
      </c>
      <c r="J420" s="730">
        <f t="shared" si="303"/>
        <v>0</v>
      </c>
      <c r="K420" s="730">
        <f t="shared" si="303"/>
        <v>5.0000000000000001E-3</v>
      </c>
      <c r="L420" s="730">
        <f t="shared" si="303"/>
        <v>0.01</v>
      </c>
      <c r="M420" s="730">
        <f t="shared" si="303"/>
        <v>1.4999999999999999E-2</v>
      </c>
      <c r="N420" s="731">
        <f t="shared" si="303"/>
        <v>0.02</v>
      </c>
    </row>
    <row r="421" spans="4:16" x14ac:dyDescent="0.3">
      <c r="D421" s="743" t="s">
        <v>381</v>
      </c>
      <c r="E421" s="730">
        <v>6.5000000000000002E-2</v>
      </c>
      <c r="F421" s="732">
        <f t="dataTable" ref="F421:N429" dt2D="1" dtr="1" r1="D330" r2="D322" ca="1"/>
        <v>207.76530627707692</v>
      </c>
      <c r="G421" s="733">
        <v>213.1666495979311</v>
      </c>
      <c r="H421" s="733">
        <v>219.28817245538676</v>
      </c>
      <c r="I421" s="733">
        <v>226.28419857685793</v>
      </c>
      <c r="J421" s="734">
        <v>234.35653640769306</v>
      </c>
      <c r="K421" s="733">
        <v>243.77426387500068</v>
      </c>
      <c r="L421" s="733">
        <v>254.90430542481459</v>
      </c>
      <c r="M421" s="733">
        <v>268.26035528156189</v>
      </c>
      <c r="N421" s="735">
        <v>284.58441621385072</v>
      </c>
      <c r="P421" s="584" t="s">
        <v>506</v>
      </c>
    </row>
    <row r="422" spans="4:16" x14ac:dyDescent="0.3">
      <c r="D422" s="744"/>
      <c r="E422" s="730">
        <f>+E421+0.5%</f>
        <v>7.0000000000000007E-2</v>
      </c>
      <c r="F422" s="736">
        <v>197.00212085728606</v>
      </c>
      <c r="G422" s="737">
        <v>201.62356976742453</v>
      </c>
      <c r="H422" s="737">
        <v>206.82269519600712</v>
      </c>
      <c r="I422" s="737">
        <v>212.71503734725121</v>
      </c>
      <c r="J422" s="738">
        <v>219.44914266155578</v>
      </c>
      <c r="K422" s="737">
        <v>227.21926417634305</v>
      </c>
      <c r="L422" s="737">
        <v>236.28440594148421</v>
      </c>
      <c r="M422" s="737">
        <v>246.99775529768633</v>
      </c>
      <c r="N422" s="649">
        <v>259.85377452191574</v>
      </c>
      <c r="P422" s="584" t="s">
        <v>507</v>
      </c>
    </row>
    <row r="423" spans="4:16" x14ac:dyDescent="0.3">
      <c r="D423" s="744"/>
      <c r="E423" s="730">
        <f t="shared" ref="E423:E429" si="304">+E422+0.5%</f>
        <v>7.5000000000000011E-2</v>
      </c>
      <c r="F423" s="736">
        <v>187.27782202236926</v>
      </c>
      <c r="G423" s="737">
        <v>191.25870379031676</v>
      </c>
      <c r="H423" s="737">
        <v>195.70792000181078</v>
      </c>
      <c r="I423" s="737">
        <v>200.71328823875339</v>
      </c>
      <c r="J423" s="738">
        <v>206.38603890608374</v>
      </c>
      <c r="K423" s="737">
        <v>212.8691825244168</v>
      </c>
      <c r="L423" s="737">
        <v>220.34973285145512</v>
      </c>
      <c r="M423" s="737">
        <v>229.07704156410747</v>
      </c>
      <c r="N423" s="649">
        <v>239.3911336763108</v>
      </c>
      <c r="P423" s="584" t="s">
        <v>508</v>
      </c>
    </row>
    <row r="424" spans="4:16" x14ac:dyDescent="0.3">
      <c r="D424" s="744"/>
      <c r="E424" s="730">
        <f t="shared" si="304"/>
        <v>8.0000000000000016E-2</v>
      </c>
      <c r="F424" s="736">
        <v>178.44143523427044</v>
      </c>
      <c r="G424" s="737">
        <v>181.89131642191595</v>
      </c>
      <c r="H424" s="737">
        <v>185.72451315849449</v>
      </c>
      <c r="I424" s="737">
        <v>190.00867421617522</v>
      </c>
      <c r="J424" s="738">
        <v>194.82835540503322</v>
      </c>
      <c r="K424" s="737">
        <v>200.29066075114443</v>
      </c>
      <c r="L424" s="737">
        <v>206.53329543086909</v>
      </c>
      <c r="M424" s="737">
        <v>213.73633544403572</v>
      </c>
      <c r="N424" s="649">
        <v>222.13988212371822</v>
      </c>
    </row>
    <row r="425" spans="4:16" x14ac:dyDescent="0.3">
      <c r="D425" s="744"/>
      <c r="E425" s="730">
        <f t="shared" si="304"/>
        <v>8.500000000000002E-2</v>
      </c>
      <c r="F425" s="736">
        <v>170.3704985609368</v>
      </c>
      <c r="G425" s="737">
        <v>173.37655157329817</v>
      </c>
      <c r="H425" s="737">
        <v>176.69902663799186</v>
      </c>
      <c r="I425" s="737">
        <v>180.3906655980357</v>
      </c>
      <c r="J425" s="738">
        <v>184.51661502308289</v>
      </c>
      <c r="K425" s="737">
        <v>189.1583081251826</v>
      </c>
      <c r="L425" s="737">
        <v>194.41889363957637</v>
      </c>
      <c r="M425" s="737">
        <v>200.43099136869213</v>
      </c>
      <c r="N425" s="649">
        <v>207.36802720798332</v>
      </c>
      <c r="P425" s="584" t="s">
        <v>509</v>
      </c>
    </row>
    <row r="426" spans="4:16" x14ac:dyDescent="0.3">
      <c r="D426" s="744"/>
      <c r="E426" s="730">
        <f t="shared" si="304"/>
        <v>9.0000000000000024E-2</v>
      </c>
      <c r="F426" s="736">
        <v>162.96459232445949</v>
      </c>
      <c r="G426" s="737">
        <v>165.5969038466958</v>
      </c>
      <c r="H426" s="737">
        <v>168.49244194056396</v>
      </c>
      <c r="I426" s="737">
        <v>171.69277351737551</v>
      </c>
      <c r="J426" s="738">
        <v>175.24869749085482</v>
      </c>
      <c r="K426" s="737">
        <v>179.22296546029338</v>
      </c>
      <c r="L426" s="737">
        <v>183.69401692478695</v>
      </c>
      <c r="M426" s="737">
        <v>188.76120858316719</v>
      </c>
      <c r="N426" s="649">
        <v>194.55228476247643</v>
      </c>
      <c r="P426" s="584" t="s">
        <v>510</v>
      </c>
    </row>
    <row r="427" spans="4:16" x14ac:dyDescent="0.3">
      <c r="D427" s="744"/>
      <c r="E427" s="730">
        <f t="shared" si="304"/>
        <v>9.5000000000000029E-2</v>
      </c>
      <c r="F427" s="736">
        <v>156.14055920227062</v>
      </c>
      <c r="G427" s="737">
        <v>158.45601521752758</v>
      </c>
      <c r="H427" s="737">
        <v>160.99198627008565</v>
      </c>
      <c r="I427" s="737">
        <v>163.78155442736912</v>
      </c>
      <c r="J427" s="738">
        <v>166.86476133740621</v>
      </c>
      <c r="K427" s="737">
        <v>170.29054679221827</v>
      </c>
      <c r="L427" s="737">
        <v>174.11936582899165</v>
      </c>
      <c r="M427" s="737">
        <v>178.42678724418914</v>
      </c>
      <c r="N427" s="649">
        <v>183.30853151330598</v>
      </c>
      <c r="P427" s="584" t="s">
        <v>511</v>
      </c>
    </row>
    <row r="428" spans="4:16" x14ac:dyDescent="0.3">
      <c r="D428" s="744"/>
      <c r="E428" s="730">
        <f t="shared" si="304"/>
        <v>0.10000000000000003</v>
      </c>
      <c r="F428" s="736">
        <v>149.82891863236514</v>
      </c>
      <c r="G428" s="737">
        <v>151.87408925753775</v>
      </c>
      <c r="H428" s="737">
        <v>154.10517989659903</v>
      </c>
      <c r="I428" s="737">
        <v>156.54875535797692</v>
      </c>
      <c r="J428" s="738">
        <v>159.236688364944</v>
      </c>
      <c r="K428" s="737">
        <v>162.20756168776649</v>
      </c>
      <c r="L428" s="737">
        <v>165.50853204564416</v>
      </c>
      <c r="M428" s="737">
        <v>169.19785185639427</v>
      </c>
      <c r="N428" s="649">
        <v>173.3483366422669</v>
      </c>
    </row>
    <row r="429" spans="4:16" x14ac:dyDescent="0.3">
      <c r="D429" s="745"/>
      <c r="E429" s="739">
        <f t="shared" si="304"/>
        <v>0.10500000000000004</v>
      </c>
      <c r="F429" s="740">
        <v>143.97114115763026</v>
      </c>
      <c r="G429" s="738">
        <v>145.78445115899174</v>
      </c>
      <c r="H429" s="738">
        <v>147.75543569469454</v>
      </c>
      <c r="I429" s="738">
        <v>149.90560064235171</v>
      </c>
      <c r="J429" s="738">
        <v>152.26054320360612</v>
      </c>
      <c r="K429" s="738">
        <v>154.85098002041968</v>
      </c>
      <c r="L429" s="738">
        <v>157.71409439620746</v>
      </c>
      <c r="M429" s="738">
        <v>160.89533259068347</v>
      </c>
      <c r="N429" s="649">
        <v>164.45083410112269</v>
      </c>
    </row>
    <row r="430" spans="4:16" x14ac:dyDescent="0.3">
      <c r="G430" s="642"/>
      <c r="H430" s="642"/>
      <c r="I430" s="642"/>
      <c r="J430" s="642"/>
      <c r="K430" s="642"/>
      <c r="L430" s="642"/>
      <c r="M430" s="642"/>
      <c r="N430" s="584"/>
    </row>
    <row r="431" spans="4:16" x14ac:dyDescent="0.3">
      <c r="D431" s="3" t="s">
        <v>493</v>
      </c>
      <c r="G431" s="642"/>
      <c r="H431" s="642"/>
      <c r="I431" s="642"/>
      <c r="J431" s="642"/>
      <c r="K431" s="642"/>
      <c r="L431" s="642"/>
      <c r="M431" s="642"/>
      <c r="N431" s="584"/>
    </row>
    <row r="432" spans="4:16" x14ac:dyDescent="0.3">
      <c r="G432" s="642"/>
      <c r="H432" s="642"/>
      <c r="I432" s="642"/>
      <c r="J432" s="642"/>
      <c r="K432" s="642"/>
      <c r="L432" s="642"/>
      <c r="M432" s="642"/>
      <c r="N432" s="584"/>
    </row>
    <row r="433" spans="4:16" x14ac:dyDescent="0.3">
      <c r="D433" s="724"/>
      <c r="E433" s="725"/>
      <c r="F433" s="726" t="s">
        <v>494</v>
      </c>
      <c r="G433" s="726"/>
      <c r="H433" s="726"/>
      <c r="I433" s="726"/>
      <c r="J433" s="726"/>
      <c r="K433" s="726"/>
      <c r="L433" s="726"/>
      <c r="M433" s="726"/>
      <c r="N433" s="727"/>
      <c r="P433" s="3" t="s">
        <v>505</v>
      </c>
    </row>
    <row r="434" spans="4:16" x14ac:dyDescent="0.3">
      <c r="D434" s="728"/>
      <c r="E434" s="729">
        <f ca="1">+$I$344</f>
        <v>196.45820110187285</v>
      </c>
      <c r="F434" s="730">
        <v>-0.2</v>
      </c>
      <c r="G434" s="730">
        <f>+F434+5%</f>
        <v>-0.15000000000000002</v>
      </c>
      <c r="H434" s="730">
        <f t="shared" ref="H434:N434" si="305">+G434+5%</f>
        <v>-0.10000000000000002</v>
      </c>
      <c r="I434" s="730">
        <f t="shared" si="305"/>
        <v>-5.0000000000000017E-2</v>
      </c>
      <c r="J434" s="730">
        <f t="shared" si="305"/>
        <v>0</v>
      </c>
      <c r="K434" s="730">
        <f t="shared" si="305"/>
        <v>0.05</v>
      </c>
      <c r="L434" s="730">
        <f t="shared" si="305"/>
        <v>0.1</v>
      </c>
      <c r="M434" s="730">
        <f t="shared" si="305"/>
        <v>0.15000000000000002</v>
      </c>
      <c r="N434" s="731">
        <f t="shared" si="305"/>
        <v>0.2</v>
      </c>
    </row>
    <row r="435" spans="4:16" x14ac:dyDescent="0.3">
      <c r="D435" s="743" t="s">
        <v>495</v>
      </c>
      <c r="E435" s="730">
        <v>-0.2</v>
      </c>
      <c r="F435" s="732">
        <f t="dataTable" ref="F435:N443" dt2D="1" dtr="1" r1="D23" r2="D22" ca="1"/>
        <v>161.1316424005831</v>
      </c>
      <c r="G435" s="733">
        <v>163.50351634983588</v>
      </c>
      <c r="H435" s="733">
        <v>165.94524546831559</v>
      </c>
      <c r="I435" s="733">
        <v>168.45874017469893</v>
      </c>
      <c r="J435" s="734">
        <v>171.04595375693356</v>
      </c>
      <c r="K435" s="733">
        <v>173.7088869693641</v>
      </c>
      <c r="L435" s="733">
        <v>176.44958903433172</v>
      </c>
      <c r="M435" s="733">
        <v>179.27015866159883</v>
      </c>
      <c r="N435" s="735">
        <v>182.17274508585868</v>
      </c>
      <c r="P435" s="584" t="s">
        <v>512</v>
      </c>
    </row>
    <row r="436" spans="4:16" x14ac:dyDescent="0.3">
      <c r="D436" s="744"/>
      <c r="E436" s="730">
        <f>+E435+5%</f>
        <v>-0.15000000000000002</v>
      </c>
      <c r="F436" s="736">
        <v>166.86506195483307</v>
      </c>
      <c r="G436" s="737">
        <v>169.38517590123769</v>
      </c>
      <c r="H436" s="737">
        <v>171.97951308977647</v>
      </c>
      <c r="I436" s="737">
        <v>174.6501012154846</v>
      </c>
      <c r="J436" s="738">
        <v>177.3990156468063</v>
      </c>
      <c r="K436" s="737">
        <v>180.22838218523222</v>
      </c>
      <c r="L436" s="737">
        <v>183.14037812949923</v>
      </c>
      <c r="M436" s="737">
        <v>186.1372333587293</v>
      </c>
      <c r="N436" s="649">
        <v>189.22123143478322</v>
      </c>
      <c r="P436" s="584" t="s">
        <v>513</v>
      </c>
    </row>
    <row r="437" spans="4:16" x14ac:dyDescent="0.3">
      <c r="D437" s="744"/>
      <c r="E437" s="730">
        <f t="shared" ref="E437:E443" si="306">+E436+5%</f>
        <v>-0.10000000000000002</v>
      </c>
      <c r="F437" s="736">
        <v>172.59847965573428</v>
      </c>
      <c r="G437" s="737">
        <v>175.26683545320518</v>
      </c>
      <c r="H437" s="737">
        <v>178.0137807118376</v>
      </c>
      <c r="I437" s="737">
        <v>180.84146225690432</v>
      </c>
      <c r="J437" s="738">
        <v>183.75207753734583</v>
      </c>
      <c r="K437" s="737">
        <v>186.74787740179855</v>
      </c>
      <c r="L437" s="737">
        <v>189.83116722539512</v>
      </c>
      <c r="M437" s="737">
        <v>193.00430805661696</v>
      </c>
      <c r="N437" s="649">
        <v>196.2697177844924</v>
      </c>
      <c r="P437" s="584" t="s">
        <v>514</v>
      </c>
    </row>
    <row r="438" spans="4:16" x14ac:dyDescent="0.3">
      <c r="D438" s="744"/>
      <c r="E438" s="730">
        <f t="shared" si="306"/>
        <v>-5.0000000000000017E-2</v>
      </c>
      <c r="F438" s="736">
        <v>178.33189735952317</v>
      </c>
      <c r="G438" s="737">
        <v>181.14849500574076</v>
      </c>
      <c r="H438" s="737">
        <v>184.04804833449563</v>
      </c>
      <c r="I438" s="737">
        <v>187.03282329894859</v>
      </c>
      <c r="J438" s="738">
        <v>190.10513942853635</v>
      </c>
      <c r="K438" s="737">
        <v>193.26737261904123</v>
      </c>
      <c r="L438" s="737">
        <v>196.52195632199144</v>
      </c>
      <c r="M438" s="737">
        <v>199.87138275522787</v>
      </c>
      <c r="N438" s="649">
        <v>203.31820413494623</v>
      </c>
    </row>
    <row r="439" spans="4:16" x14ac:dyDescent="0.3">
      <c r="D439" s="744"/>
      <c r="E439" s="730">
        <f t="shared" si="306"/>
        <v>0</v>
      </c>
      <c r="F439" s="736">
        <v>184.06531506505939</v>
      </c>
      <c r="G439" s="737">
        <v>187.0301545588357</v>
      </c>
      <c r="H439" s="737">
        <v>190.08231595773643</v>
      </c>
      <c r="I439" s="737">
        <v>193.22418434159812</v>
      </c>
      <c r="J439" s="738">
        <v>196.45820132035357</v>
      </c>
      <c r="K439" s="737">
        <v>199.78686783693092</v>
      </c>
      <c r="L439" s="737">
        <v>203.21274541925396</v>
      </c>
      <c r="M439" s="737">
        <v>206.73845745452277</v>
      </c>
      <c r="N439" s="649">
        <v>210.36669048610071</v>
      </c>
      <c r="P439" s="584" t="s">
        <v>515</v>
      </c>
    </row>
    <row r="440" spans="4:16" x14ac:dyDescent="0.3">
      <c r="D440" s="744"/>
      <c r="E440" s="730">
        <f t="shared" si="306"/>
        <v>0.05</v>
      </c>
      <c r="F440" s="736">
        <v>189.79873277149454</v>
      </c>
      <c r="G440" s="737">
        <v>192.91181411247325</v>
      </c>
      <c r="H440" s="737">
        <v>196.11658358153912</v>
      </c>
      <c r="I440" s="737">
        <v>199.41554538482782</v>
      </c>
      <c r="J440" s="738">
        <v>202.81126321276818</v>
      </c>
      <c r="K440" s="737">
        <v>206.30636305543405</v>
      </c>
      <c r="L440" s="737">
        <v>209.903534517145</v>
      </c>
      <c r="M440" s="737">
        <v>213.60553215446012</v>
      </c>
      <c r="N440" s="649">
        <v>217.41517683791042</v>
      </c>
    </row>
    <row r="441" spans="4:16" x14ac:dyDescent="0.3">
      <c r="D441" s="744"/>
      <c r="E441" s="730">
        <f t="shared" si="306"/>
        <v>0.1</v>
      </c>
      <c r="F441" s="736">
        <v>195.53215047819964</v>
      </c>
      <c r="G441" s="737">
        <v>198.79347366663222</v>
      </c>
      <c r="H441" s="737">
        <v>202.15085120587889</v>
      </c>
      <c r="I441" s="737">
        <v>205.60690642860934</v>
      </c>
      <c r="J441" s="738">
        <v>209.16432510574836</v>
      </c>
      <c r="K441" s="737">
        <v>212.82585827451561</v>
      </c>
      <c r="L441" s="737">
        <v>216.59432361562602</v>
      </c>
      <c r="M441" s="737">
        <v>220.47260685499822</v>
      </c>
      <c r="N441" s="649">
        <v>224.46366319033049</v>
      </c>
    </row>
    <row r="442" spans="4:16" x14ac:dyDescent="0.3">
      <c r="D442" s="744"/>
      <c r="E442" s="730">
        <f t="shared" si="306"/>
        <v>0.15000000000000002</v>
      </c>
      <c r="F442" s="736">
        <v>201.26556818471116</v>
      </c>
      <c r="G442" s="737">
        <v>204.67513322128838</v>
      </c>
      <c r="H442" s="737">
        <v>208.18511883072856</v>
      </c>
      <c r="I442" s="737">
        <v>211.79826747291256</v>
      </c>
      <c r="J442" s="738">
        <v>215.51738699926111</v>
      </c>
      <c r="K442" s="737">
        <v>219.34535349413972</v>
      </c>
      <c r="L442" s="737">
        <v>223.28511271465868</v>
      </c>
      <c r="M442" s="737">
        <v>227.33968155609602</v>
      </c>
      <c r="N442" s="649">
        <v>231.51214954331735</v>
      </c>
    </row>
    <row r="443" spans="4:16" x14ac:dyDescent="0.3">
      <c r="D443" s="745"/>
      <c r="E443" s="739">
        <f t="shared" si="306"/>
        <v>0.2</v>
      </c>
      <c r="F443" s="740">
        <v>206.99898589069053</v>
      </c>
      <c r="G443" s="738">
        <v>210.55679277641644</v>
      </c>
      <c r="H443" s="738">
        <v>214.21938645606028</v>
      </c>
      <c r="I443" s="738">
        <v>217.98962851770719</v>
      </c>
      <c r="J443" s="738">
        <v>221.87044889327385</v>
      </c>
      <c r="K443" s="738">
        <v>225.86484871427143</v>
      </c>
      <c r="L443" s="738">
        <v>229.9759018142058</v>
      </c>
      <c r="M443" s="738">
        <v>234.2067562577142</v>
      </c>
      <c r="N443" s="649">
        <v>238.56063589682978</v>
      </c>
    </row>
    <row r="444" spans="4:16" x14ac:dyDescent="0.3">
      <c r="G444" s="642"/>
      <c r="H444" s="642"/>
      <c r="I444" s="642"/>
      <c r="J444" s="642"/>
      <c r="K444" s="642"/>
      <c r="L444" s="642"/>
      <c r="M444" s="642"/>
      <c r="N444" s="584"/>
    </row>
    <row r="445" spans="4:16" x14ac:dyDescent="0.3">
      <c r="D445" s="3" t="s">
        <v>496</v>
      </c>
      <c r="G445" s="642"/>
      <c r="H445" s="642"/>
      <c r="I445" s="642"/>
      <c r="J445" s="642"/>
      <c r="K445" s="642"/>
      <c r="L445" s="642"/>
      <c r="M445" s="642"/>
      <c r="N445" s="584"/>
    </row>
    <row r="446" spans="4:16" x14ac:dyDescent="0.3">
      <c r="G446" s="642"/>
      <c r="H446" s="642"/>
      <c r="I446" s="642"/>
      <c r="J446" s="642"/>
      <c r="K446" s="642"/>
      <c r="L446" s="642"/>
      <c r="M446" s="642"/>
      <c r="N446" s="584"/>
    </row>
    <row r="447" spans="4:16" x14ac:dyDescent="0.3">
      <c r="D447" s="724"/>
      <c r="E447" s="725"/>
      <c r="F447" s="726" t="s">
        <v>494</v>
      </c>
      <c r="G447" s="726"/>
      <c r="H447" s="726"/>
      <c r="I447" s="726"/>
      <c r="J447" s="726"/>
      <c r="K447" s="726"/>
      <c r="L447" s="726"/>
      <c r="M447" s="726"/>
      <c r="N447" s="727"/>
      <c r="P447" s="3" t="s">
        <v>505</v>
      </c>
    </row>
    <row r="448" spans="4:16" x14ac:dyDescent="0.3">
      <c r="D448" s="728"/>
      <c r="E448" s="729">
        <f ca="1">+$I$344</f>
        <v>196.45820110187285</v>
      </c>
      <c r="F448" s="730">
        <v>-0.8</v>
      </c>
      <c r="G448" s="730">
        <f>+F448+10%</f>
        <v>-0.70000000000000007</v>
      </c>
      <c r="H448" s="730">
        <f t="shared" ref="H448:N448" si="307">+G448+10%</f>
        <v>-0.60000000000000009</v>
      </c>
      <c r="I448" s="730">
        <f t="shared" si="307"/>
        <v>-0.50000000000000011</v>
      </c>
      <c r="J448" s="730">
        <f t="shared" si="307"/>
        <v>-0.40000000000000013</v>
      </c>
      <c r="K448" s="730">
        <f t="shared" si="307"/>
        <v>-0.30000000000000016</v>
      </c>
      <c r="L448" s="730">
        <f t="shared" si="307"/>
        <v>-0.20000000000000015</v>
      </c>
      <c r="M448" s="730">
        <f t="shared" si="307"/>
        <v>-0.10000000000000014</v>
      </c>
      <c r="N448" s="731">
        <f t="shared" si="307"/>
        <v>-1.3877787807814457E-16</v>
      </c>
    </row>
    <row r="449" spans="4:16" x14ac:dyDescent="0.3">
      <c r="D449" s="743" t="s">
        <v>495</v>
      </c>
      <c r="E449" s="730">
        <v>-0.8</v>
      </c>
      <c r="F449" s="732">
        <f t="dataTable" ref="F449:N457" dt2D="1" dtr="1" r1="D23" r2="D22" ca="1"/>
        <v>86.418589942918587</v>
      </c>
      <c r="G449" s="733">
        <v>87.26447996099688</v>
      </c>
      <c r="H449" s="733">
        <v>88.162065862988115</v>
      </c>
      <c r="I449" s="733">
        <v>89.114296405032263</v>
      </c>
      <c r="J449" s="734">
        <v>90.12427031564556</v>
      </c>
      <c r="K449" s="733">
        <v>91.195243206252229</v>
      </c>
      <c r="L449" s="733">
        <v>92.330634453062231</v>
      </c>
      <c r="M449" s="733">
        <v>93.5340343328145</v>
      </c>
      <c r="N449" s="735">
        <v>94.80921141996771</v>
      </c>
      <c r="P449" s="584" t="s">
        <v>516</v>
      </c>
    </row>
    <row r="450" spans="4:16" x14ac:dyDescent="0.3">
      <c r="D450" s="744"/>
      <c r="E450" s="730">
        <f>+E449+10%</f>
        <v>-0.70000000000000007</v>
      </c>
      <c r="F450" s="736">
        <v>94.929402945390564</v>
      </c>
      <c r="G450" s="737">
        <v>96.19823816707941</v>
      </c>
      <c r="H450" s="737">
        <v>97.544617005217901</v>
      </c>
      <c r="I450" s="737">
        <v>98.9729628030464</v>
      </c>
      <c r="J450" s="738">
        <v>100.4879236534068</v>
      </c>
      <c r="K450" s="737">
        <v>102.09438297351291</v>
      </c>
      <c r="L450" s="737">
        <v>103.79746982776703</v>
      </c>
      <c r="M450" s="737">
        <v>105.60256963137411</v>
      </c>
      <c r="N450" s="649">
        <v>107.51533524612765</v>
      </c>
      <c r="P450" s="584" t="s">
        <v>517</v>
      </c>
    </row>
    <row r="451" spans="4:16" x14ac:dyDescent="0.3">
      <c r="D451" s="744"/>
      <c r="E451" s="730">
        <f t="shared" ref="E451:E457" si="308">+E450+10%</f>
        <v>-0.60000000000000009</v>
      </c>
      <c r="F451" s="736">
        <v>103.4402144208449</v>
      </c>
      <c r="G451" s="737">
        <v>105.13199631299398</v>
      </c>
      <c r="H451" s="737">
        <v>106.92716808662018</v>
      </c>
      <c r="I451" s="737">
        <v>108.8316291399085</v>
      </c>
      <c r="J451" s="738">
        <v>110.85157693005964</v>
      </c>
      <c r="K451" s="737">
        <v>112.99352268010834</v>
      </c>
      <c r="L451" s="737">
        <v>115.26430514267683</v>
      </c>
      <c r="M451" s="737">
        <v>117.67110487145941</v>
      </c>
      <c r="N451" s="649">
        <v>120.22145901560179</v>
      </c>
      <c r="P451" s="584" t="s">
        <v>518</v>
      </c>
    </row>
    <row r="452" spans="4:16" x14ac:dyDescent="0.3">
      <c r="D452" s="744"/>
      <c r="E452" s="730">
        <f t="shared" si="308"/>
        <v>-0.50000000000000011</v>
      </c>
      <c r="F452" s="736">
        <v>111.95102674617681</v>
      </c>
      <c r="G452" s="737">
        <v>114.06575442833575</v>
      </c>
      <c r="H452" s="737">
        <v>116.30971913824023</v>
      </c>
      <c r="I452" s="737">
        <v>118.69029544802937</v>
      </c>
      <c r="J452" s="738">
        <v>121.21523017926998</v>
      </c>
      <c r="K452" s="737">
        <v>123.8926623608203</v>
      </c>
      <c r="L452" s="737">
        <v>126.73114043352096</v>
      </c>
      <c r="M452" s="737">
        <v>129.73964008954948</v>
      </c>
      <c r="N452" s="649">
        <v>132.92758276539323</v>
      </c>
      <c r="P452" s="584" t="s">
        <v>519</v>
      </c>
    </row>
    <row r="453" spans="4:16" x14ac:dyDescent="0.3">
      <c r="D453" s="744"/>
      <c r="E453" s="730">
        <f t="shared" si="308"/>
        <v>-0.40000000000000013</v>
      </c>
      <c r="F453" s="736">
        <v>120.46183954593732</v>
      </c>
      <c r="G453" s="737">
        <v>122.99951252864217</v>
      </c>
      <c r="H453" s="737">
        <v>125.69227017593821</v>
      </c>
      <c r="I453" s="737">
        <v>128.54896174349602</v>
      </c>
      <c r="J453" s="738">
        <v>131.57888341724274</v>
      </c>
      <c r="K453" s="737">
        <v>134.79180203185143</v>
      </c>
      <c r="L453" s="737">
        <v>138.19797571636968</v>
      </c>
      <c r="M453" s="737">
        <v>141.80817530144378</v>
      </c>
      <c r="N453" s="649">
        <v>145.63370651088607</v>
      </c>
      <c r="P453" s="584" t="s">
        <v>520</v>
      </c>
    </row>
    <row r="454" spans="4:16" x14ac:dyDescent="0.3">
      <c r="D454" s="744"/>
      <c r="E454" s="730">
        <f t="shared" si="308"/>
        <v>-0.30000000000000016</v>
      </c>
      <c r="F454" s="736">
        <v>128.97265261694182</v>
      </c>
      <c r="G454" s="737">
        <v>131.93327062225367</v>
      </c>
      <c r="H454" s="737">
        <v>135.07482120799494</v>
      </c>
      <c r="I454" s="737">
        <v>138.40762803445924</v>
      </c>
      <c r="J454" s="738">
        <v>141.94253665192451</v>
      </c>
      <c r="K454" s="737">
        <v>145.69094170086754</v>
      </c>
      <c r="L454" s="737">
        <v>149.66481099853004</v>
      </c>
      <c r="M454" s="737">
        <v>153.87671051401318</v>
      </c>
      <c r="N454" s="649">
        <v>158.33983025843884</v>
      </c>
    </row>
    <row r="455" spans="4:16" x14ac:dyDescent="0.3">
      <c r="D455" s="744"/>
      <c r="E455" s="730">
        <f t="shared" si="308"/>
        <v>-0.20000000000000015</v>
      </c>
      <c r="F455" s="736">
        <v>137.48346584483369</v>
      </c>
      <c r="G455" s="737">
        <v>140.86702871369005</v>
      </c>
      <c r="H455" s="737">
        <v>144.45737223876117</v>
      </c>
      <c r="I455" s="737">
        <v>148.26629432505581</v>
      </c>
      <c r="J455" s="738">
        <v>152.30618988719354</v>
      </c>
      <c r="K455" s="737">
        <v>156.59008137144446</v>
      </c>
      <c r="L455" s="737">
        <v>161.13164628323327</v>
      </c>
      <c r="M455" s="737">
        <v>165.94524573010492</v>
      </c>
      <c r="N455" s="649">
        <v>171.04595401047956</v>
      </c>
      <c r="P455" s="584" t="s">
        <v>521</v>
      </c>
    </row>
    <row r="456" spans="4:16" x14ac:dyDescent="0.3">
      <c r="D456" s="744"/>
      <c r="E456" s="730">
        <f t="shared" si="308"/>
        <v>-0.10000000000000014</v>
      </c>
      <c r="F456" s="736">
        <v>145.99427916327207</v>
      </c>
      <c r="G456" s="737">
        <v>149.80078680538537</v>
      </c>
      <c r="H456" s="737">
        <v>153.83992327049148</v>
      </c>
      <c r="I456" s="737">
        <v>158.12496061733427</v>
      </c>
      <c r="J456" s="738">
        <v>162.66984312486676</v>
      </c>
      <c r="K456" s="737">
        <v>167.48922104514403</v>
      </c>
      <c r="L456" s="737">
        <v>172.59848157176569</v>
      </c>
      <c r="M456" s="737">
        <v>178.01378095071189</v>
      </c>
      <c r="N456" s="649">
        <v>183.75207776769338</v>
      </c>
      <c r="P456" s="584" t="s">
        <v>522</v>
      </c>
    </row>
    <row r="457" spans="4:16" x14ac:dyDescent="0.3">
      <c r="D457" s="745"/>
      <c r="E457" s="739">
        <f t="shared" si="308"/>
        <v>-1.3877787807814457E-16</v>
      </c>
      <c r="F457" s="740">
        <v>154.50509253288467</v>
      </c>
      <c r="G457" s="738">
        <v>158.73454489861214</v>
      </c>
      <c r="H457" s="738">
        <v>163.22247430430079</v>
      </c>
      <c r="I457" s="738">
        <v>167.98362691223667</v>
      </c>
      <c r="J457" s="738">
        <v>173.03349636570016</v>
      </c>
      <c r="K457" s="738">
        <v>178.38836072252482</v>
      </c>
      <c r="L457" s="738">
        <v>184.0653168644792</v>
      </c>
      <c r="M457" s="738">
        <v>190.08231617597301</v>
      </c>
      <c r="N457" s="649">
        <v>196.45820153000224</v>
      </c>
    </row>
    <row r="458" spans="4:16" x14ac:dyDescent="0.3">
      <c r="G458" s="642"/>
      <c r="H458" s="642"/>
      <c r="I458" s="642"/>
      <c r="J458" s="642"/>
      <c r="K458" s="642"/>
      <c r="L458" s="642"/>
      <c r="M458" s="642"/>
      <c r="N458" s="584"/>
    </row>
    <row r="459" spans="4:16" x14ac:dyDescent="0.3">
      <c r="D459" s="3" t="s">
        <v>497</v>
      </c>
      <c r="G459" s="642"/>
      <c r="H459" s="642"/>
      <c r="I459" s="642"/>
      <c r="J459" s="642"/>
      <c r="K459" s="642"/>
      <c r="L459" s="642"/>
      <c r="M459" s="642"/>
      <c r="N459" s="584"/>
    </row>
    <row r="460" spans="4:16" x14ac:dyDescent="0.3">
      <c r="G460" s="642"/>
      <c r="H460" s="642"/>
      <c r="I460" s="642"/>
      <c r="J460" s="642"/>
      <c r="K460" s="642"/>
      <c r="L460" s="642"/>
      <c r="M460" s="642"/>
      <c r="N460" s="584"/>
    </row>
    <row r="461" spans="4:16" x14ac:dyDescent="0.3">
      <c r="D461" s="724"/>
      <c r="E461" s="725"/>
      <c r="F461" s="726" t="s">
        <v>494</v>
      </c>
      <c r="G461" s="726"/>
      <c r="H461" s="726"/>
      <c r="I461" s="726"/>
      <c r="J461" s="726"/>
      <c r="K461" s="726"/>
      <c r="L461" s="726"/>
      <c r="M461" s="726"/>
      <c r="N461" s="727"/>
      <c r="P461" s="3" t="s">
        <v>505</v>
      </c>
    </row>
    <row r="462" spans="4:16" x14ac:dyDescent="0.3">
      <c r="D462" s="728"/>
      <c r="E462" s="729">
        <f ca="1">+$I$344</f>
        <v>196.45820110187285</v>
      </c>
      <c r="F462" s="730">
        <v>-0.2</v>
      </c>
      <c r="G462" s="730">
        <f>+F462+5%</f>
        <v>-0.15000000000000002</v>
      </c>
      <c r="H462" s="730">
        <f t="shared" ref="H462:N462" si="309">+G462+5%</f>
        <v>-0.10000000000000002</v>
      </c>
      <c r="I462" s="730">
        <f t="shared" si="309"/>
        <v>-5.0000000000000017E-2</v>
      </c>
      <c r="J462" s="730">
        <f t="shared" si="309"/>
        <v>0</v>
      </c>
      <c r="K462" s="730">
        <f t="shared" si="309"/>
        <v>0.05</v>
      </c>
      <c r="L462" s="730">
        <f t="shared" si="309"/>
        <v>0.1</v>
      </c>
      <c r="M462" s="730">
        <f t="shared" si="309"/>
        <v>0.15000000000000002</v>
      </c>
      <c r="N462" s="731">
        <f t="shared" si="309"/>
        <v>0.2</v>
      </c>
    </row>
    <row r="463" spans="4:16" x14ac:dyDescent="0.3">
      <c r="D463" s="743" t="s">
        <v>120</v>
      </c>
      <c r="E463" s="741">
        <f t="array" ref="E463:E471">TRANSPOSE(I33:R33)</f>
        <v>42004</v>
      </c>
      <c r="F463" s="732">
        <f t="dataTable" ref="F463:N471" dt2D="1" dtr="1" r1="D23" r2="D20" ca="1"/>
        <v>114.03959679503785</v>
      </c>
      <c r="G463" s="733">
        <v>114.78868894533456</v>
      </c>
      <c r="H463" s="733">
        <v>115.56735213790397</v>
      </c>
      <c r="I463" s="733">
        <v>116.37661381727304</v>
      </c>
      <c r="J463" s="734">
        <v>117.21753219916496</v>
      </c>
      <c r="K463" s="733">
        <v>118.09119718766752</v>
      </c>
      <c r="L463" s="733">
        <v>118.99873117946954</v>
      </c>
      <c r="M463" s="733">
        <v>119.94128988490013</v>
      </c>
      <c r="N463" s="735">
        <v>120.92006316604851</v>
      </c>
      <c r="P463" s="584" t="s">
        <v>523</v>
      </c>
    </row>
    <row r="464" spans="4:16" x14ac:dyDescent="0.3">
      <c r="D464" s="744"/>
      <c r="E464" s="741">
        <v>42369</v>
      </c>
      <c r="F464" s="736">
        <v>118.46356375674689</v>
      </c>
      <c r="G464" s="737">
        <v>119.24820748480533</v>
      </c>
      <c r="H464" s="737">
        <v>120.06242145997953</v>
      </c>
      <c r="I464" s="737">
        <v>120.90723392197101</v>
      </c>
      <c r="J464" s="738">
        <v>121.78370308650476</v>
      </c>
      <c r="K464" s="737">
        <v>122.69291885767049</v>
      </c>
      <c r="L464" s="737">
        <v>123.6360036321591</v>
      </c>
      <c r="M464" s="737">
        <v>124.6141131203016</v>
      </c>
      <c r="N464" s="649">
        <v>125.62843718418917</v>
      </c>
      <c r="P464" s="584" t="s">
        <v>524</v>
      </c>
    </row>
    <row r="465" spans="4:16" x14ac:dyDescent="0.3">
      <c r="D465" s="744"/>
      <c r="E465" s="741">
        <v>42735</v>
      </c>
      <c r="F465" s="736">
        <v>124.3914808934053</v>
      </c>
      <c r="G465" s="737">
        <v>125.26146973641274</v>
      </c>
      <c r="H465" s="737">
        <v>126.16154181509661</v>
      </c>
      <c r="I465" s="737">
        <v>127.09272496630466</v>
      </c>
      <c r="J465" s="738">
        <v>128.05607740576468</v>
      </c>
      <c r="K465" s="737">
        <v>129.05268903756917</v>
      </c>
      <c r="L465" s="737">
        <v>130.08368225841173</v>
      </c>
      <c r="M465" s="737">
        <v>131.15021277862598</v>
      </c>
      <c r="N465" s="649">
        <v>132.25347046030595</v>
      </c>
      <c r="P465" s="584" t="s">
        <v>525</v>
      </c>
    </row>
    <row r="466" spans="4:16" x14ac:dyDescent="0.3">
      <c r="D466" s="744"/>
      <c r="E466" s="741">
        <v>43100</v>
      </c>
      <c r="F466" s="736">
        <v>131.55736683640797</v>
      </c>
      <c r="G466" s="737">
        <v>132.57503480296276</v>
      </c>
      <c r="H466" s="737">
        <v>133.62451500844182</v>
      </c>
      <c r="I466" s="737">
        <v>134.70684514575396</v>
      </c>
      <c r="J466" s="738">
        <v>135.82309344966555</v>
      </c>
      <c r="K466" s="737">
        <v>136.97435984330752</v>
      </c>
      <c r="L466" s="737">
        <v>138.16177674241217</v>
      </c>
      <c r="M466" s="737">
        <v>139.38650987635174</v>
      </c>
      <c r="N466" s="649">
        <v>140.64975912625894</v>
      </c>
      <c r="P466" s="584" t="s">
        <v>526</v>
      </c>
    </row>
    <row r="467" spans="4:16" x14ac:dyDescent="0.3">
      <c r="D467" s="744"/>
      <c r="E467" s="741">
        <v>43465</v>
      </c>
      <c r="F467" s="736">
        <v>139.9782830462718</v>
      </c>
      <c r="G467" s="737">
        <v>141.22079934346277</v>
      </c>
      <c r="H467" s="737">
        <v>142.4990268650937</v>
      </c>
      <c r="I467" s="737">
        <v>143.81404798046768</v>
      </c>
      <c r="J467" s="738">
        <v>145.16697588097679</v>
      </c>
      <c r="K467" s="737">
        <v>146.5589557006094</v>
      </c>
      <c r="L467" s="737">
        <v>147.99116532018672</v>
      </c>
      <c r="M467" s="737">
        <v>149.46481618840187</v>
      </c>
      <c r="N467" s="649">
        <v>150.98115415993982</v>
      </c>
    </row>
    <row r="468" spans="4:16" x14ac:dyDescent="0.3">
      <c r="D468" s="744"/>
      <c r="E468" s="741">
        <v>43830</v>
      </c>
      <c r="F468" s="736">
        <v>149.50995697290566</v>
      </c>
      <c r="G468" s="737">
        <v>151.05543057195575</v>
      </c>
      <c r="H468" s="737">
        <v>152.64335359821081</v>
      </c>
      <c r="I468" s="737">
        <v>154.27491991906965</v>
      </c>
      <c r="J468" s="738">
        <v>155.95135534345178</v>
      </c>
      <c r="K468" s="737">
        <v>157.67391884650499</v>
      </c>
      <c r="L468" s="737">
        <v>159.44390338043243</v>
      </c>
      <c r="M468" s="737">
        <v>161.2626367021218</v>
      </c>
      <c r="N468" s="649">
        <v>163.13148221785625</v>
      </c>
      <c r="P468" s="584" t="s">
        <v>527</v>
      </c>
    </row>
    <row r="469" spans="4:16" x14ac:dyDescent="0.3">
      <c r="D469" s="744"/>
      <c r="E469" s="741">
        <v>44196</v>
      </c>
      <c r="F469" s="736">
        <v>160.13088082531252</v>
      </c>
      <c r="G469" s="737">
        <v>162.06735032621901</v>
      </c>
      <c r="H469" s="737">
        <v>164.05686842314941</v>
      </c>
      <c r="I469" s="737">
        <v>166.10085701919965</v>
      </c>
      <c r="J469" s="738">
        <v>168.20077346293004</v>
      </c>
      <c r="K469" s="737">
        <v>170.35811195176348</v>
      </c>
      <c r="L469" s="737">
        <v>172.57440438154069</v>
      </c>
      <c r="M469" s="737">
        <v>174.85122121307995</v>
      </c>
      <c r="N469" s="649">
        <v>177.19017235602041</v>
      </c>
      <c r="P469" s="584" t="s">
        <v>528</v>
      </c>
    </row>
    <row r="470" spans="4:16" x14ac:dyDescent="0.3">
      <c r="D470" s="744"/>
      <c r="E470" s="741">
        <v>44561</v>
      </c>
      <c r="F470" s="736">
        <v>171.62639699134965</v>
      </c>
      <c r="G470" s="737">
        <v>174.03268781643547</v>
      </c>
      <c r="H470" s="737">
        <v>176.506660166655</v>
      </c>
      <c r="I470" s="737">
        <v>179.0501121891028</v>
      </c>
      <c r="J470" s="738">
        <v>181.66488496300519</v>
      </c>
      <c r="K470" s="737">
        <v>184.35286418884206</v>
      </c>
      <c r="L470" s="737">
        <v>187.11598115483159</v>
      </c>
      <c r="M470" s="737">
        <v>189.9562137215801</v>
      </c>
      <c r="N470" s="649">
        <v>192.87558732518323</v>
      </c>
      <c r="P470" s="584" t="s">
        <v>529</v>
      </c>
    </row>
    <row r="471" spans="4:16" x14ac:dyDescent="0.3">
      <c r="D471" s="745"/>
      <c r="E471" s="742">
        <v>44926</v>
      </c>
      <c r="F471" s="740">
        <v>184.0653157621858</v>
      </c>
      <c r="G471" s="738">
        <v>187.03015455883568</v>
      </c>
      <c r="H471" s="738">
        <v>190.08231595773643</v>
      </c>
      <c r="I471" s="738">
        <v>193.22418434159812</v>
      </c>
      <c r="J471" s="738">
        <v>196.45820132035357</v>
      </c>
      <c r="K471" s="738">
        <v>199.78686783693092</v>
      </c>
      <c r="L471" s="738">
        <v>203.21274541925396</v>
      </c>
      <c r="M471" s="738">
        <v>206.73845745452277</v>
      </c>
      <c r="N471" s="649">
        <v>210.36669048610071</v>
      </c>
    </row>
    <row r="472" spans="4:16" x14ac:dyDescent="0.3">
      <c r="G472" s="642"/>
      <c r="H472" s="642"/>
      <c r="I472" s="642"/>
      <c r="J472" s="642"/>
      <c r="K472" s="642"/>
      <c r="L472" s="642"/>
      <c r="M472" s="642"/>
      <c r="N472" s="584"/>
    </row>
    <row r="473" spans="4:16" x14ac:dyDescent="0.3">
      <c r="D473" s="3" t="s">
        <v>498</v>
      </c>
      <c r="G473" s="642"/>
      <c r="H473" s="642"/>
      <c r="I473" s="642"/>
      <c r="J473" s="642"/>
      <c r="K473" s="642"/>
      <c r="L473" s="642"/>
      <c r="M473" s="642"/>
      <c r="N473" s="584"/>
    </row>
    <row r="474" spans="4:16" x14ac:dyDescent="0.3">
      <c r="G474" s="642"/>
      <c r="H474" s="642"/>
      <c r="I474" s="642"/>
      <c r="J474" s="642"/>
      <c r="K474" s="642"/>
      <c r="L474" s="642"/>
      <c r="M474" s="642"/>
      <c r="N474" s="584"/>
    </row>
    <row r="475" spans="4:16" x14ac:dyDescent="0.3">
      <c r="D475" s="724"/>
      <c r="E475" s="725"/>
      <c r="F475" s="726" t="s">
        <v>494</v>
      </c>
      <c r="G475" s="726"/>
      <c r="H475" s="726"/>
      <c r="I475" s="726"/>
      <c r="J475" s="726"/>
      <c r="K475" s="726"/>
      <c r="L475" s="726"/>
      <c r="M475" s="726"/>
      <c r="N475" s="727"/>
      <c r="P475" s="3" t="s">
        <v>505</v>
      </c>
    </row>
    <row r="476" spans="4:16" x14ac:dyDescent="0.3">
      <c r="D476" s="728"/>
      <c r="E476" s="729">
        <f ca="1">+$I$344</f>
        <v>196.45820110187285</v>
      </c>
      <c r="F476" s="730">
        <v>-0.8</v>
      </c>
      <c r="G476" s="730">
        <f>+F476+10%</f>
        <v>-0.70000000000000007</v>
      </c>
      <c r="H476" s="730">
        <f t="shared" ref="H476:N476" si="310">+G476+10%</f>
        <v>-0.60000000000000009</v>
      </c>
      <c r="I476" s="730">
        <f t="shared" si="310"/>
        <v>-0.50000000000000011</v>
      </c>
      <c r="J476" s="730">
        <f t="shared" si="310"/>
        <v>-0.40000000000000013</v>
      </c>
      <c r="K476" s="730">
        <f t="shared" si="310"/>
        <v>-0.30000000000000016</v>
      </c>
      <c r="L476" s="730">
        <f t="shared" si="310"/>
        <v>-0.20000000000000015</v>
      </c>
      <c r="M476" s="730">
        <f t="shared" si="310"/>
        <v>-0.10000000000000014</v>
      </c>
      <c r="N476" s="731">
        <f t="shared" si="310"/>
        <v>-1.3877787807814457E-16</v>
      </c>
    </row>
    <row r="477" spans="4:16" x14ac:dyDescent="0.3">
      <c r="D477" s="743" t="s">
        <v>120</v>
      </c>
      <c r="E477" s="741">
        <f>+E463</f>
        <v>42004</v>
      </c>
      <c r="F477" s="732">
        <f t="dataTable" ref="F477:N485" dt2D="1" dtr="1" r1="D23" r2="D20" ca="1"/>
        <v>107.02203614417179</v>
      </c>
      <c r="G477" s="733">
        <v>107.96967868588695</v>
      </c>
      <c r="H477" s="733">
        <v>108.99774612281711</v>
      </c>
      <c r="I477" s="733">
        <v>110.11221236865035</v>
      </c>
      <c r="J477" s="734">
        <v>111.31943323659114</v>
      </c>
      <c r="K477" s="733">
        <v>112.62616725001814</v>
      </c>
      <c r="L477" s="733">
        <v>114.03959715571587</v>
      </c>
      <c r="M477" s="733">
        <v>115.5673523783215</v>
      </c>
      <c r="N477" s="735">
        <v>117.21753244833259</v>
      </c>
      <c r="P477" s="584" t="s">
        <v>530</v>
      </c>
    </row>
    <row r="478" spans="4:16" x14ac:dyDescent="0.3">
      <c r="D478" s="744"/>
      <c r="E478" s="741">
        <f t="shared" ref="E478:E485" si="311">+E464</f>
        <v>42369</v>
      </c>
      <c r="F478" s="736">
        <v>111.01939228959073</v>
      </c>
      <c r="G478" s="737">
        <v>112.03813861060351</v>
      </c>
      <c r="H478" s="737">
        <v>113.13730761104448</v>
      </c>
      <c r="I478" s="737">
        <v>114.32287542037405</v>
      </c>
      <c r="J478" s="738">
        <v>115.60119785182195</v>
      </c>
      <c r="K478" s="737">
        <v>116.97903342879496</v>
      </c>
      <c r="L478" s="737">
        <v>118.46356489810761</v>
      </c>
      <c r="M478" s="737">
        <v>120.06242168442841</v>
      </c>
      <c r="N478" s="649">
        <v>121.7837033182871</v>
      </c>
      <c r="P478" s="584" t="s">
        <v>531</v>
      </c>
    </row>
    <row r="479" spans="4:16" x14ac:dyDescent="0.3">
      <c r="D479" s="744"/>
      <c r="E479" s="741">
        <f t="shared" si="311"/>
        <v>42735</v>
      </c>
      <c r="F479" s="736">
        <v>115.9631448495243</v>
      </c>
      <c r="G479" s="737">
        <v>117.14079238206155</v>
      </c>
      <c r="H479" s="737">
        <v>118.40091328798789</v>
      </c>
      <c r="I479" s="737">
        <v>119.74948334548266</v>
      </c>
      <c r="J479" s="738">
        <v>121.19285836780368</v>
      </c>
      <c r="K479" s="737">
        <v>122.73779687838943</v>
      </c>
      <c r="L479" s="737">
        <v>124.39148162408951</v>
      </c>
      <c r="M479" s="737">
        <v>126.16154202961046</v>
      </c>
      <c r="N479" s="649">
        <v>128.05607762552245</v>
      </c>
      <c r="P479" s="584" t="s">
        <v>532</v>
      </c>
    </row>
    <row r="480" spans="4:16" x14ac:dyDescent="0.3">
      <c r="D480" s="744"/>
      <c r="E480" s="741">
        <f t="shared" si="311"/>
        <v>43100</v>
      </c>
      <c r="F480" s="736">
        <v>121.48808183099881</v>
      </c>
      <c r="G480" s="737">
        <v>122.92276733363654</v>
      </c>
      <c r="H480" s="737">
        <v>124.44640074923292</v>
      </c>
      <c r="I480" s="737">
        <v>126.06503799202198</v>
      </c>
      <c r="J480" s="738">
        <v>127.78511502757375</v>
      </c>
      <c r="K480" s="737">
        <v>129.61347053164275</v>
      </c>
      <c r="L480" s="737">
        <v>131.55736740339876</v>
      </c>
      <c r="M480" s="737">
        <v>133.62451521987199</v>
      </c>
      <c r="N480" s="649">
        <v>135.82309366395972</v>
      </c>
    </row>
    <row r="481" spans="4:16" x14ac:dyDescent="0.3">
      <c r="D481" s="744"/>
      <c r="E481" s="741">
        <f t="shared" si="311"/>
        <v>43465</v>
      </c>
      <c r="F481" s="736">
        <v>127.49901177411864</v>
      </c>
      <c r="G481" s="737">
        <v>129.29998998900379</v>
      </c>
      <c r="H481" s="737">
        <v>131.20361224523339</v>
      </c>
      <c r="I481" s="737">
        <v>133.21627089636172</v>
      </c>
      <c r="J481" s="738">
        <v>135.34474223936681</v>
      </c>
      <c r="K481" s="737">
        <v>137.59620934912121</v>
      </c>
      <c r="L481" s="737">
        <v>139.97828359162207</v>
      </c>
      <c r="M481" s="737">
        <v>142.49902707843657</v>
      </c>
      <c r="N481" s="649">
        <v>145.16697609470754</v>
      </c>
      <c r="P481" s="584" t="s">
        <v>533</v>
      </c>
    </row>
    <row r="482" spans="4:16" x14ac:dyDescent="0.3">
      <c r="D482" s="744"/>
      <c r="E482" s="741">
        <f t="shared" si="311"/>
        <v>43830</v>
      </c>
      <c r="F482" s="736">
        <v>133.88186918313244</v>
      </c>
      <c r="G482" s="737">
        <v>136.14904739171044</v>
      </c>
      <c r="H482" s="737">
        <v>138.54123580937539</v>
      </c>
      <c r="I482" s="737">
        <v>141.06561927473359</v>
      </c>
      <c r="J482" s="738">
        <v>143.72978467833698</v>
      </c>
      <c r="K482" s="737">
        <v>146.54174431771776</v>
      </c>
      <c r="L482" s="737">
        <v>149.50995762151314</v>
      </c>
      <c r="M482" s="737">
        <v>152.64335381480541</v>
      </c>
      <c r="N482" s="649">
        <v>155.95135555802261</v>
      </c>
    </row>
    <row r="483" spans="4:16" x14ac:dyDescent="0.3">
      <c r="D483" s="744"/>
      <c r="E483" s="741">
        <f t="shared" si="311"/>
        <v>44196</v>
      </c>
      <c r="F483" s="736">
        <v>140.559444252053</v>
      </c>
      <c r="G483" s="737">
        <v>143.39536817931909</v>
      </c>
      <c r="H483" s="737">
        <v>146.38959377169391</v>
      </c>
      <c r="I483" s="737">
        <v>149.55084159044262</v>
      </c>
      <c r="J483" s="738">
        <v>152.88828621650111</v>
      </c>
      <c r="K483" s="737">
        <v>156.41158113011906</v>
      </c>
      <c r="L483" s="737">
        <v>160.13088161934542</v>
      </c>
      <c r="M483" s="737">
        <v>164.05686864265729</v>
      </c>
      <c r="N483" s="649">
        <v>168.20077367807704</v>
      </c>
    </row>
    <row r="484" spans="4:16" x14ac:dyDescent="0.3">
      <c r="D484" s="744"/>
      <c r="E484" s="741">
        <f t="shared" si="311"/>
        <v>44561</v>
      </c>
      <c r="F484" s="736">
        <v>147.43155687089092</v>
      </c>
      <c r="G484" s="737">
        <v>150.92000556663254</v>
      </c>
      <c r="H484" s="737">
        <v>154.61064052080621</v>
      </c>
      <c r="I484" s="737">
        <v>158.51460203251227</v>
      </c>
      <c r="J484" s="738">
        <v>162.64358904723326</v>
      </c>
      <c r="K484" s="737">
        <v>167.00988776018323</v>
      </c>
      <c r="L484" s="737">
        <v>171.6263979581214</v>
      </c>
      <c r="M484" s="737">
        <v>176.50666038671307</v>
      </c>
      <c r="N484" s="649">
        <v>181.66488517651493</v>
      </c>
    </row>
    <row r="485" spans="4:16" x14ac:dyDescent="0.3">
      <c r="D485" s="745"/>
      <c r="E485" s="742">
        <f t="shared" si="311"/>
        <v>44926</v>
      </c>
      <c r="F485" s="740">
        <v>154.50509272836649</v>
      </c>
      <c r="G485" s="738">
        <v>158.73454489861206</v>
      </c>
      <c r="H485" s="738">
        <v>163.22247430430079</v>
      </c>
      <c r="I485" s="738">
        <v>167.9836269122367</v>
      </c>
      <c r="J485" s="738">
        <v>173.03349636570016</v>
      </c>
      <c r="K485" s="738">
        <v>178.38836072252482</v>
      </c>
      <c r="L485" s="738">
        <v>184.06531686447923</v>
      </c>
      <c r="M485" s="738">
        <v>190.08231617597303</v>
      </c>
      <c r="N485" s="649">
        <v>196.45820153000224</v>
      </c>
    </row>
    <row r="486" spans="4:16" x14ac:dyDescent="0.3">
      <c r="G486" s="642"/>
      <c r="H486" s="642"/>
      <c r="I486" s="642"/>
      <c r="J486" s="642"/>
      <c r="K486" s="642"/>
      <c r="L486" s="642"/>
      <c r="M486" s="642"/>
      <c r="N486" s="584"/>
    </row>
    <row r="487" spans="4:16" x14ac:dyDescent="0.3">
      <c r="D487" s="3" t="s">
        <v>499</v>
      </c>
      <c r="G487" s="642"/>
      <c r="H487" s="642"/>
      <c r="I487" s="642"/>
      <c r="J487" s="642"/>
      <c r="K487" s="642"/>
      <c r="L487" s="642"/>
      <c r="M487" s="642"/>
      <c r="N487" s="584"/>
    </row>
    <row r="488" spans="4:16" x14ac:dyDescent="0.3">
      <c r="G488" s="642"/>
      <c r="H488" s="642"/>
      <c r="I488" s="642"/>
      <c r="J488" s="642"/>
      <c r="K488" s="642"/>
      <c r="L488" s="642"/>
      <c r="M488" s="642"/>
      <c r="N488" s="584"/>
    </row>
    <row r="489" spans="4:16" x14ac:dyDescent="0.3">
      <c r="D489" s="724"/>
      <c r="E489" s="725"/>
      <c r="F489" s="726" t="s">
        <v>500</v>
      </c>
      <c r="G489" s="726"/>
      <c r="H489" s="726"/>
      <c r="I489" s="726"/>
      <c r="J489" s="726"/>
      <c r="K489" s="726"/>
      <c r="L489" s="726"/>
      <c r="M489" s="726"/>
      <c r="N489" s="727"/>
      <c r="P489" s="3" t="s">
        <v>505</v>
      </c>
    </row>
    <row r="490" spans="4:16" x14ac:dyDescent="0.3">
      <c r="D490" s="728"/>
      <c r="E490" s="729">
        <f ca="1">+$I$344</f>
        <v>196.45820110187285</v>
      </c>
      <c r="F490" s="730">
        <v>-0.2</v>
      </c>
      <c r="G490" s="730">
        <f>+F490+5%</f>
        <v>-0.15000000000000002</v>
      </c>
      <c r="H490" s="730">
        <f t="shared" ref="H490:N490" si="312">+G490+5%</f>
        <v>-0.10000000000000002</v>
      </c>
      <c r="I490" s="730">
        <f t="shared" si="312"/>
        <v>-5.0000000000000017E-2</v>
      </c>
      <c r="J490" s="730">
        <f t="shared" si="312"/>
        <v>0</v>
      </c>
      <c r="K490" s="730">
        <f t="shared" si="312"/>
        <v>0.05</v>
      </c>
      <c r="L490" s="730">
        <f t="shared" si="312"/>
        <v>0.1</v>
      </c>
      <c r="M490" s="730">
        <f t="shared" si="312"/>
        <v>0.15000000000000002</v>
      </c>
      <c r="N490" s="731">
        <f t="shared" si="312"/>
        <v>0.2</v>
      </c>
    </row>
    <row r="491" spans="4:16" x14ac:dyDescent="0.3">
      <c r="D491" s="743" t="s">
        <v>501</v>
      </c>
      <c r="E491" s="730">
        <v>-0.1</v>
      </c>
      <c r="F491" s="732">
        <f t="dataTable" ref="F491:N499" dt2D="1" dtr="1" r1="D26" r2="D25" ca="1"/>
        <v>189.95089675981839</v>
      </c>
      <c r="G491" s="733">
        <v>190.91261002435309</v>
      </c>
      <c r="H491" s="733">
        <v>191.92741117379424</v>
      </c>
      <c r="I491" s="733">
        <v>192.99797990082024</v>
      </c>
      <c r="J491" s="734">
        <v>194.12711489984028</v>
      </c>
      <c r="K491" s="733">
        <v>195.31773895387678</v>
      </c>
      <c r="L491" s="733">
        <v>196.57290366100622</v>
      </c>
      <c r="M491" s="733">
        <v>197.89579431060596</v>
      </c>
      <c r="N491" s="735">
        <v>199.28973491319158</v>
      </c>
      <c r="P491" s="584" t="s">
        <v>534</v>
      </c>
    </row>
    <row r="492" spans="4:16" x14ac:dyDescent="0.3">
      <c r="D492" s="744"/>
      <c r="E492" s="730">
        <f>+E491+2.5%</f>
        <v>-7.5000000000000011E-2</v>
      </c>
      <c r="F492" s="736">
        <v>190.41766213715511</v>
      </c>
      <c r="G492" s="737">
        <v>191.40608979542833</v>
      </c>
      <c r="H492" s="737">
        <v>192.44907986563905</v>
      </c>
      <c r="I492" s="737">
        <v>193.54938661280838</v>
      </c>
      <c r="J492" s="738">
        <v>194.70988647285674</v>
      </c>
      <c r="K492" s="737">
        <v>195.9335834172237</v>
      </c>
      <c r="L492" s="737">
        <v>197.22361381059903</v>
      </c>
      <c r="M492" s="737">
        <v>198.58325142262021</v>
      </c>
      <c r="N492" s="649">
        <v>200.01591259742838</v>
      </c>
      <c r="P492" s="584" t="s">
        <v>535</v>
      </c>
    </row>
    <row r="493" spans="4:16" x14ac:dyDescent="0.3">
      <c r="D493" s="744"/>
      <c r="E493" s="730">
        <f t="shared" ref="E493:E499" si="313">+E492+2.5%</f>
        <v>-5.000000000000001E-2</v>
      </c>
      <c r="F493" s="736">
        <v>190.88442765158788</v>
      </c>
      <c r="G493" s="737">
        <v>191.89956956648069</v>
      </c>
      <c r="H493" s="737">
        <v>192.97074855745913</v>
      </c>
      <c r="I493" s="737">
        <v>194.10079332476991</v>
      </c>
      <c r="J493" s="738">
        <v>195.29265804584469</v>
      </c>
      <c r="K493" s="737">
        <v>196.54942788054012</v>
      </c>
      <c r="L493" s="737">
        <v>197.87432396015913</v>
      </c>
      <c r="M493" s="737">
        <v>199.27070853459961</v>
      </c>
      <c r="N493" s="649">
        <v>200.74209028162804</v>
      </c>
      <c r="P493" s="584" t="s">
        <v>536</v>
      </c>
    </row>
    <row r="494" spans="4:16" x14ac:dyDescent="0.3">
      <c r="D494" s="744"/>
      <c r="E494" s="730">
        <f t="shared" si="313"/>
        <v>-2.5000000000000008E-2</v>
      </c>
      <c r="F494" s="736">
        <v>191.35119316625443</v>
      </c>
      <c r="G494" s="737">
        <v>192.39304933751055</v>
      </c>
      <c r="H494" s="737">
        <v>193.49241724925503</v>
      </c>
      <c r="I494" s="737">
        <v>194.65220003670541</v>
      </c>
      <c r="J494" s="738">
        <v>195.87542961880462</v>
      </c>
      <c r="K494" s="737">
        <v>197.16527234382659</v>
      </c>
      <c r="L494" s="737">
        <v>198.52503410968723</v>
      </c>
      <c r="M494" s="737">
        <v>199.95816564654484</v>
      </c>
      <c r="N494" s="649">
        <v>201.46826796579143</v>
      </c>
    </row>
    <row r="495" spans="4:16" x14ac:dyDescent="0.3">
      <c r="D495" s="744"/>
      <c r="E495" s="730">
        <f t="shared" si="313"/>
        <v>0</v>
      </c>
      <c r="F495" s="736">
        <v>191.81795868115077</v>
      </c>
      <c r="G495" s="737">
        <v>192.88652910851826</v>
      </c>
      <c r="H495" s="737">
        <v>194.01408594102705</v>
      </c>
      <c r="I495" s="737">
        <v>195.20360674861521</v>
      </c>
      <c r="J495" s="738">
        <v>196.45820119173706</v>
      </c>
      <c r="K495" s="737">
        <v>197.78111680708363</v>
      </c>
      <c r="L495" s="737">
        <v>199.17574425918389</v>
      </c>
      <c r="M495" s="737">
        <v>200.64562275845677</v>
      </c>
      <c r="N495" s="649">
        <v>202.19444564991937</v>
      </c>
    </row>
    <row r="496" spans="4:16" x14ac:dyDescent="0.3">
      <c r="D496" s="744"/>
      <c r="E496" s="730">
        <f t="shared" si="313"/>
        <v>2.5000000000000001E-2</v>
      </c>
      <c r="F496" s="736">
        <v>192.28472419627266</v>
      </c>
      <c r="G496" s="737">
        <v>193.38000887950415</v>
      </c>
      <c r="H496" s="737">
        <v>194.53575463277556</v>
      </c>
      <c r="I496" s="737">
        <v>195.75501346049992</v>
      </c>
      <c r="J496" s="738">
        <v>197.04097276464253</v>
      </c>
      <c r="K496" s="737">
        <v>198.39696127031178</v>
      </c>
      <c r="L496" s="737">
        <v>199.82645440864982</v>
      </c>
      <c r="M496" s="737">
        <v>201.33307987033595</v>
      </c>
      <c r="N496" s="649">
        <v>202.92062333401267</v>
      </c>
    </row>
    <row r="497" spans="4:16" x14ac:dyDescent="0.3">
      <c r="D497" s="744"/>
      <c r="E497" s="730">
        <f t="shared" si="313"/>
        <v>0.05</v>
      </c>
      <c r="F497" s="736">
        <v>192.75148971161616</v>
      </c>
      <c r="G497" s="737">
        <v>193.87348865046854</v>
      </c>
      <c r="H497" s="737">
        <v>195.05742332450103</v>
      </c>
      <c r="I497" s="737">
        <v>196.30642017235982</v>
      </c>
      <c r="J497" s="738">
        <v>197.62374433752152</v>
      </c>
      <c r="K497" s="737">
        <v>199.0128057335117</v>
      </c>
      <c r="L497" s="737">
        <v>200.47716455808575</v>
      </c>
      <c r="M497" s="737">
        <v>202.02053698218316</v>
      </c>
      <c r="N497" s="649">
        <v>203.6468010180721</v>
      </c>
    </row>
    <row r="498" spans="4:16" x14ac:dyDescent="0.3">
      <c r="D498" s="744"/>
      <c r="E498" s="730">
        <f t="shared" si="313"/>
        <v>7.5000000000000011E-2</v>
      </c>
      <c r="F498" s="736">
        <v>193.21825522717725</v>
      </c>
      <c r="G498" s="737">
        <v>194.36696842141191</v>
      </c>
      <c r="H498" s="737">
        <v>195.57909201620376</v>
      </c>
      <c r="I498" s="737">
        <v>196.85782688419539</v>
      </c>
      <c r="J498" s="738">
        <v>198.20651591037455</v>
      </c>
      <c r="K498" s="737">
        <v>199.62865019668388</v>
      </c>
      <c r="L498" s="737">
        <v>201.12787470749203</v>
      </c>
      <c r="M498" s="737">
        <v>202.70799409399905</v>
      </c>
      <c r="N498" s="649">
        <v>204.37297870209841</v>
      </c>
    </row>
    <row r="499" spans="4:16" x14ac:dyDescent="0.3">
      <c r="D499" s="745"/>
      <c r="E499" s="739">
        <f t="shared" si="313"/>
        <v>0.1</v>
      </c>
      <c r="F499" s="740">
        <v>193.6850207429523</v>
      </c>
      <c r="G499" s="738">
        <v>194.86044819233439</v>
      </c>
      <c r="H499" s="738">
        <v>196.10076070788421</v>
      </c>
      <c r="I499" s="738">
        <v>197.40923359600706</v>
      </c>
      <c r="J499" s="738">
        <v>198.78928748320197</v>
      </c>
      <c r="K499" s="738">
        <v>200.24449465982883</v>
      </c>
      <c r="L499" s="738">
        <v>201.77858485686949</v>
      </c>
      <c r="M499" s="738">
        <v>203.39545120578438</v>
      </c>
      <c r="N499" s="649">
        <v>205.09915638609237</v>
      </c>
    </row>
    <row r="500" spans="4:16" x14ac:dyDescent="0.3">
      <c r="G500" s="642"/>
      <c r="H500" s="642"/>
      <c r="I500" s="642"/>
      <c r="J500" s="642"/>
      <c r="K500" s="642"/>
      <c r="L500" s="642"/>
      <c r="M500" s="642"/>
      <c r="N500" s="584"/>
    </row>
    <row r="501" spans="4:16" x14ac:dyDescent="0.3">
      <c r="D501" s="3" t="s">
        <v>502</v>
      </c>
      <c r="G501" s="642"/>
      <c r="H501" s="642"/>
      <c r="I501" s="642"/>
      <c r="J501" s="642"/>
      <c r="K501" s="642"/>
      <c r="L501" s="642"/>
      <c r="M501" s="642"/>
      <c r="N501" s="584"/>
    </row>
    <row r="502" spans="4:16" x14ac:dyDescent="0.3">
      <c r="G502" s="642"/>
      <c r="H502" s="642"/>
      <c r="I502" s="642"/>
      <c r="J502" s="642"/>
      <c r="K502" s="642"/>
      <c r="L502" s="642"/>
      <c r="M502" s="642"/>
      <c r="N502" s="584"/>
    </row>
    <row r="503" spans="4:16" x14ac:dyDescent="0.3">
      <c r="D503" s="724"/>
      <c r="E503" s="725"/>
      <c r="F503" s="726" t="s">
        <v>500</v>
      </c>
      <c r="G503" s="726"/>
      <c r="H503" s="726"/>
      <c r="I503" s="726"/>
      <c r="J503" s="726"/>
      <c r="K503" s="726"/>
      <c r="L503" s="726"/>
      <c r="M503" s="726"/>
      <c r="N503" s="727"/>
      <c r="P503" s="3" t="s">
        <v>505</v>
      </c>
    </row>
    <row r="504" spans="4:16" x14ac:dyDescent="0.3">
      <c r="D504" s="728"/>
      <c r="E504" s="729">
        <f ca="1">+$I$344</f>
        <v>196.45820110187285</v>
      </c>
      <c r="F504" s="730">
        <v>-0.8</v>
      </c>
      <c r="G504" s="730">
        <f>+F504+10%</f>
        <v>-0.70000000000000007</v>
      </c>
      <c r="H504" s="730">
        <f t="shared" ref="H504:N504" si="314">+G504+10%</f>
        <v>-0.60000000000000009</v>
      </c>
      <c r="I504" s="730">
        <f t="shared" si="314"/>
        <v>-0.50000000000000011</v>
      </c>
      <c r="J504" s="730">
        <f t="shared" si="314"/>
        <v>-0.40000000000000013</v>
      </c>
      <c r="K504" s="730">
        <f t="shared" si="314"/>
        <v>-0.30000000000000016</v>
      </c>
      <c r="L504" s="730">
        <f t="shared" si="314"/>
        <v>-0.20000000000000015</v>
      </c>
      <c r="M504" s="730">
        <f t="shared" si="314"/>
        <v>-0.10000000000000014</v>
      </c>
      <c r="N504" s="731">
        <f t="shared" si="314"/>
        <v>-1.3877787807814457E-16</v>
      </c>
    </row>
    <row r="505" spans="4:16" x14ac:dyDescent="0.3">
      <c r="D505" s="743" t="s">
        <v>501</v>
      </c>
      <c r="E505" s="730">
        <v>-0.8</v>
      </c>
      <c r="F505" s="732">
        <f t="dataTable" ref="F505:N513" dt2D="1" dtr="1" r1="D26" r2="D25" ca="1"/>
        <v>175.05255729899105</v>
      </c>
      <c r="G505" s="733">
        <v>175.27930290703654</v>
      </c>
      <c r="H505" s="733">
        <v>175.53302385601532</v>
      </c>
      <c r="I505" s="733">
        <v>175.81668775003962</v>
      </c>
      <c r="J505" s="734">
        <v>176.13354855286653</v>
      </c>
      <c r="K505" s="733">
        <v>176.48717226156919</v>
      </c>
      <c r="L505" s="733">
        <v>176.88146249347949</v>
      </c>
      <c r="M505" s="733">
        <v>177.32068780874746</v>
      </c>
      <c r="N505" s="735">
        <v>177.80951086177163</v>
      </c>
      <c r="P505" s="584" t="s">
        <v>537</v>
      </c>
    </row>
    <row r="506" spans="4:16" x14ac:dyDescent="0.3">
      <c r="D506" s="744"/>
      <c r="E506" s="730">
        <f>+E505+10%</f>
        <v>-0.70000000000000007</v>
      </c>
      <c r="F506" s="736">
        <v>176.0051692388877</v>
      </c>
      <c r="G506" s="737">
        <v>176.34528523663079</v>
      </c>
      <c r="H506" s="737">
        <v>176.72586665996937</v>
      </c>
      <c r="I506" s="737">
        <v>177.15136250084589</v>
      </c>
      <c r="J506" s="738">
        <v>177.6266537048898</v>
      </c>
      <c r="K506" s="737">
        <v>178.15708926770299</v>
      </c>
      <c r="L506" s="737">
        <v>178.74852461527442</v>
      </c>
      <c r="M506" s="737">
        <v>179.40736258781831</v>
      </c>
      <c r="N506" s="649">
        <v>180.14059716692049</v>
      </c>
      <c r="P506" s="584" t="s">
        <v>538</v>
      </c>
    </row>
    <row r="507" spans="4:16" x14ac:dyDescent="0.3">
      <c r="D507" s="744"/>
      <c r="E507" s="730">
        <f t="shared" ref="E507:E513" si="315">+E506+10%</f>
        <v>-0.60000000000000009</v>
      </c>
      <c r="F507" s="736">
        <v>176.95777950815108</v>
      </c>
      <c r="G507" s="737">
        <v>177.41126756588628</v>
      </c>
      <c r="H507" s="737">
        <v>177.9187094635044</v>
      </c>
      <c r="I507" s="737">
        <v>178.4860372511354</v>
      </c>
      <c r="J507" s="738">
        <v>179.1197588562772</v>
      </c>
      <c r="K507" s="737">
        <v>179.82700627305681</v>
      </c>
      <c r="L507" s="737">
        <v>180.61558673611552</v>
      </c>
      <c r="M507" s="737">
        <v>181.49403736572714</v>
      </c>
      <c r="N507" s="649">
        <v>182.47168347065866</v>
      </c>
    </row>
    <row r="508" spans="4:16" x14ac:dyDescent="0.3">
      <c r="D508" s="744"/>
      <c r="E508" s="730">
        <f t="shared" si="315"/>
        <v>-0.50000000000000011</v>
      </c>
      <c r="F508" s="736">
        <v>177.91038978280329</v>
      </c>
      <c r="G508" s="737">
        <v>178.47724989481472</v>
      </c>
      <c r="H508" s="737">
        <v>179.11155226663672</v>
      </c>
      <c r="I508" s="737">
        <v>179.82071200093034</v>
      </c>
      <c r="J508" s="738">
        <v>180.61286400705933</v>
      </c>
      <c r="K508" s="737">
        <v>181.49692327767247</v>
      </c>
      <c r="L508" s="737">
        <v>182.48264885605977</v>
      </c>
      <c r="M508" s="737">
        <v>183.58071214255068</v>
      </c>
      <c r="N508" s="649">
        <v>184.80276977308949</v>
      </c>
      <c r="P508" s="584" t="s">
        <v>539</v>
      </c>
    </row>
    <row r="509" spans="4:16" x14ac:dyDescent="0.3">
      <c r="D509" s="744"/>
      <c r="E509" s="730">
        <f t="shared" si="315"/>
        <v>-0.40000000000000013</v>
      </c>
      <c r="F509" s="736">
        <v>178.86300006258162</v>
      </c>
      <c r="G509" s="737">
        <v>179.54323222342737</v>
      </c>
      <c r="H509" s="737">
        <v>180.30439506938174</v>
      </c>
      <c r="I509" s="737">
        <v>181.15538675025195</v>
      </c>
      <c r="J509" s="738">
        <v>182.10596915726512</v>
      </c>
      <c r="K509" s="737">
        <v>183.16684028158912</v>
      </c>
      <c r="L509" s="737">
        <v>184.34971097516006</v>
      </c>
      <c r="M509" s="737">
        <v>185.66738691836011</v>
      </c>
      <c r="N509" s="649">
        <v>187.13385607430826</v>
      </c>
      <c r="P509" s="584" t="s">
        <v>540</v>
      </c>
    </row>
    <row r="510" spans="4:16" x14ac:dyDescent="0.3">
      <c r="D510" s="744"/>
      <c r="E510" s="730">
        <f t="shared" si="315"/>
        <v>-0.30000000000000016</v>
      </c>
      <c r="F510" s="736">
        <v>179.81561034723802</v>
      </c>
      <c r="G510" s="737">
        <v>180.60921455173508</v>
      </c>
      <c r="H510" s="737">
        <v>181.49723787175438</v>
      </c>
      <c r="I510" s="737">
        <v>182.49006149912054</v>
      </c>
      <c r="J510" s="738">
        <v>183.59907430692198</v>
      </c>
      <c r="K510" s="737">
        <v>184.83675728484371</v>
      </c>
      <c r="L510" s="737">
        <v>186.21677309346597</v>
      </c>
      <c r="M510" s="737">
        <v>187.75406169322162</v>
      </c>
      <c r="N510" s="649">
        <v>189.46494237440243</v>
      </c>
    </row>
    <row r="511" spans="4:16" x14ac:dyDescent="0.3">
      <c r="D511" s="744"/>
      <c r="E511" s="730">
        <f t="shared" si="315"/>
        <v>-0.20000000000000015</v>
      </c>
      <c r="F511" s="736">
        <v>180.76822063653822</v>
      </c>
      <c r="G511" s="737">
        <v>181.67519687974837</v>
      </c>
      <c r="H511" s="737">
        <v>182.6900806737689</v>
      </c>
      <c r="I511" s="737">
        <v>183.82473624755536</v>
      </c>
      <c r="J511" s="738">
        <v>185.09217945605593</v>
      </c>
      <c r="K511" s="737">
        <v>186.50667428747113</v>
      </c>
      <c r="L511" s="737">
        <v>188.08383521102391</v>
      </c>
      <c r="M511" s="737">
        <v>189.84073646719648</v>
      </c>
      <c r="N511" s="649">
        <v>191.79602867345272</v>
      </c>
    </row>
    <row r="512" spans="4:16" x14ac:dyDescent="0.3">
      <c r="D512" s="744"/>
      <c r="E512" s="730">
        <f t="shared" si="315"/>
        <v>-0.10000000000000014</v>
      </c>
      <c r="F512" s="736">
        <v>181.72083093026092</v>
      </c>
      <c r="G512" s="737">
        <v>182.7411792074773</v>
      </c>
      <c r="H512" s="737">
        <v>183.88292347543896</v>
      </c>
      <c r="I512" s="737">
        <v>185.15941099557472</v>
      </c>
      <c r="J512" s="738">
        <v>186.58528460469151</v>
      </c>
      <c r="K512" s="737">
        <v>188.17659128950419</v>
      </c>
      <c r="L512" s="737">
        <v>189.95089732787733</v>
      </c>
      <c r="M512" s="737">
        <v>191.92741124034188</v>
      </c>
      <c r="N512" s="649">
        <v>194.12711497153356</v>
      </c>
    </row>
    <row r="513" spans="4:14" x14ac:dyDescent="0.3">
      <c r="D513" s="745"/>
      <c r="E513" s="739">
        <f t="shared" si="315"/>
        <v>-1.3877787807814457E-16</v>
      </c>
      <c r="F513" s="740">
        <v>182.67344122819694</v>
      </c>
      <c r="G513" s="738">
        <v>183.80716153493154</v>
      </c>
      <c r="H513" s="738">
        <v>185.0757662767775</v>
      </c>
      <c r="I513" s="738">
        <v>186.49408574319617</v>
      </c>
      <c r="J513" s="738">
        <v>188.07838975285219</v>
      </c>
      <c r="K513" s="738">
        <v>189.84650829097384</v>
      </c>
      <c r="L513" s="738">
        <v>191.81795944406684</v>
      </c>
      <c r="M513" s="738">
        <v>194.01408601271095</v>
      </c>
      <c r="N513" s="649">
        <v>196.45820126871359</v>
      </c>
    </row>
  </sheetData>
  <mergeCells count="7">
    <mergeCell ref="D505:D513"/>
    <mergeCell ref="D421:D429"/>
    <mergeCell ref="D435:D443"/>
    <mergeCell ref="D449:D457"/>
    <mergeCell ref="D463:D471"/>
    <mergeCell ref="D477:D485"/>
    <mergeCell ref="D491:D499"/>
  </mergeCells>
  <dataValidations disablePrompts="1" count="2">
    <dataValidation type="list" allowBlank="1" showInputMessage="1" showErrorMessage="1" error="Must select date range between FY14 thru FY19!" sqref="D20">
      <formula1>$I$33:$R$33</formula1>
    </dataValidation>
    <dataValidation type="decimal" allowBlank="1" showInputMessage="1" showErrorMessage="1" sqref="D22:D23 D28:D29">
      <formula1>-1</formula1>
      <formula2>1</formula2>
    </dataValidation>
  </dataValidations>
  <pageMargins left="0.7" right="0.7" top="0.75" bottom="0.75" header="0.3" footer="0.3"/>
  <pageSetup scale="41" orientation="portrait" r:id="rId1"/>
  <rowBreaks count="10" manualBreakCount="10">
    <brk id="30" max="18" man="1"/>
    <brk id="65" max="18" man="1"/>
    <brk id="104" max="18" man="1"/>
    <brk id="166" max="18" man="1"/>
    <brk id="214" max="18" man="1"/>
    <brk id="267" max="18" man="1"/>
    <brk id="317" max="18" man="1"/>
    <brk id="365" max="18" man="1"/>
    <brk id="415" max="18" man="1"/>
    <brk id="472" max="18" man="1"/>
  </rowBreaks>
  <ignoredErrors>
    <ignoredError sqref="F180" evalErro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2:T41"/>
  <sheetViews>
    <sheetView showGridLines="0" zoomScaleNormal="100" workbookViewId="0">
      <selection activeCell="B2" sqref="B2"/>
    </sheetView>
  </sheetViews>
  <sheetFormatPr defaultRowHeight="14.4" x14ac:dyDescent="0.3"/>
  <cols>
    <col min="1" max="2" width="2.77734375" style="584" customWidth="1"/>
    <col min="3" max="3" width="45.6640625" style="584" customWidth="1"/>
    <col min="4" max="4" width="12.77734375" style="2" customWidth="1"/>
    <col min="5" max="6" width="10.77734375" style="2" customWidth="1"/>
    <col min="7" max="13" width="10.77734375" style="642" customWidth="1"/>
    <col min="14" max="18" width="10.77734375" style="584" customWidth="1"/>
    <col min="19" max="19" width="2.77734375" style="584" customWidth="1"/>
    <col min="20" max="16384" width="8.88671875" style="584"/>
  </cols>
  <sheetData>
    <row r="2" spans="1:20" ht="18" x14ac:dyDescent="0.35">
      <c r="B2" s="9" t="str">
        <f>Company_Name&amp;" - Q1 Financial Results"</f>
        <v>Jazz Pharmaceuticals plc - Q1 Financial Results</v>
      </c>
    </row>
    <row r="3" spans="1:20" x14ac:dyDescent="0.3">
      <c r="B3" s="293" t="str">
        <f>+'JAZZ-Model-DCF'!$B$3</f>
        <v>($ in Millions Except Per Share and Per Unit Data)</v>
      </c>
    </row>
    <row r="5" spans="1:20" x14ac:dyDescent="0.3">
      <c r="B5" s="632"/>
      <c r="C5" s="632"/>
      <c r="D5" s="580"/>
      <c r="E5" s="580"/>
      <c r="F5" s="580"/>
      <c r="G5" s="656"/>
      <c r="H5" s="656"/>
      <c r="I5" s="656"/>
    </row>
    <row r="6" spans="1:20" s="642" customFormat="1" x14ac:dyDescent="0.3">
      <c r="A6" s="584"/>
      <c r="B6" s="267" t="s">
        <v>436</v>
      </c>
      <c r="C6" s="565"/>
      <c r="D6" s="273"/>
      <c r="E6" s="273"/>
      <c r="F6" s="273"/>
      <c r="G6" s="564"/>
      <c r="H6" s="564"/>
      <c r="I6" s="269" t="s">
        <v>442</v>
      </c>
      <c r="N6" s="584"/>
      <c r="O6" s="584"/>
      <c r="P6" s="584"/>
      <c r="Q6" s="584"/>
      <c r="R6" s="584"/>
      <c r="S6" s="584"/>
      <c r="T6" s="584"/>
    </row>
    <row r="7" spans="1:20" s="642" customFormat="1" x14ac:dyDescent="0.3">
      <c r="A7" s="584"/>
      <c r="B7" s="584"/>
      <c r="C7" s="598" t="s">
        <v>7</v>
      </c>
      <c r="D7" s="2"/>
      <c r="E7" s="2"/>
      <c r="F7" s="2"/>
      <c r="I7" s="643">
        <v>246.91900000000001</v>
      </c>
      <c r="N7" s="584"/>
      <c r="O7" s="584"/>
      <c r="P7" s="584"/>
      <c r="Q7" s="584"/>
      <c r="R7" s="584"/>
      <c r="S7" s="584"/>
      <c r="T7" s="584"/>
    </row>
    <row r="8" spans="1:20" s="642" customFormat="1" x14ac:dyDescent="0.3">
      <c r="A8" s="584"/>
      <c r="B8" s="584"/>
      <c r="C8" s="635" t="s">
        <v>426</v>
      </c>
      <c r="D8" s="2"/>
      <c r="E8" s="2"/>
      <c r="F8" s="2"/>
      <c r="I8" s="650" t="s">
        <v>97</v>
      </c>
      <c r="N8" s="584"/>
      <c r="O8" s="584"/>
      <c r="P8" s="584"/>
      <c r="Q8" s="584"/>
      <c r="R8" s="584"/>
      <c r="S8" s="584"/>
      <c r="T8" s="584"/>
    </row>
    <row r="9" spans="1:20" s="642" customFormat="1" x14ac:dyDescent="0.3">
      <c r="A9" s="584"/>
      <c r="B9" s="584"/>
      <c r="C9" t="s">
        <v>13</v>
      </c>
      <c r="D9" s="2"/>
      <c r="E9" s="2"/>
      <c r="F9" s="2"/>
      <c r="I9" s="644">
        <v>-66.658999999999992</v>
      </c>
      <c r="N9" s="584"/>
      <c r="O9" s="584"/>
      <c r="P9" s="584"/>
      <c r="Q9" s="584"/>
      <c r="R9" s="584"/>
      <c r="S9" s="584"/>
      <c r="T9" s="584"/>
    </row>
    <row r="10" spans="1:20" s="642" customFormat="1" x14ac:dyDescent="0.3">
      <c r="A10" s="584"/>
      <c r="B10" s="584"/>
      <c r="C10" s="635" t="s">
        <v>427</v>
      </c>
      <c r="D10" s="2"/>
      <c r="E10" s="2"/>
      <c r="F10" s="2"/>
      <c r="I10" s="650" t="s">
        <v>97</v>
      </c>
      <c r="N10" s="584"/>
      <c r="O10" s="584"/>
      <c r="P10" s="584"/>
      <c r="Q10" s="584"/>
      <c r="R10" s="584"/>
      <c r="S10" s="584"/>
      <c r="T10" s="584"/>
    </row>
    <row r="11" spans="1:20" s="642" customFormat="1" x14ac:dyDescent="0.3">
      <c r="A11" s="584"/>
      <c r="B11" s="584"/>
      <c r="C11"/>
      <c r="D11" s="2"/>
      <c r="E11" s="2"/>
      <c r="F11" s="2"/>
      <c r="N11" s="584"/>
      <c r="O11" s="584"/>
      <c r="P11" s="584"/>
      <c r="Q11" s="584"/>
      <c r="R11" s="584"/>
      <c r="S11" s="584"/>
      <c r="T11" s="584"/>
    </row>
    <row r="12" spans="1:20" s="642" customFormat="1" x14ac:dyDescent="0.3">
      <c r="A12" s="584"/>
      <c r="B12" s="584"/>
      <c r="C12" s="636" t="s">
        <v>428</v>
      </c>
      <c r="D12" s="2"/>
      <c r="E12" s="2"/>
      <c r="F12" s="2"/>
      <c r="I12" s="645">
        <f>+I9*Tax_Rate</f>
        <v>-11.998619999999999</v>
      </c>
      <c r="N12" s="584"/>
      <c r="O12" s="584"/>
      <c r="P12" s="584"/>
      <c r="Q12" s="584"/>
      <c r="R12" s="584"/>
      <c r="S12" s="584"/>
      <c r="T12" s="584"/>
    </row>
    <row r="13" spans="1:20" s="642" customFormat="1" x14ac:dyDescent="0.3">
      <c r="A13" s="584"/>
      <c r="B13" s="584"/>
      <c r="C13"/>
      <c r="D13" s="2"/>
      <c r="E13" s="2"/>
      <c r="F13" s="2"/>
      <c r="N13" s="584"/>
      <c r="O13" s="584"/>
      <c r="P13" s="584"/>
      <c r="Q13" s="584"/>
      <c r="R13" s="584"/>
      <c r="S13" s="584"/>
      <c r="T13" s="584"/>
    </row>
    <row r="14" spans="1:20" s="642" customFormat="1" x14ac:dyDescent="0.3">
      <c r="A14" s="584"/>
      <c r="B14" s="584"/>
      <c r="C14" s="598" t="s">
        <v>429</v>
      </c>
      <c r="D14" s="2"/>
      <c r="E14" s="2"/>
      <c r="F14" s="2"/>
      <c r="I14" s="77">
        <f>+I9+I12</f>
        <v>-78.657619999999994</v>
      </c>
      <c r="N14" s="584"/>
      <c r="O14" s="584"/>
      <c r="P14" s="584"/>
      <c r="Q14" s="584"/>
      <c r="R14" s="584"/>
      <c r="S14" s="584"/>
      <c r="T14" s="584"/>
    </row>
    <row r="15" spans="1:20" s="642" customFormat="1" x14ac:dyDescent="0.3">
      <c r="A15" s="584"/>
      <c r="B15" s="584"/>
      <c r="C15"/>
      <c r="D15" s="2"/>
      <c r="E15" s="2"/>
      <c r="F15" s="2"/>
      <c r="N15" s="584"/>
      <c r="O15" s="584"/>
      <c r="P15" s="584"/>
      <c r="Q15" s="584"/>
      <c r="R15" s="584"/>
      <c r="S15" s="584"/>
      <c r="T15" s="584"/>
    </row>
    <row r="16" spans="1:20" s="642" customFormat="1" x14ac:dyDescent="0.3">
      <c r="A16" s="584"/>
      <c r="B16" s="584"/>
      <c r="C16" s="598" t="s">
        <v>47</v>
      </c>
      <c r="D16" s="2"/>
      <c r="E16" s="2"/>
      <c r="F16" s="2"/>
      <c r="N16" s="584"/>
      <c r="O16" s="584"/>
      <c r="P16" s="584"/>
      <c r="Q16" s="584"/>
      <c r="R16" s="584"/>
      <c r="S16" s="584"/>
      <c r="T16" s="584"/>
    </row>
    <row r="17" spans="1:20" s="642" customFormat="1" x14ac:dyDescent="0.3">
      <c r="A17" s="584"/>
      <c r="B17" s="584"/>
      <c r="C17" s="637" t="s">
        <v>178</v>
      </c>
      <c r="D17" s="2"/>
      <c r="E17" s="2"/>
      <c r="F17" s="2"/>
      <c r="I17" s="644">
        <v>31.181999999999999</v>
      </c>
      <c r="N17" s="584"/>
      <c r="O17" s="584"/>
      <c r="P17" s="584"/>
      <c r="Q17" s="584"/>
      <c r="R17" s="584"/>
      <c r="S17" s="584"/>
      <c r="T17" s="584"/>
    </row>
    <row r="18" spans="1:20" s="642" customFormat="1" x14ac:dyDescent="0.3">
      <c r="A18" s="584"/>
      <c r="B18" s="584"/>
      <c r="C18" s="638" t="s">
        <v>67</v>
      </c>
      <c r="D18" s="2"/>
      <c r="E18" s="2"/>
      <c r="F18" s="2"/>
      <c r="I18" s="644">
        <v>1.3089999999999999</v>
      </c>
      <c r="N18" s="584"/>
      <c r="O18" s="584"/>
      <c r="P18" s="584"/>
      <c r="Q18" s="584"/>
      <c r="R18" s="584"/>
      <c r="S18" s="584"/>
      <c r="T18" s="584"/>
    </row>
    <row r="19" spans="1:20" s="642" customFormat="1" x14ac:dyDescent="0.3">
      <c r="A19" s="584"/>
      <c r="B19" s="584"/>
      <c r="C19" s="638" t="s">
        <v>191</v>
      </c>
      <c r="D19" s="2"/>
      <c r="E19" s="2"/>
      <c r="F19" s="2"/>
      <c r="I19" s="644">
        <v>127</v>
      </c>
      <c r="N19" s="584"/>
      <c r="O19" s="584"/>
      <c r="P19" s="584"/>
      <c r="Q19" s="584"/>
      <c r="R19" s="584"/>
      <c r="S19" s="584"/>
      <c r="T19" s="584"/>
    </row>
    <row r="20" spans="1:20" s="642" customFormat="1" x14ac:dyDescent="0.3">
      <c r="A20" s="584"/>
      <c r="B20" s="584"/>
      <c r="C20" s="638" t="s">
        <v>95</v>
      </c>
      <c r="D20" s="2"/>
      <c r="E20" s="2"/>
      <c r="F20" s="2"/>
      <c r="I20" s="644">
        <v>13.815</v>
      </c>
      <c r="N20" s="584"/>
      <c r="O20" s="584"/>
      <c r="P20" s="584"/>
      <c r="Q20" s="584"/>
      <c r="R20" s="584"/>
      <c r="S20" s="584"/>
      <c r="T20" s="584"/>
    </row>
    <row r="21" spans="1:20" s="642" customFormat="1" x14ac:dyDescent="0.3">
      <c r="A21" s="584"/>
      <c r="B21" s="584"/>
      <c r="C21" s="638" t="s">
        <v>179</v>
      </c>
      <c r="D21" s="2"/>
      <c r="E21" s="2"/>
      <c r="F21" s="2"/>
      <c r="I21" s="644">
        <v>0</v>
      </c>
      <c r="N21" s="584"/>
      <c r="O21" s="584"/>
      <c r="P21" s="584"/>
      <c r="Q21" s="584"/>
      <c r="R21" s="584"/>
      <c r="S21" s="584"/>
      <c r="T21" s="584"/>
    </row>
    <row r="22" spans="1:20" s="642" customFormat="1" x14ac:dyDescent="0.3">
      <c r="A22" s="584"/>
      <c r="B22" s="584"/>
      <c r="C22" s="638" t="s">
        <v>48</v>
      </c>
      <c r="D22" s="2"/>
      <c r="E22" s="2"/>
      <c r="F22" s="2"/>
      <c r="I22" s="644">
        <v>-4.3780000000000001</v>
      </c>
      <c r="N22" s="584"/>
      <c r="O22" s="584"/>
      <c r="P22" s="584"/>
      <c r="Q22" s="584"/>
      <c r="R22" s="584"/>
      <c r="S22" s="584"/>
      <c r="T22" s="584"/>
    </row>
    <row r="23" spans="1:20" s="642" customFormat="1" x14ac:dyDescent="0.3">
      <c r="A23" s="584"/>
      <c r="B23" s="584"/>
      <c r="C23" s="638" t="s">
        <v>85</v>
      </c>
      <c r="D23" s="2"/>
      <c r="E23" s="2"/>
      <c r="F23" s="2"/>
      <c r="I23" s="644">
        <v>0</v>
      </c>
      <c r="N23" s="584"/>
      <c r="O23" s="584"/>
      <c r="P23" s="584"/>
      <c r="Q23" s="584"/>
      <c r="R23" s="584"/>
      <c r="S23" s="584"/>
      <c r="T23" s="584"/>
    </row>
    <row r="24" spans="1:20" s="642" customFormat="1" x14ac:dyDescent="0.3">
      <c r="A24" s="584"/>
      <c r="B24" s="584"/>
      <c r="C24" s="639" t="s">
        <v>106</v>
      </c>
      <c r="D24" s="6"/>
      <c r="E24" s="6"/>
      <c r="F24" s="6"/>
      <c r="G24" s="646"/>
      <c r="H24" s="646"/>
      <c r="I24" s="647">
        <f>0.002-5.777+8.022+0.813+1.868</f>
        <v>4.9279999999999999</v>
      </c>
      <c r="N24" s="584"/>
      <c r="O24" s="584"/>
      <c r="P24" s="584"/>
      <c r="Q24" s="584"/>
      <c r="R24" s="584"/>
      <c r="S24" s="584"/>
      <c r="T24" s="584"/>
    </row>
    <row r="25" spans="1:20" s="642" customFormat="1" x14ac:dyDescent="0.3">
      <c r="A25" s="584"/>
      <c r="B25" s="584"/>
      <c r="C25" s="640" t="s">
        <v>430</v>
      </c>
      <c r="D25" s="2"/>
      <c r="E25" s="2"/>
      <c r="F25" s="2"/>
      <c r="I25" s="648">
        <f>SUM(I17:I24)</f>
        <v>173.85599999999999</v>
      </c>
      <c r="N25" s="584"/>
      <c r="O25" s="584"/>
      <c r="P25" s="584"/>
      <c r="Q25" s="584"/>
      <c r="R25" s="584"/>
      <c r="S25" s="584"/>
      <c r="T25" s="584"/>
    </row>
    <row r="26" spans="1:20" s="642" customFormat="1" x14ac:dyDescent="0.3">
      <c r="A26" s="584"/>
      <c r="B26" s="584"/>
      <c r="C26"/>
      <c r="D26" s="2"/>
      <c r="E26" s="2"/>
      <c r="F26" s="2"/>
      <c r="N26" s="584"/>
      <c r="O26" s="584"/>
      <c r="P26" s="584"/>
      <c r="Q26" s="584"/>
      <c r="R26" s="584"/>
      <c r="S26" s="584"/>
      <c r="T26" s="584"/>
    </row>
    <row r="27" spans="1:20" s="642" customFormat="1" x14ac:dyDescent="0.3">
      <c r="A27" s="584"/>
      <c r="B27" s="584"/>
      <c r="C27" s="598" t="s">
        <v>431</v>
      </c>
      <c r="D27" s="2"/>
      <c r="E27" s="2"/>
      <c r="F27" s="2"/>
      <c r="N27" s="584"/>
      <c r="O27" s="584"/>
      <c r="P27" s="584"/>
      <c r="Q27" s="584"/>
      <c r="R27" s="584"/>
      <c r="S27" s="584"/>
      <c r="T27" s="584"/>
    </row>
    <row r="28" spans="1:20" s="642" customFormat="1" x14ac:dyDescent="0.3">
      <c r="A28" s="584"/>
      <c r="B28" s="584"/>
      <c r="C28" s="638" t="s">
        <v>29</v>
      </c>
      <c r="D28" s="2"/>
      <c r="E28" s="2"/>
      <c r="F28" s="2"/>
      <c r="I28" s="644">
        <v>-16.013999999999999</v>
      </c>
      <c r="N28" s="584"/>
      <c r="O28" s="584"/>
      <c r="P28" s="584"/>
      <c r="Q28" s="584"/>
      <c r="R28" s="584"/>
      <c r="S28" s="584"/>
      <c r="T28" s="584"/>
    </row>
    <row r="29" spans="1:20" s="642" customFormat="1" x14ac:dyDescent="0.3">
      <c r="A29" s="584"/>
      <c r="B29" s="584"/>
      <c r="C29" s="638" t="s">
        <v>30</v>
      </c>
      <c r="D29" s="2"/>
      <c r="E29" s="2"/>
      <c r="F29" s="2"/>
      <c r="I29" s="644">
        <v>-3.0710000000000002</v>
      </c>
      <c r="N29" s="584"/>
      <c r="O29" s="584"/>
      <c r="P29" s="584"/>
      <c r="Q29" s="584"/>
      <c r="R29" s="584"/>
      <c r="S29" s="584"/>
      <c r="T29" s="584"/>
    </row>
    <row r="30" spans="1:20" s="642" customFormat="1" x14ac:dyDescent="0.3">
      <c r="A30" s="584"/>
      <c r="B30" s="584"/>
      <c r="C30" s="638" t="s">
        <v>82</v>
      </c>
      <c r="D30" s="2"/>
      <c r="E30" s="2"/>
      <c r="F30" s="2"/>
      <c r="I30" s="644">
        <v>4.3570000000000002</v>
      </c>
      <c r="N30" s="584"/>
      <c r="O30" s="584"/>
      <c r="P30" s="584"/>
      <c r="Q30" s="584"/>
      <c r="R30" s="584"/>
      <c r="S30" s="584"/>
      <c r="T30" s="584"/>
    </row>
    <row r="31" spans="1:20" s="642" customFormat="1" x14ac:dyDescent="0.3">
      <c r="A31" s="584"/>
      <c r="B31" s="584"/>
      <c r="C31" s="638" t="s">
        <v>175</v>
      </c>
      <c r="D31" s="2"/>
      <c r="E31" s="2"/>
      <c r="F31" s="2"/>
      <c r="I31" s="644">
        <v>-1.5449999999999999</v>
      </c>
      <c r="N31" s="584"/>
      <c r="O31" s="584"/>
      <c r="P31" s="584"/>
      <c r="Q31" s="584"/>
      <c r="R31" s="584"/>
      <c r="S31" s="584"/>
      <c r="T31" s="584"/>
    </row>
    <row r="32" spans="1:20" s="642" customFormat="1" x14ac:dyDescent="0.3">
      <c r="A32" s="584"/>
      <c r="B32" s="584"/>
      <c r="C32" s="638" t="s">
        <v>31</v>
      </c>
      <c r="D32" s="2"/>
      <c r="E32" s="2"/>
      <c r="F32" s="2"/>
      <c r="I32" s="644">
        <v>8.5790000000000006</v>
      </c>
      <c r="N32" s="584"/>
      <c r="O32" s="584"/>
      <c r="P32" s="584"/>
      <c r="Q32" s="584"/>
      <c r="R32" s="584"/>
      <c r="S32" s="584"/>
      <c r="T32" s="584"/>
    </row>
    <row r="33" spans="1:20" x14ac:dyDescent="0.3">
      <c r="C33" s="638" t="s">
        <v>199</v>
      </c>
      <c r="I33" s="644">
        <v>0.92700000000000005</v>
      </c>
    </row>
    <row r="34" spans="1:20" s="642" customFormat="1" x14ac:dyDescent="0.3">
      <c r="A34" s="584"/>
      <c r="B34" s="584"/>
      <c r="C34" s="638" t="s">
        <v>50</v>
      </c>
      <c r="D34" s="2"/>
      <c r="E34" s="2"/>
      <c r="F34" s="2"/>
      <c r="I34" s="644">
        <v>5.7569999999999997</v>
      </c>
      <c r="N34" s="584"/>
      <c r="O34" s="584"/>
      <c r="P34" s="584"/>
      <c r="Q34" s="584"/>
      <c r="R34" s="584"/>
      <c r="S34" s="584"/>
      <c r="T34" s="584"/>
    </row>
    <row r="35" spans="1:20" s="642" customFormat="1" x14ac:dyDescent="0.3">
      <c r="A35" s="584"/>
      <c r="B35" s="584"/>
      <c r="C35" s="638" t="s">
        <v>63</v>
      </c>
      <c r="D35" s="2"/>
      <c r="E35" s="2"/>
      <c r="F35" s="2"/>
      <c r="I35" s="644">
        <v>-0.27300000000000002</v>
      </c>
      <c r="N35" s="584"/>
      <c r="O35" s="584"/>
      <c r="P35" s="584"/>
      <c r="Q35" s="584"/>
      <c r="R35" s="584"/>
      <c r="S35" s="584"/>
      <c r="T35" s="584"/>
    </row>
    <row r="36" spans="1:20" s="642" customFormat="1" x14ac:dyDescent="0.3">
      <c r="A36" s="584"/>
      <c r="B36" s="584"/>
      <c r="C36" s="639" t="s">
        <v>92</v>
      </c>
      <c r="D36" s="6"/>
      <c r="E36" s="6"/>
      <c r="F36" s="6"/>
      <c r="G36" s="646"/>
      <c r="H36" s="646"/>
      <c r="I36" s="647">
        <f>-14.9+4.689</f>
        <v>-10.211</v>
      </c>
      <c r="N36" s="584"/>
      <c r="O36" s="584"/>
      <c r="P36" s="584"/>
      <c r="Q36" s="584"/>
      <c r="R36" s="584"/>
      <c r="S36" s="584"/>
      <c r="T36" s="584"/>
    </row>
    <row r="37" spans="1:20" s="642" customFormat="1" x14ac:dyDescent="0.3">
      <c r="A37" s="584"/>
      <c r="B37" s="584"/>
      <c r="C37" s="598" t="s">
        <v>432</v>
      </c>
      <c r="D37" s="2"/>
      <c r="E37" s="2"/>
      <c r="F37" s="2"/>
      <c r="I37" s="648">
        <f>SUM(I28:I36)</f>
        <v>-11.494000000000003</v>
      </c>
      <c r="N37" s="584"/>
      <c r="O37" s="584"/>
      <c r="P37" s="584"/>
      <c r="Q37" s="584"/>
      <c r="R37" s="584"/>
      <c r="S37" s="584"/>
      <c r="T37" s="584"/>
    </row>
    <row r="38" spans="1:20" s="642" customFormat="1" x14ac:dyDescent="0.3">
      <c r="A38" s="584"/>
      <c r="B38" s="584"/>
      <c r="C38"/>
      <c r="D38" s="2"/>
      <c r="E38" s="2"/>
      <c r="F38" s="2"/>
      <c r="I38" s="649"/>
      <c r="N38" s="584"/>
      <c r="O38" s="584"/>
      <c r="P38" s="584"/>
      <c r="Q38" s="584"/>
      <c r="R38" s="584"/>
      <c r="S38" s="584"/>
      <c r="T38" s="584"/>
    </row>
    <row r="39" spans="1:20" s="642" customFormat="1" x14ac:dyDescent="0.3">
      <c r="A39" s="584"/>
      <c r="B39" s="584"/>
      <c r="C39" s="598" t="s">
        <v>433</v>
      </c>
      <c r="D39" s="2"/>
      <c r="E39" s="2"/>
      <c r="F39" s="2"/>
      <c r="I39" s="651">
        <v>-3.5270000000000001</v>
      </c>
      <c r="N39" s="584"/>
      <c r="O39" s="584"/>
      <c r="P39" s="584"/>
      <c r="Q39" s="584"/>
      <c r="R39" s="584"/>
      <c r="S39" s="584"/>
      <c r="T39" s="584"/>
    </row>
    <row r="41" spans="1:20" x14ac:dyDescent="0.3">
      <c r="C41" s="3" t="s">
        <v>439</v>
      </c>
      <c r="I41" s="648">
        <f>+I14+I25+I37+I39</f>
        <v>80.177379999999999</v>
      </c>
    </row>
  </sheetData>
  <pageMargins left="0.7" right="0.7" top="0.75" bottom="0.75" header="0.3" footer="0.3"/>
  <pageSetup scale="7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B2:Z72"/>
  <sheetViews>
    <sheetView showGridLines="0" zoomScaleNormal="100" workbookViewId="0"/>
  </sheetViews>
  <sheetFormatPr defaultColWidth="9.109375" defaultRowHeight="14.4" outlineLevelRow="1" outlineLevelCol="1" x14ac:dyDescent="0.3"/>
  <cols>
    <col min="1" max="1" width="2.6640625" customWidth="1"/>
    <col min="2" max="2" width="27.44140625" bestFit="1" customWidth="1"/>
    <col min="3" max="3" width="6.33203125" hidden="1" customWidth="1" outlineLevel="1"/>
    <col min="4" max="4" width="9.6640625" bestFit="1" customWidth="1" collapsed="1"/>
    <col min="5" max="5" width="9.5546875" bestFit="1" customWidth="1"/>
    <col min="6" max="6" width="10" customWidth="1"/>
    <col min="8" max="8" width="9.6640625" bestFit="1" customWidth="1"/>
    <col min="9" max="9" width="10.109375" bestFit="1" customWidth="1"/>
    <col min="13" max="13" width="2.6640625" customWidth="1"/>
    <col min="14" max="14" width="2.6640625" style="636" customWidth="1"/>
    <col min="15" max="25" width="9.109375" style="636"/>
    <col min="258" max="258" width="2.6640625" customWidth="1"/>
    <col min="259" max="259" width="27.44140625" bestFit="1" customWidth="1"/>
    <col min="260" max="260" width="9.6640625" bestFit="1" customWidth="1"/>
    <col min="261" max="261" width="9.33203125" bestFit="1" customWidth="1"/>
    <col min="262" max="262" width="10" customWidth="1"/>
    <col min="264" max="264" width="9.6640625" bestFit="1" customWidth="1"/>
    <col min="514" max="514" width="2.6640625" customWidth="1"/>
    <col min="515" max="515" width="27.44140625" bestFit="1" customWidth="1"/>
    <col min="516" max="516" width="9.6640625" bestFit="1" customWidth="1"/>
    <col min="517" max="517" width="9.33203125" bestFit="1" customWidth="1"/>
    <col min="518" max="518" width="10" customWidth="1"/>
    <col min="520" max="520" width="9.6640625" bestFit="1" customWidth="1"/>
    <col min="770" max="770" width="2.6640625" customWidth="1"/>
    <col min="771" max="771" width="27.44140625" bestFit="1" customWidth="1"/>
    <col min="772" max="772" width="9.6640625" bestFit="1" customWidth="1"/>
    <col min="773" max="773" width="9.33203125" bestFit="1" customWidth="1"/>
    <col min="774" max="774" width="10" customWidth="1"/>
    <col min="776" max="776" width="9.6640625" bestFit="1" customWidth="1"/>
    <col min="1026" max="1026" width="2.6640625" customWidth="1"/>
    <col min="1027" max="1027" width="27.44140625" bestFit="1" customWidth="1"/>
    <col min="1028" max="1028" width="9.6640625" bestFit="1" customWidth="1"/>
    <col min="1029" max="1029" width="9.33203125" bestFit="1" customWidth="1"/>
    <col min="1030" max="1030" width="10" customWidth="1"/>
    <col min="1032" max="1032" width="9.6640625" bestFit="1" customWidth="1"/>
    <col min="1282" max="1282" width="2.6640625" customWidth="1"/>
    <col min="1283" max="1283" width="27.44140625" bestFit="1" customWidth="1"/>
    <col min="1284" max="1284" width="9.6640625" bestFit="1" customWidth="1"/>
    <col min="1285" max="1285" width="9.33203125" bestFit="1" customWidth="1"/>
    <col min="1286" max="1286" width="10" customWidth="1"/>
    <col min="1288" max="1288" width="9.6640625" bestFit="1" customWidth="1"/>
    <col min="1538" max="1538" width="2.6640625" customWidth="1"/>
    <col min="1539" max="1539" width="27.44140625" bestFit="1" customWidth="1"/>
    <col min="1540" max="1540" width="9.6640625" bestFit="1" customWidth="1"/>
    <col min="1541" max="1541" width="9.33203125" bestFit="1" customWidth="1"/>
    <col min="1542" max="1542" width="10" customWidth="1"/>
    <col min="1544" max="1544" width="9.6640625" bestFit="1" customWidth="1"/>
    <col min="1794" max="1794" width="2.6640625" customWidth="1"/>
    <col min="1795" max="1795" width="27.44140625" bestFit="1" customWidth="1"/>
    <col min="1796" max="1796" width="9.6640625" bestFit="1" customWidth="1"/>
    <col min="1797" max="1797" width="9.33203125" bestFit="1" customWidth="1"/>
    <col min="1798" max="1798" width="10" customWidth="1"/>
    <col min="1800" max="1800" width="9.6640625" bestFit="1" customWidth="1"/>
    <col min="2050" max="2050" width="2.6640625" customWidth="1"/>
    <col min="2051" max="2051" width="27.44140625" bestFit="1" customWidth="1"/>
    <col min="2052" max="2052" width="9.6640625" bestFit="1" customWidth="1"/>
    <col min="2053" max="2053" width="9.33203125" bestFit="1" customWidth="1"/>
    <col min="2054" max="2054" width="10" customWidth="1"/>
    <col min="2056" max="2056" width="9.6640625" bestFit="1" customWidth="1"/>
    <col min="2306" max="2306" width="2.6640625" customWidth="1"/>
    <col min="2307" max="2307" width="27.44140625" bestFit="1" customWidth="1"/>
    <col min="2308" max="2308" width="9.6640625" bestFit="1" customWidth="1"/>
    <col min="2309" max="2309" width="9.33203125" bestFit="1" customWidth="1"/>
    <col min="2310" max="2310" width="10" customWidth="1"/>
    <col min="2312" max="2312" width="9.6640625" bestFit="1" customWidth="1"/>
    <col min="2562" max="2562" width="2.6640625" customWidth="1"/>
    <col min="2563" max="2563" width="27.44140625" bestFit="1" customWidth="1"/>
    <col min="2564" max="2564" width="9.6640625" bestFit="1" customWidth="1"/>
    <col min="2565" max="2565" width="9.33203125" bestFit="1" customWidth="1"/>
    <col min="2566" max="2566" width="10" customWidth="1"/>
    <col min="2568" max="2568" width="9.6640625" bestFit="1" customWidth="1"/>
    <col min="2818" max="2818" width="2.6640625" customWidth="1"/>
    <col min="2819" max="2819" width="27.44140625" bestFit="1" customWidth="1"/>
    <col min="2820" max="2820" width="9.6640625" bestFit="1" customWidth="1"/>
    <col min="2821" max="2821" width="9.33203125" bestFit="1" customWidth="1"/>
    <col min="2822" max="2822" width="10" customWidth="1"/>
    <col min="2824" max="2824" width="9.6640625" bestFit="1" customWidth="1"/>
    <col min="3074" max="3074" width="2.6640625" customWidth="1"/>
    <col min="3075" max="3075" width="27.44140625" bestFit="1" customWidth="1"/>
    <col min="3076" max="3076" width="9.6640625" bestFit="1" customWidth="1"/>
    <col min="3077" max="3077" width="9.33203125" bestFit="1" customWidth="1"/>
    <col min="3078" max="3078" width="10" customWidth="1"/>
    <col min="3080" max="3080" width="9.6640625" bestFit="1" customWidth="1"/>
    <col min="3330" max="3330" width="2.6640625" customWidth="1"/>
    <col min="3331" max="3331" width="27.44140625" bestFit="1" customWidth="1"/>
    <col min="3332" max="3332" width="9.6640625" bestFit="1" customWidth="1"/>
    <col min="3333" max="3333" width="9.33203125" bestFit="1" customWidth="1"/>
    <col min="3334" max="3334" width="10" customWidth="1"/>
    <col min="3336" max="3336" width="9.6640625" bestFit="1" customWidth="1"/>
    <col min="3586" max="3586" width="2.6640625" customWidth="1"/>
    <col min="3587" max="3587" width="27.44140625" bestFit="1" customWidth="1"/>
    <col min="3588" max="3588" width="9.6640625" bestFit="1" customWidth="1"/>
    <col min="3589" max="3589" width="9.33203125" bestFit="1" customWidth="1"/>
    <col min="3590" max="3590" width="10" customWidth="1"/>
    <col min="3592" max="3592" width="9.6640625" bestFit="1" customWidth="1"/>
    <col min="3842" max="3842" width="2.6640625" customWidth="1"/>
    <col min="3843" max="3843" width="27.44140625" bestFit="1" customWidth="1"/>
    <col min="3844" max="3844" width="9.6640625" bestFit="1" customWidth="1"/>
    <col min="3845" max="3845" width="9.33203125" bestFit="1" customWidth="1"/>
    <col min="3846" max="3846" width="10" customWidth="1"/>
    <col min="3848" max="3848" width="9.6640625" bestFit="1" customWidth="1"/>
    <col min="4098" max="4098" width="2.6640625" customWidth="1"/>
    <col min="4099" max="4099" width="27.44140625" bestFit="1" customWidth="1"/>
    <col min="4100" max="4100" width="9.6640625" bestFit="1" customWidth="1"/>
    <col min="4101" max="4101" width="9.33203125" bestFit="1" customWidth="1"/>
    <col min="4102" max="4102" width="10" customWidth="1"/>
    <col min="4104" max="4104" width="9.6640625" bestFit="1" customWidth="1"/>
    <col min="4354" max="4354" width="2.6640625" customWidth="1"/>
    <col min="4355" max="4355" width="27.44140625" bestFit="1" customWidth="1"/>
    <col min="4356" max="4356" width="9.6640625" bestFit="1" customWidth="1"/>
    <col min="4357" max="4357" width="9.33203125" bestFit="1" customWidth="1"/>
    <col min="4358" max="4358" width="10" customWidth="1"/>
    <col min="4360" max="4360" width="9.6640625" bestFit="1" customWidth="1"/>
    <col min="4610" max="4610" width="2.6640625" customWidth="1"/>
    <col min="4611" max="4611" width="27.44140625" bestFit="1" customWidth="1"/>
    <col min="4612" max="4612" width="9.6640625" bestFit="1" customWidth="1"/>
    <col min="4613" max="4613" width="9.33203125" bestFit="1" customWidth="1"/>
    <col min="4614" max="4614" width="10" customWidth="1"/>
    <col min="4616" max="4616" width="9.6640625" bestFit="1" customWidth="1"/>
    <col min="4866" max="4866" width="2.6640625" customWidth="1"/>
    <col min="4867" max="4867" width="27.44140625" bestFit="1" customWidth="1"/>
    <col min="4868" max="4868" width="9.6640625" bestFit="1" customWidth="1"/>
    <col min="4869" max="4869" width="9.33203125" bestFit="1" customWidth="1"/>
    <col min="4870" max="4870" width="10" customWidth="1"/>
    <col min="4872" max="4872" width="9.6640625" bestFit="1" customWidth="1"/>
    <col min="5122" max="5122" width="2.6640625" customWidth="1"/>
    <col min="5123" max="5123" width="27.44140625" bestFit="1" customWidth="1"/>
    <col min="5124" max="5124" width="9.6640625" bestFit="1" customWidth="1"/>
    <col min="5125" max="5125" width="9.33203125" bestFit="1" customWidth="1"/>
    <col min="5126" max="5126" width="10" customWidth="1"/>
    <col min="5128" max="5128" width="9.6640625" bestFit="1" customWidth="1"/>
    <col min="5378" max="5378" width="2.6640625" customWidth="1"/>
    <col min="5379" max="5379" width="27.44140625" bestFit="1" customWidth="1"/>
    <col min="5380" max="5380" width="9.6640625" bestFit="1" customWidth="1"/>
    <col min="5381" max="5381" width="9.33203125" bestFit="1" customWidth="1"/>
    <col min="5382" max="5382" width="10" customWidth="1"/>
    <col min="5384" max="5384" width="9.6640625" bestFit="1" customWidth="1"/>
    <col min="5634" max="5634" width="2.6640625" customWidth="1"/>
    <col min="5635" max="5635" width="27.44140625" bestFit="1" customWidth="1"/>
    <col min="5636" max="5636" width="9.6640625" bestFit="1" customWidth="1"/>
    <col min="5637" max="5637" width="9.33203125" bestFit="1" customWidth="1"/>
    <col min="5638" max="5638" width="10" customWidth="1"/>
    <col min="5640" max="5640" width="9.6640625" bestFit="1" customWidth="1"/>
    <col min="5890" max="5890" width="2.6640625" customWidth="1"/>
    <col min="5891" max="5891" width="27.44140625" bestFit="1" customWidth="1"/>
    <col min="5892" max="5892" width="9.6640625" bestFit="1" customWidth="1"/>
    <col min="5893" max="5893" width="9.33203125" bestFit="1" customWidth="1"/>
    <col min="5894" max="5894" width="10" customWidth="1"/>
    <col min="5896" max="5896" width="9.6640625" bestFit="1" customWidth="1"/>
    <col min="6146" max="6146" width="2.6640625" customWidth="1"/>
    <col min="6147" max="6147" width="27.44140625" bestFit="1" customWidth="1"/>
    <col min="6148" max="6148" width="9.6640625" bestFit="1" customWidth="1"/>
    <col min="6149" max="6149" width="9.33203125" bestFit="1" customWidth="1"/>
    <col min="6150" max="6150" width="10" customWidth="1"/>
    <col min="6152" max="6152" width="9.6640625" bestFit="1" customWidth="1"/>
    <col min="6402" max="6402" width="2.6640625" customWidth="1"/>
    <col min="6403" max="6403" width="27.44140625" bestFit="1" customWidth="1"/>
    <col min="6404" max="6404" width="9.6640625" bestFit="1" customWidth="1"/>
    <col min="6405" max="6405" width="9.33203125" bestFit="1" customWidth="1"/>
    <col min="6406" max="6406" width="10" customWidth="1"/>
    <col min="6408" max="6408" width="9.6640625" bestFit="1" customWidth="1"/>
    <col min="6658" max="6658" width="2.6640625" customWidth="1"/>
    <col min="6659" max="6659" width="27.44140625" bestFit="1" customWidth="1"/>
    <col min="6660" max="6660" width="9.6640625" bestFit="1" customWidth="1"/>
    <col min="6661" max="6661" width="9.33203125" bestFit="1" customWidth="1"/>
    <col min="6662" max="6662" width="10" customWidth="1"/>
    <col min="6664" max="6664" width="9.6640625" bestFit="1" customWidth="1"/>
    <col min="6914" max="6914" width="2.6640625" customWidth="1"/>
    <col min="6915" max="6915" width="27.44140625" bestFit="1" customWidth="1"/>
    <col min="6916" max="6916" width="9.6640625" bestFit="1" customWidth="1"/>
    <col min="6917" max="6917" width="9.33203125" bestFit="1" customWidth="1"/>
    <col min="6918" max="6918" width="10" customWidth="1"/>
    <col min="6920" max="6920" width="9.6640625" bestFit="1" customWidth="1"/>
    <col min="7170" max="7170" width="2.6640625" customWidth="1"/>
    <col min="7171" max="7171" width="27.44140625" bestFit="1" customWidth="1"/>
    <col min="7172" max="7172" width="9.6640625" bestFit="1" customWidth="1"/>
    <col min="7173" max="7173" width="9.33203125" bestFit="1" customWidth="1"/>
    <col min="7174" max="7174" width="10" customWidth="1"/>
    <col min="7176" max="7176" width="9.6640625" bestFit="1" customWidth="1"/>
    <col min="7426" max="7426" width="2.6640625" customWidth="1"/>
    <col min="7427" max="7427" width="27.44140625" bestFit="1" customWidth="1"/>
    <col min="7428" max="7428" width="9.6640625" bestFit="1" customWidth="1"/>
    <col min="7429" max="7429" width="9.33203125" bestFit="1" customWidth="1"/>
    <col min="7430" max="7430" width="10" customWidth="1"/>
    <col min="7432" max="7432" width="9.6640625" bestFit="1" customWidth="1"/>
    <col min="7682" max="7682" width="2.6640625" customWidth="1"/>
    <col min="7683" max="7683" width="27.44140625" bestFit="1" customWidth="1"/>
    <col min="7684" max="7684" width="9.6640625" bestFit="1" customWidth="1"/>
    <col min="7685" max="7685" width="9.33203125" bestFit="1" customWidth="1"/>
    <col min="7686" max="7686" width="10" customWidth="1"/>
    <col min="7688" max="7688" width="9.6640625" bestFit="1" customWidth="1"/>
    <col min="7938" max="7938" width="2.6640625" customWidth="1"/>
    <col min="7939" max="7939" width="27.44140625" bestFit="1" customWidth="1"/>
    <col min="7940" max="7940" width="9.6640625" bestFit="1" customWidth="1"/>
    <col min="7941" max="7941" width="9.33203125" bestFit="1" customWidth="1"/>
    <col min="7942" max="7942" width="10" customWidth="1"/>
    <col min="7944" max="7944" width="9.6640625" bestFit="1" customWidth="1"/>
    <col min="8194" max="8194" width="2.6640625" customWidth="1"/>
    <col min="8195" max="8195" width="27.44140625" bestFit="1" customWidth="1"/>
    <col min="8196" max="8196" width="9.6640625" bestFit="1" customWidth="1"/>
    <col min="8197" max="8197" width="9.33203125" bestFit="1" customWidth="1"/>
    <col min="8198" max="8198" width="10" customWidth="1"/>
    <col min="8200" max="8200" width="9.6640625" bestFit="1" customWidth="1"/>
    <col min="8450" max="8450" width="2.6640625" customWidth="1"/>
    <col min="8451" max="8451" width="27.44140625" bestFit="1" customWidth="1"/>
    <col min="8452" max="8452" width="9.6640625" bestFit="1" customWidth="1"/>
    <col min="8453" max="8453" width="9.33203125" bestFit="1" customWidth="1"/>
    <col min="8454" max="8454" width="10" customWidth="1"/>
    <col min="8456" max="8456" width="9.6640625" bestFit="1" customWidth="1"/>
    <col min="8706" max="8706" width="2.6640625" customWidth="1"/>
    <col min="8707" max="8707" width="27.44140625" bestFit="1" customWidth="1"/>
    <col min="8708" max="8708" width="9.6640625" bestFit="1" customWidth="1"/>
    <col min="8709" max="8709" width="9.33203125" bestFit="1" customWidth="1"/>
    <col min="8710" max="8710" width="10" customWidth="1"/>
    <col min="8712" max="8712" width="9.6640625" bestFit="1" customWidth="1"/>
    <col min="8962" max="8962" width="2.6640625" customWidth="1"/>
    <col min="8963" max="8963" width="27.44140625" bestFit="1" customWidth="1"/>
    <col min="8964" max="8964" width="9.6640625" bestFit="1" customWidth="1"/>
    <col min="8965" max="8965" width="9.33203125" bestFit="1" customWidth="1"/>
    <col min="8966" max="8966" width="10" customWidth="1"/>
    <col min="8968" max="8968" width="9.6640625" bestFit="1" customWidth="1"/>
    <col min="9218" max="9218" width="2.6640625" customWidth="1"/>
    <col min="9219" max="9219" width="27.44140625" bestFit="1" customWidth="1"/>
    <col min="9220" max="9220" width="9.6640625" bestFit="1" customWidth="1"/>
    <col min="9221" max="9221" width="9.33203125" bestFit="1" customWidth="1"/>
    <col min="9222" max="9222" width="10" customWidth="1"/>
    <col min="9224" max="9224" width="9.6640625" bestFit="1" customWidth="1"/>
    <col min="9474" max="9474" width="2.6640625" customWidth="1"/>
    <col min="9475" max="9475" width="27.44140625" bestFit="1" customWidth="1"/>
    <col min="9476" max="9476" width="9.6640625" bestFit="1" customWidth="1"/>
    <col min="9477" max="9477" width="9.33203125" bestFit="1" customWidth="1"/>
    <col min="9478" max="9478" width="10" customWidth="1"/>
    <col min="9480" max="9480" width="9.6640625" bestFit="1" customWidth="1"/>
    <col min="9730" max="9730" width="2.6640625" customWidth="1"/>
    <col min="9731" max="9731" width="27.44140625" bestFit="1" customWidth="1"/>
    <col min="9732" max="9732" width="9.6640625" bestFit="1" customWidth="1"/>
    <col min="9733" max="9733" width="9.33203125" bestFit="1" customWidth="1"/>
    <col min="9734" max="9734" width="10" customWidth="1"/>
    <col min="9736" max="9736" width="9.6640625" bestFit="1" customWidth="1"/>
    <col min="9986" max="9986" width="2.6640625" customWidth="1"/>
    <col min="9987" max="9987" width="27.44140625" bestFit="1" customWidth="1"/>
    <col min="9988" max="9988" width="9.6640625" bestFit="1" customWidth="1"/>
    <col min="9989" max="9989" width="9.33203125" bestFit="1" customWidth="1"/>
    <col min="9990" max="9990" width="10" customWidth="1"/>
    <col min="9992" max="9992" width="9.6640625" bestFit="1" customWidth="1"/>
    <col min="10242" max="10242" width="2.6640625" customWidth="1"/>
    <col min="10243" max="10243" width="27.44140625" bestFit="1" customWidth="1"/>
    <col min="10244" max="10244" width="9.6640625" bestFit="1" customWidth="1"/>
    <col min="10245" max="10245" width="9.33203125" bestFit="1" customWidth="1"/>
    <col min="10246" max="10246" width="10" customWidth="1"/>
    <col min="10248" max="10248" width="9.6640625" bestFit="1" customWidth="1"/>
    <col min="10498" max="10498" width="2.6640625" customWidth="1"/>
    <col min="10499" max="10499" width="27.44140625" bestFit="1" customWidth="1"/>
    <col min="10500" max="10500" width="9.6640625" bestFit="1" customWidth="1"/>
    <col min="10501" max="10501" width="9.33203125" bestFit="1" customWidth="1"/>
    <col min="10502" max="10502" width="10" customWidth="1"/>
    <col min="10504" max="10504" width="9.6640625" bestFit="1" customWidth="1"/>
    <col min="10754" max="10754" width="2.6640625" customWidth="1"/>
    <col min="10755" max="10755" width="27.44140625" bestFit="1" customWidth="1"/>
    <col min="10756" max="10756" width="9.6640625" bestFit="1" customWidth="1"/>
    <col min="10757" max="10757" width="9.33203125" bestFit="1" customWidth="1"/>
    <col min="10758" max="10758" width="10" customWidth="1"/>
    <col min="10760" max="10760" width="9.6640625" bestFit="1" customWidth="1"/>
    <col min="11010" max="11010" width="2.6640625" customWidth="1"/>
    <col min="11011" max="11011" width="27.44140625" bestFit="1" customWidth="1"/>
    <col min="11012" max="11012" width="9.6640625" bestFit="1" customWidth="1"/>
    <col min="11013" max="11013" width="9.33203125" bestFit="1" customWidth="1"/>
    <col min="11014" max="11014" width="10" customWidth="1"/>
    <col min="11016" max="11016" width="9.6640625" bestFit="1" customWidth="1"/>
    <col min="11266" max="11266" width="2.6640625" customWidth="1"/>
    <col min="11267" max="11267" width="27.44140625" bestFit="1" customWidth="1"/>
    <col min="11268" max="11268" width="9.6640625" bestFit="1" customWidth="1"/>
    <col min="11269" max="11269" width="9.33203125" bestFit="1" customWidth="1"/>
    <col min="11270" max="11270" width="10" customWidth="1"/>
    <col min="11272" max="11272" width="9.6640625" bestFit="1" customWidth="1"/>
    <col min="11522" max="11522" width="2.6640625" customWidth="1"/>
    <col min="11523" max="11523" width="27.44140625" bestFit="1" customWidth="1"/>
    <col min="11524" max="11524" width="9.6640625" bestFit="1" customWidth="1"/>
    <col min="11525" max="11525" width="9.33203125" bestFit="1" customWidth="1"/>
    <col min="11526" max="11526" width="10" customWidth="1"/>
    <col min="11528" max="11528" width="9.6640625" bestFit="1" customWidth="1"/>
    <col min="11778" max="11778" width="2.6640625" customWidth="1"/>
    <col min="11779" max="11779" width="27.44140625" bestFit="1" customWidth="1"/>
    <col min="11780" max="11780" width="9.6640625" bestFit="1" customWidth="1"/>
    <col min="11781" max="11781" width="9.33203125" bestFit="1" customWidth="1"/>
    <col min="11782" max="11782" width="10" customWidth="1"/>
    <col min="11784" max="11784" width="9.6640625" bestFit="1" customWidth="1"/>
    <col min="12034" max="12034" width="2.6640625" customWidth="1"/>
    <col min="12035" max="12035" width="27.44140625" bestFit="1" customWidth="1"/>
    <col min="12036" max="12036" width="9.6640625" bestFit="1" customWidth="1"/>
    <col min="12037" max="12037" width="9.33203125" bestFit="1" customWidth="1"/>
    <col min="12038" max="12038" width="10" customWidth="1"/>
    <col min="12040" max="12040" width="9.6640625" bestFit="1" customWidth="1"/>
    <col min="12290" max="12290" width="2.6640625" customWidth="1"/>
    <col min="12291" max="12291" width="27.44140625" bestFit="1" customWidth="1"/>
    <col min="12292" max="12292" width="9.6640625" bestFit="1" customWidth="1"/>
    <col min="12293" max="12293" width="9.33203125" bestFit="1" customWidth="1"/>
    <col min="12294" max="12294" width="10" customWidth="1"/>
    <col min="12296" max="12296" width="9.6640625" bestFit="1" customWidth="1"/>
    <col min="12546" max="12546" width="2.6640625" customWidth="1"/>
    <col min="12547" max="12547" width="27.44140625" bestFit="1" customWidth="1"/>
    <col min="12548" max="12548" width="9.6640625" bestFit="1" customWidth="1"/>
    <col min="12549" max="12549" width="9.33203125" bestFit="1" customWidth="1"/>
    <col min="12550" max="12550" width="10" customWidth="1"/>
    <col min="12552" max="12552" width="9.6640625" bestFit="1" customWidth="1"/>
    <col min="12802" max="12802" width="2.6640625" customWidth="1"/>
    <col min="12803" max="12803" width="27.44140625" bestFit="1" customWidth="1"/>
    <col min="12804" max="12804" width="9.6640625" bestFit="1" customWidth="1"/>
    <col min="12805" max="12805" width="9.33203125" bestFit="1" customWidth="1"/>
    <col min="12806" max="12806" width="10" customWidth="1"/>
    <col min="12808" max="12808" width="9.6640625" bestFit="1" customWidth="1"/>
    <col min="13058" max="13058" width="2.6640625" customWidth="1"/>
    <col min="13059" max="13059" width="27.44140625" bestFit="1" customWidth="1"/>
    <col min="13060" max="13060" width="9.6640625" bestFit="1" customWidth="1"/>
    <col min="13061" max="13061" width="9.33203125" bestFit="1" customWidth="1"/>
    <col min="13062" max="13062" width="10" customWidth="1"/>
    <col min="13064" max="13064" width="9.6640625" bestFit="1" customWidth="1"/>
    <col min="13314" max="13314" width="2.6640625" customWidth="1"/>
    <col min="13315" max="13315" width="27.44140625" bestFit="1" customWidth="1"/>
    <col min="13316" max="13316" width="9.6640625" bestFit="1" customWidth="1"/>
    <col min="13317" max="13317" width="9.33203125" bestFit="1" customWidth="1"/>
    <col min="13318" max="13318" width="10" customWidth="1"/>
    <col min="13320" max="13320" width="9.6640625" bestFit="1" customWidth="1"/>
    <col min="13570" max="13570" width="2.6640625" customWidth="1"/>
    <col min="13571" max="13571" width="27.44140625" bestFit="1" customWidth="1"/>
    <col min="13572" max="13572" width="9.6640625" bestFit="1" customWidth="1"/>
    <col min="13573" max="13573" width="9.33203125" bestFit="1" customWidth="1"/>
    <col min="13574" max="13574" width="10" customWidth="1"/>
    <col min="13576" max="13576" width="9.6640625" bestFit="1" customWidth="1"/>
    <col min="13826" max="13826" width="2.6640625" customWidth="1"/>
    <col min="13827" max="13827" width="27.44140625" bestFit="1" customWidth="1"/>
    <col min="13828" max="13828" width="9.6640625" bestFit="1" customWidth="1"/>
    <col min="13829" max="13829" width="9.33203125" bestFit="1" customWidth="1"/>
    <col min="13830" max="13830" width="10" customWidth="1"/>
    <col min="13832" max="13832" width="9.6640625" bestFit="1" customWidth="1"/>
    <col min="14082" max="14082" width="2.6640625" customWidth="1"/>
    <col min="14083" max="14083" width="27.44140625" bestFit="1" customWidth="1"/>
    <col min="14084" max="14084" width="9.6640625" bestFit="1" customWidth="1"/>
    <col min="14085" max="14085" width="9.33203125" bestFit="1" customWidth="1"/>
    <col min="14086" max="14086" width="10" customWidth="1"/>
    <col min="14088" max="14088" width="9.6640625" bestFit="1" customWidth="1"/>
    <col min="14338" max="14338" width="2.6640625" customWidth="1"/>
    <col min="14339" max="14339" width="27.44140625" bestFit="1" customWidth="1"/>
    <col min="14340" max="14340" width="9.6640625" bestFit="1" customWidth="1"/>
    <col min="14341" max="14341" width="9.33203125" bestFit="1" customWidth="1"/>
    <col min="14342" max="14342" width="10" customWidth="1"/>
    <col min="14344" max="14344" width="9.6640625" bestFit="1" customWidth="1"/>
    <col min="14594" max="14594" width="2.6640625" customWidth="1"/>
    <col min="14595" max="14595" width="27.44140625" bestFit="1" customWidth="1"/>
    <col min="14596" max="14596" width="9.6640625" bestFit="1" customWidth="1"/>
    <col min="14597" max="14597" width="9.33203125" bestFit="1" customWidth="1"/>
    <col min="14598" max="14598" width="10" customWidth="1"/>
    <col min="14600" max="14600" width="9.6640625" bestFit="1" customWidth="1"/>
    <col min="14850" max="14850" width="2.6640625" customWidth="1"/>
    <col min="14851" max="14851" width="27.44140625" bestFit="1" customWidth="1"/>
    <col min="14852" max="14852" width="9.6640625" bestFit="1" customWidth="1"/>
    <col min="14853" max="14853" width="9.33203125" bestFit="1" customWidth="1"/>
    <col min="14854" max="14854" width="10" customWidth="1"/>
    <col min="14856" max="14856" width="9.6640625" bestFit="1" customWidth="1"/>
    <col min="15106" max="15106" width="2.6640625" customWidth="1"/>
    <col min="15107" max="15107" width="27.44140625" bestFit="1" customWidth="1"/>
    <col min="15108" max="15108" width="9.6640625" bestFit="1" customWidth="1"/>
    <col min="15109" max="15109" width="9.33203125" bestFit="1" customWidth="1"/>
    <col min="15110" max="15110" width="10" customWidth="1"/>
    <col min="15112" max="15112" width="9.6640625" bestFit="1" customWidth="1"/>
    <col min="15362" max="15362" width="2.6640625" customWidth="1"/>
    <col min="15363" max="15363" width="27.44140625" bestFit="1" customWidth="1"/>
    <col min="15364" max="15364" width="9.6640625" bestFit="1" customWidth="1"/>
    <col min="15365" max="15365" width="9.33203125" bestFit="1" customWidth="1"/>
    <col min="15366" max="15366" width="10" customWidth="1"/>
    <col min="15368" max="15368" width="9.6640625" bestFit="1" customWidth="1"/>
    <col min="15618" max="15618" width="2.6640625" customWidth="1"/>
    <col min="15619" max="15619" width="27.44140625" bestFit="1" customWidth="1"/>
    <col min="15620" max="15620" width="9.6640625" bestFit="1" customWidth="1"/>
    <col min="15621" max="15621" width="9.33203125" bestFit="1" customWidth="1"/>
    <col min="15622" max="15622" width="10" customWidth="1"/>
    <col min="15624" max="15624" width="9.6640625" bestFit="1" customWidth="1"/>
    <col min="15874" max="15874" width="2.6640625" customWidth="1"/>
    <col min="15875" max="15875" width="27.44140625" bestFit="1" customWidth="1"/>
    <col min="15876" max="15876" width="9.6640625" bestFit="1" customWidth="1"/>
    <col min="15877" max="15877" width="9.33203125" bestFit="1" customWidth="1"/>
    <col min="15878" max="15878" width="10" customWidth="1"/>
    <col min="15880" max="15880" width="9.6640625" bestFit="1" customWidth="1"/>
    <col min="16130" max="16130" width="2.6640625" customWidth="1"/>
    <col min="16131" max="16131" width="27.44140625" bestFit="1" customWidth="1"/>
    <col min="16132" max="16132" width="9.6640625" bestFit="1" customWidth="1"/>
    <col min="16133" max="16133" width="9.33203125" bestFit="1" customWidth="1"/>
    <col min="16134" max="16134" width="10" customWidth="1"/>
    <col min="16136" max="16136" width="9.6640625" bestFit="1" customWidth="1"/>
  </cols>
  <sheetData>
    <row r="2" spans="2:26" ht="18" x14ac:dyDescent="0.35">
      <c r="B2" s="597" t="str">
        <f>"WACC Analysis - "&amp;TEXT(Company_Name,"")</f>
        <v>WACC Analysis - Jazz Pharmaceuticals plc</v>
      </c>
      <c r="C2" s="598"/>
    </row>
    <row r="3" spans="2:26" x14ac:dyDescent="0.3">
      <c r="B3" s="293" t="str">
        <f>+'JAZZ-Model-DCF'!$B$3</f>
        <v>($ in Millions Except Per Share and Per Unit Data)</v>
      </c>
    </row>
    <row r="5" spans="2:26" x14ac:dyDescent="0.3">
      <c r="B5" s="599" t="s">
        <v>416</v>
      </c>
      <c r="C5" s="600"/>
      <c r="D5" s="601"/>
      <c r="E5" s="601"/>
      <c r="F5" s="602"/>
      <c r="G5" s="686"/>
      <c r="H5" s="686"/>
      <c r="N5" s="712"/>
      <c r="O5" s="712"/>
      <c r="P5" s="712"/>
      <c r="Q5" s="712"/>
      <c r="R5" s="712"/>
      <c r="S5" s="712"/>
      <c r="T5" s="712"/>
      <c r="U5" s="712"/>
      <c r="V5" s="712"/>
      <c r="W5" s="712"/>
      <c r="X5" s="712"/>
      <c r="Y5" s="712"/>
      <c r="Z5" s="582"/>
    </row>
    <row r="6" spans="2:26" x14ac:dyDescent="0.3">
      <c r="B6" s="566" t="s">
        <v>417</v>
      </c>
      <c r="C6" s="566"/>
      <c r="D6" s="582"/>
      <c r="E6" s="582"/>
      <c r="F6" s="683">
        <v>2.6200000000000001E-2</v>
      </c>
      <c r="G6" s="683"/>
      <c r="H6" s="683"/>
      <c r="N6" s="712"/>
      <c r="O6" s="712"/>
      <c r="P6" s="712"/>
      <c r="Q6" s="712"/>
      <c r="R6" s="712"/>
      <c r="S6" s="712"/>
      <c r="T6" s="712"/>
      <c r="U6" s="712"/>
      <c r="V6" s="712"/>
      <c r="W6" s="712"/>
      <c r="X6" s="712"/>
      <c r="Y6" s="712"/>
      <c r="Z6" s="712"/>
    </row>
    <row r="7" spans="2:26" x14ac:dyDescent="0.3">
      <c r="B7" s="566" t="s">
        <v>418</v>
      </c>
      <c r="C7" s="566"/>
      <c r="D7" s="582"/>
      <c r="E7" s="582"/>
      <c r="F7" s="683">
        <v>7.0000000000000007E-2</v>
      </c>
      <c r="G7" s="683"/>
      <c r="H7" s="683"/>
      <c r="N7" s="712"/>
      <c r="O7" s="712"/>
      <c r="P7" s="712"/>
      <c r="Q7" s="712"/>
      <c r="R7" s="712"/>
      <c r="S7" s="712"/>
      <c r="T7" s="712"/>
      <c r="U7" s="712"/>
      <c r="V7" s="712"/>
      <c r="W7" s="712"/>
      <c r="X7" s="712"/>
      <c r="Y7" s="712"/>
      <c r="Z7" s="712"/>
    </row>
    <row r="8" spans="2:26" x14ac:dyDescent="0.3">
      <c r="B8" s="566" t="s">
        <v>465</v>
      </c>
      <c r="C8" s="566"/>
      <c r="D8" s="582"/>
      <c r="E8" s="582"/>
      <c r="F8" s="683">
        <v>3.4200000000000001E-2</v>
      </c>
      <c r="G8" s="683"/>
      <c r="H8" s="683"/>
      <c r="I8" s="603"/>
      <c r="J8" s="603"/>
      <c r="N8" s="712"/>
      <c r="O8" s="712"/>
      <c r="P8" s="712"/>
      <c r="Q8" s="712"/>
      <c r="R8" s="712"/>
      <c r="S8" s="712"/>
      <c r="T8" s="712"/>
      <c r="U8" s="712"/>
      <c r="V8" s="712"/>
      <c r="W8" s="712"/>
      <c r="X8" s="712"/>
      <c r="Y8" s="712"/>
      <c r="Z8" s="712"/>
    </row>
    <row r="9" spans="2:26" x14ac:dyDescent="0.3">
      <c r="B9" s="566" t="s">
        <v>448</v>
      </c>
      <c r="C9" s="566"/>
      <c r="D9" s="582"/>
      <c r="E9" s="582"/>
      <c r="F9" s="683">
        <v>0</v>
      </c>
      <c r="G9" s="683"/>
      <c r="H9" s="683"/>
      <c r="I9" s="603"/>
      <c r="J9" s="603"/>
      <c r="N9" s="712"/>
      <c r="O9" s="712"/>
      <c r="P9" s="712"/>
      <c r="Q9" s="712"/>
      <c r="R9" s="712"/>
      <c r="S9" s="712"/>
      <c r="T9" s="712"/>
      <c r="U9" s="712"/>
      <c r="V9" s="712"/>
      <c r="W9" s="712"/>
      <c r="X9" s="712"/>
      <c r="Y9" s="712"/>
      <c r="Z9" s="712"/>
    </row>
    <row r="10" spans="2:26" x14ac:dyDescent="0.3">
      <c r="N10" s="712"/>
      <c r="O10" s="712"/>
      <c r="P10" s="712"/>
      <c r="Q10" s="712"/>
      <c r="R10" s="712"/>
      <c r="S10" s="712"/>
      <c r="T10" s="712"/>
      <c r="U10" s="712"/>
      <c r="V10" s="712"/>
      <c r="W10" s="712"/>
      <c r="X10" s="712"/>
      <c r="Y10" s="712"/>
      <c r="Z10" s="712"/>
    </row>
    <row r="11" spans="2:26" hidden="1" outlineLevel="1" x14ac:dyDescent="0.3">
      <c r="B11" s="680">
        <f>+Inputs!$F$13</f>
        <v>2</v>
      </c>
      <c r="C11" s="681"/>
      <c r="D11" s="681">
        <f>+Inputs!$F$35</f>
        <v>71</v>
      </c>
      <c r="E11" s="681">
        <f>+Inputs!$F$36</f>
        <v>28</v>
      </c>
      <c r="F11" s="681"/>
      <c r="G11" s="681">
        <f>+Inputs!$F$37</f>
        <v>29</v>
      </c>
      <c r="H11" s="681"/>
      <c r="I11" s="680">
        <f>+Inputs!$F$15</f>
        <v>69</v>
      </c>
      <c r="J11" s="680"/>
      <c r="K11" s="681">
        <f>+Inputs!$F$38</f>
        <v>19</v>
      </c>
      <c r="N11" s="712"/>
      <c r="O11" s="712"/>
      <c r="P11" s="712"/>
      <c r="Q11" s="712"/>
      <c r="R11" s="712"/>
      <c r="S11" s="712"/>
      <c r="T11" s="712"/>
      <c r="U11" s="712"/>
      <c r="V11" s="712"/>
      <c r="W11" s="712"/>
      <c r="X11" s="712"/>
      <c r="Y11" s="712"/>
      <c r="Z11" s="712"/>
    </row>
    <row r="12" spans="2:26" collapsed="1" x14ac:dyDescent="0.3">
      <c r="B12" s="604" t="s">
        <v>419</v>
      </c>
      <c r="C12" s="605"/>
      <c r="D12" s="605"/>
      <c r="E12" s="605"/>
      <c r="F12" s="605"/>
      <c r="G12" s="605"/>
      <c r="H12" s="605"/>
      <c r="I12" s="605"/>
      <c r="J12" s="605"/>
      <c r="K12" s="605"/>
      <c r="L12" s="606"/>
      <c r="N12" s="712"/>
      <c r="O12" s="713"/>
      <c r="P12" s="712"/>
      <c r="Q12" s="712"/>
      <c r="R12" s="712"/>
      <c r="S12" s="712"/>
      <c r="T12" s="712"/>
      <c r="U12" s="712"/>
      <c r="V12" s="712"/>
      <c r="W12" s="712"/>
      <c r="X12" s="712"/>
      <c r="Y12" s="712"/>
      <c r="Z12" s="712"/>
    </row>
    <row r="13" spans="2:26" x14ac:dyDescent="0.3">
      <c r="B13" s="607"/>
      <c r="C13" s="608"/>
      <c r="D13" s="609" t="s">
        <v>420</v>
      </c>
      <c r="E13" s="609"/>
      <c r="F13" s="609"/>
      <c r="G13" s="609" t="s">
        <v>449</v>
      </c>
      <c r="H13" s="609"/>
      <c r="I13" s="609" t="s">
        <v>241</v>
      </c>
      <c r="J13" s="609"/>
      <c r="K13" s="609"/>
      <c r="L13" s="610" t="s">
        <v>421</v>
      </c>
      <c r="N13" s="712"/>
      <c r="O13" s="712"/>
      <c r="P13" s="712"/>
      <c r="Q13" s="712"/>
      <c r="R13" s="712"/>
      <c r="S13" s="712"/>
      <c r="T13" s="712"/>
      <c r="U13" s="712"/>
      <c r="V13" s="712"/>
      <c r="W13" s="712"/>
      <c r="X13" s="712"/>
      <c r="Y13" s="712"/>
      <c r="Z13" s="712"/>
    </row>
    <row r="14" spans="2:26" x14ac:dyDescent="0.3">
      <c r="B14" s="611" t="s">
        <v>422</v>
      </c>
      <c r="C14" s="612" t="s">
        <v>247</v>
      </c>
      <c r="D14" s="613" t="s">
        <v>423</v>
      </c>
      <c r="E14" s="613" t="s">
        <v>235</v>
      </c>
      <c r="F14" s="613" t="s">
        <v>450</v>
      </c>
      <c r="G14" s="613" t="s">
        <v>451</v>
      </c>
      <c r="H14" s="613" t="s">
        <v>452</v>
      </c>
      <c r="I14" s="613" t="s">
        <v>249</v>
      </c>
      <c r="J14" s="613" t="s">
        <v>453</v>
      </c>
      <c r="K14" s="613" t="s">
        <v>236</v>
      </c>
      <c r="L14" s="614" t="s">
        <v>423</v>
      </c>
      <c r="N14" s="712"/>
      <c r="O14" s="712"/>
      <c r="P14" s="712"/>
      <c r="Q14" s="712"/>
      <c r="R14" s="712"/>
      <c r="S14" s="712"/>
      <c r="T14" s="712"/>
      <c r="U14" s="712"/>
      <c r="V14" s="712"/>
      <c r="W14" s="712"/>
      <c r="X14" s="712"/>
      <c r="Y14" s="712"/>
      <c r="Z14" s="712"/>
    </row>
    <row r="15" spans="2:26" x14ac:dyDescent="0.3">
      <c r="B15" s="582" t="str">
        <f t="shared" ref="B15:B21" si="0">HLOOKUP($C15,Comps_Range,B$11,FALSE)</f>
        <v>Alexion Pharmaceuticals, Inc.</v>
      </c>
      <c r="C15" s="582" t="s">
        <v>252</v>
      </c>
      <c r="D15" s="615">
        <f t="shared" ref="D15:E21" si="1">HLOOKUP($C15,Comps_Range,D$11,FALSE)</f>
        <v>0.64</v>
      </c>
      <c r="E15" s="687">
        <f t="shared" si="1"/>
        <v>93.5</v>
      </c>
      <c r="F15" s="616">
        <f>+E15/($E15+$G15+$I15)</f>
        <v>2.9933352096208786E-3</v>
      </c>
      <c r="G15" s="687">
        <f t="shared" ref="G15:G21" si="2">HLOOKUP($C15,Comps_Range,G$11,FALSE)</f>
        <v>0</v>
      </c>
      <c r="H15" s="616">
        <f>+G15/($E15+$G15+$I15)</f>
        <v>0</v>
      </c>
      <c r="I15" s="687">
        <f t="shared" ref="I15:I21" si="3">HLOOKUP($C15,Comps_Range,I$11,FALSE)</f>
        <v>31142.560598720003</v>
      </c>
      <c r="J15" s="616">
        <f>+I15/($E15+$G15+$I15)</f>
        <v>0.99700666479037914</v>
      </c>
      <c r="K15" s="616">
        <f t="shared" ref="K15:K21" si="4">HLOOKUP($C15,Comps_Range,K$11,FALSE)</f>
        <v>0.17</v>
      </c>
      <c r="L15" s="682">
        <f>D15/(1+(E15/I15)*(1-K15)+G15/I15)</f>
        <v>0.63840913079583295</v>
      </c>
      <c r="N15" s="712"/>
      <c r="O15" s="713"/>
      <c r="P15" s="712"/>
      <c r="Q15" s="712"/>
      <c r="R15" s="712"/>
      <c r="S15" s="712"/>
      <c r="T15" s="712"/>
      <c r="U15" s="712"/>
      <c r="V15" s="712"/>
      <c r="W15" s="712"/>
      <c r="X15" s="712"/>
      <c r="Y15" s="712"/>
      <c r="Z15" s="712"/>
    </row>
    <row r="16" spans="2:26" x14ac:dyDescent="0.3">
      <c r="B16" s="582" t="str">
        <f t="shared" si="0"/>
        <v>Vertex Pharmaceuticals Inc.</v>
      </c>
      <c r="C16" s="582" t="s">
        <v>251</v>
      </c>
      <c r="D16" s="615">
        <f t="shared" si="1"/>
        <v>0.35</v>
      </c>
      <c r="E16" s="688">
        <f t="shared" si="1"/>
        <v>473.36</v>
      </c>
      <c r="F16" s="616">
        <f t="shared" ref="F16:H21" si="5">+E16/($E16+$G16+$I16)</f>
        <v>2.9287061910404935E-2</v>
      </c>
      <c r="G16" s="688">
        <f t="shared" si="2"/>
        <v>0</v>
      </c>
      <c r="H16" s="616">
        <f t="shared" si="5"/>
        <v>0</v>
      </c>
      <c r="I16" s="688">
        <f t="shared" si="3"/>
        <v>15689.408441849999</v>
      </c>
      <c r="J16" s="616">
        <f t="shared" ref="J16" si="6">+I16/($E16+$G16+$I16)</f>
        <v>0.97071293808959502</v>
      </c>
      <c r="K16" s="616">
        <f t="shared" si="4"/>
        <v>0.2</v>
      </c>
      <c r="L16" s="682">
        <f t="shared" ref="L16:L21" si="7">D16/(1+(E16/I16)*(1-K16)+G16/I16)</f>
        <v>0.34175130666661968</v>
      </c>
      <c r="N16" s="712"/>
      <c r="O16" s="712"/>
      <c r="P16" s="712"/>
      <c r="Q16" s="712"/>
      <c r="R16" s="712"/>
      <c r="S16" s="712"/>
      <c r="T16" s="712"/>
      <c r="U16" s="712"/>
      <c r="V16" s="712"/>
      <c r="W16" s="712"/>
      <c r="X16" s="712"/>
      <c r="Y16" s="712"/>
      <c r="Z16" s="712"/>
    </row>
    <row r="17" spans="2:26" x14ac:dyDescent="0.3">
      <c r="B17" s="582" t="str">
        <f t="shared" si="0"/>
        <v>BioMarin Pharmaceutical Inc.</v>
      </c>
      <c r="C17" s="582" t="s">
        <v>256</v>
      </c>
      <c r="D17" s="615">
        <f t="shared" si="1"/>
        <v>0.92</v>
      </c>
      <c r="E17" s="688">
        <f t="shared" si="1"/>
        <v>828.36</v>
      </c>
      <c r="F17" s="616">
        <f t="shared" si="5"/>
        <v>8.3412475613542508E-2</v>
      </c>
      <c r="G17" s="688">
        <f t="shared" si="2"/>
        <v>0</v>
      </c>
      <c r="H17" s="616">
        <f t="shared" si="5"/>
        <v>0</v>
      </c>
      <c r="I17" s="688">
        <f t="shared" si="3"/>
        <v>9102.528562016385</v>
      </c>
      <c r="J17" s="616">
        <f t="shared" ref="J17" si="8">+I17/($E17+$G17+$I17)</f>
        <v>0.91658752438645741</v>
      </c>
      <c r="K17" s="616">
        <f t="shared" si="4"/>
        <v>0.27</v>
      </c>
      <c r="L17" s="682">
        <f t="shared" si="7"/>
        <v>0.86268946981351857</v>
      </c>
      <c r="N17" s="712"/>
      <c r="O17" s="713"/>
      <c r="P17" s="713"/>
      <c r="Q17" s="713"/>
      <c r="R17" s="713"/>
      <c r="S17" s="713"/>
      <c r="T17" s="713"/>
      <c r="U17" s="713"/>
      <c r="V17" s="713"/>
      <c r="W17" s="713"/>
      <c r="X17" s="713"/>
      <c r="Y17" s="713"/>
      <c r="Z17" s="712"/>
    </row>
    <row r="18" spans="2:26" x14ac:dyDescent="0.3">
      <c r="B18" s="582" t="str">
        <f t="shared" si="0"/>
        <v>Salix Pharmaceuticals, Ltd.</v>
      </c>
      <c r="C18" s="582" t="s">
        <v>253</v>
      </c>
      <c r="D18" s="617">
        <f t="shared" si="1"/>
        <v>1.18</v>
      </c>
      <c r="E18" s="688">
        <f t="shared" si="1"/>
        <v>1944.4349999999999</v>
      </c>
      <c r="F18" s="616">
        <f t="shared" si="5"/>
        <v>0.20007670094580343</v>
      </c>
      <c r="G18" s="688">
        <f t="shared" si="2"/>
        <v>0</v>
      </c>
      <c r="H18" s="616">
        <f t="shared" si="5"/>
        <v>0</v>
      </c>
      <c r="I18" s="688">
        <f t="shared" si="3"/>
        <v>7774.0129292604206</v>
      </c>
      <c r="J18" s="616">
        <f t="shared" ref="J18" si="9">+I18/($E18+$G18+$I18)</f>
        <v>0.79992329905419657</v>
      </c>
      <c r="K18" s="616">
        <f t="shared" si="4"/>
        <v>0.35</v>
      </c>
      <c r="L18" s="682">
        <f t="shared" si="7"/>
        <v>1.0149857424862376</v>
      </c>
      <c r="N18" s="712"/>
      <c r="O18" s="720"/>
      <c r="P18" s="720"/>
      <c r="Q18" s="720"/>
      <c r="R18" s="720"/>
      <c r="S18" s="712"/>
      <c r="T18" s="721"/>
      <c r="U18" s="721"/>
      <c r="V18" s="712"/>
      <c r="W18" s="720"/>
      <c r="X18" s="713"/>
      <c r="Y18" s="720"/>
      <c r="Z18" s="712"/>
    </row>
    <row r="19" spans="2:26" x14ac:dyDescent="0.3">
      <c r="B19" s="582" t="str">
        <f t="shared" si="0"/>
        <v>Cubist Pharmaceuticals, Inc.</v>
      </c>
      <c r="C19" s="582" t="s">
        <v>255</v>
      </c>
      <c r="D19" s="617">
        <f t="shared" si="1"/>
        <v>0.65</v>
      </c>
      <c r="E19" s="688">
        <f t="shared" si="1"/>
        <v>945.22</v>
      </c>
      <c r="F19" s="616">
        <f t="shared" si="5"/>
        <v>0.13877792051855734</v>
      </c>
      <c r="G19" s="688">
        <f t="shared" si="2"/>
        <v>0</v>
      </c>
      <c r="H19" s="616">
        <f t="shared" si="5"/>
        <v>0</v>
      </c>
      <c r="I19" s="688">
        <f t="shared" si="3"/>
        <v>5865.8058207364156</v>
      </c>
      <c r="J19" s="616">
        <f t="shared" ref="J19" si="10">+I19/($E19+$G19+$I19)</f>
        <v>0.86122207948144258</v>
      </c>
      <c r="K19" s="616">
        <f t="shared" si="4"/>
        <v>0.27</v>
      </c>
      <c r="L19" s="682">
        <f t="shared" si="7"/>
        <v>0.58158641712703429</v>
      </c>
      <c r="N19" s="712"/>
      <c r="O19" s="720"/>
      <c r="P19" s="720"/>
      <c r="Q19" s="720"/>
      <c r="R19" s="720"/>
      <c r="S19" s="712"/>
      <c r="T19" s="720"/>
      <c r="U19" s="720"/>
      <c r="V19" s="712"/>
      <c r="W19" s="720"/>
      <c r="X19" s="713"/>
      <c r="Y19" s="720"/>
      <c r="Z19" s="712"/>
    </row>
    <row r="20" spans="2:26" x14ac:dyDescent="0.3">
      <c r="B20" s="582" t="str">
        <f t="shared" si="0"/>
        <v>United Therapeutics Corporation</v>
      </c>
      <c r="C20" s="582" t="s">
        <v>254</v>
      </c>
      <c r="D20" s="617">
        <f t="shared" si="1"/>
        <v>1.44</v>
      </c>
      <c r="E20" s="688">
        <f t="shared" si="1"/>
        <v>70.314000000000007</v>
      </c>
      <c r="F20" s="616">
        <f t="shared" si="5"/>
        <v>1.1854563698333005E-2</v>
      </c>
      <c r="G20" s="688">
        <f t="shared" si="2"/>
        <v>0</v>
      </c>
      <c r="H20" s="616">
        <f t="shared" si="5"/>
        <v>0</v>
      </c>
      <c r="I20" s="688">
        <f t="shared" si="3"/>
        <v>5861.0725772966071</v>
      </c>
      <c r="J20" s="616">
        <f t="shared" ref="J20" si="11">+I20/($E20+$G20+$I20)</f>
        <v>0.98814543630166696</v>
      </c>
      <c r="K20" s="616">
        <f t="shared" si="4"/>
        <v>0.35</v>
      </c>
      <c r="L20" s="682">
        <f t="shared" si="7"/>
        <v>1.4288578987160689</v>
      </c>
      <c r="N20" s="712"/>
      <c r="O20" s="717"/>
      <c r="P20" s="716"/>
      <c r="Q20" s="718"/>
      <c r="R20" s="717"/>
      <c r="S20" s="713"/>
      <c r="T20" s="716"/>
      <c r="U20" s="716"/>
      <c r="V20" s="713"/>
      <c r="W20" s="716"/>
      <c r="X20" s="713"/>
      <c r="Y20" s="716"/>
      <c r="Z20" s="712"/>
    </row>
    <row r="21" spans="2:26" x14ac:dyDescent="0.3">
      <c r="B21" s="582" t="str">
        <f t="shared" si="0"/>
        <v xml:space="preserve">The Medicines Company </v>
      </c>
      <c r="C21" s="582" t="s">
        <v>257</v>
      </c>
      <c r="D21" s="617">
        <f t="shared" si="1"/>
        <v>0.79</v>
      </c>
      <c r="E21" s="688">
        <f t="shared" si="1"/>
        <v>263</v>
      </c>
      <c r="F21" s="616">
        <f t="shared" si="5"/>
        <v>0.13402304931941833</v>
      </c>
      <c r="G21" s="688">
        <f t="shared" si="2"/>
        <v>0</v>
      </c>
      <c r="H21" s="616">
        <f t="shared" si="5"/>
        <v>0</v>
      </c>
      <c r="I21" s="688">
        <f t="shared" si="3"/>
        <v>1699.3490238099998</v>
      </c>
      <c r="J21" s="616">
        <f t="shared" ref="J21" si="12">+I21/($E21+$G21+$I21)</f>
        <v>0.86597695068058167</v>
      </c>
      <c r="K21" s="616">
        <f t="shared" si="4"/>
        <v>0.36</v>
      </c>
      <c r="L21" s="682">
        <f t="shared" si="7"/>
        <v>0.71880280268891616</v>
      </c>
      <c r="N21" s="712"/>
      <c r="O21" s="716"/>
      <c r="P21" s="716"/>
      <c r="Q21" s="718"/>
      <c r="R21" s="717"/>
      <c r="S21" s="713"/>
      <c r="T21" s="716"/>
      <c r="U21" s="716"/>
      <c r="V21" s="713"/>
      <c r="W21" s="716"/>
      <c r="X21" s="713"/>
      <c r="Y21" s="716"/>
      <c r="Z21" s="712"/>
    </row>
    <row r="22" spans="2:26" x14ac:dyDescent="0.3">
      <c r="B22" s="582"/>
      <c r="C22" s="582"/>
      <c r="D22" s="582"/>
      <c r="E22" s="582"/>
      <c r="F22" s="582"/>
      <c r="G22" s="582"/>
      <c r="H22" s="582"/>
      <c r="I22" s="582"/>
      <c r="J22" s="582"/>
      <c r="K22" s="582"/>
      <c r="L22" s="582"/>
      <c r="N22" s="712"/>
      <c r="O22" s="716"/>
      <c r="P22" s="716"/>
      <c r="Q22" s="718"/>
      <c r="R22" s="717"/>
      <c r="S22" s="712"/>
      <c r="T22" s="716"/>
      <c r="U22" s="716"/>
      <c r="V22" s="712"/>
      <c r="W22" s="716"/>
      <c r="X22" s="712"/>
      <c r="Y22" s="716"/>
      <c r="Z22" s="712"/>
    </row>
    <row r="23" spans="2:26" x14ac:dyDescent="0.3">
      <c r="B23" s="618" t="s">
        <v>454</v>
      </c>
      <c r="C23" s="684"/>
      <c r="D23" s="689">
        <f>MEDIAN(D15:D21)</f>
        <v>0.79</v>
      </c>
      <c r="E23" s="690">
        <f t="shared" ref="E23:L23" si="13">MEDIAN(E15:E21)</f>
        <v>473.36</v>
      </c>
      <c r="F23" s="691">
        <f t="shared" si="13"/>
        <v>8.3412475613542508E-2</v>
      </c>
      <c r="G23" s="690">
        <f t="shared" si="13"/>
        <v>0</v>
      </c>
      <c r="H23" s="691">
        <f t="shared" si="13"/>
        <v>0</v>
      </c>
      <c r="I23" s="690">
        <f t="shared" si="13"/>
        <v>7774.0129292604206</v>
      </c>
      <c r="J23" s="691">
        <f t="shared" si="13"/>
        <v>0.91658752438645741</v>
      </c>
      <c r="K23" s="691">
        <f t="shared" si="13"/>
        <v>0.27</v>
      </c>
      <c r="L23" s="619">
        <f t="shared" si="13"/>
        <v>0.71880280268891616</v>
      </c>
      <c r="N23" s="712"/>
      <c r="O23" s="716"/>
      <c r="P23" s="716"/>
      <c r="Q23" s="718"/>
      <c r="R23" s="717"/>
      <c r="S23" s="712"/>
      <c r="T23" s="716"/>
      <c r="U23" s="716"/>
      <c r="V23" s="712"/>
      <c r="W23" s="716"/>
      <c r="X23" s="712"/>
      <c r="Y23" s="716"/>
      <c r="Z23" s="712"/>
    </row>
    <row r="24" spans="2:26" x14ac:dyDescent="0.3">
      <c r="N24" s="712"/>
      <c r="O24" s="716"/>
      <c r="P24" s="716"/>
      <c r="Q24" s="718"/>
      <c r="R24" s="717"/>
      <c r="S24" s="712"/>
      <c r="T24" s="716"/>
      <c r="U24" s="716"/>
      <c r="V24" s="712"/>
      <c r="W24" s="716"/>
      <c r="X24" s="712"/>
      <c r="Y24" s="716"/>
      <c r="Z24" s="712"/>
    </row>
    <row r="25" spans="2:26" x14ac:dyDescent="0.3">
      <c r="B25" s="620" t="str">
        <f>HLOOKUP($C25,Comps_Range,B$11,FALSE)</f>
        <v>Jazz Pharmaceuticals plc</v>
      </c>
      <c r="C25" s="621" t="str">
        <f>Ticker</f>
        <v>JAZZ</v>
      </c>
      <c r="D25" s="692">
        <f>HLOOKUP($C25,Comps_Range,D$11,FALSE)</f>
        <v>1.05</v>
      </c>
      <c r="E25" s="622"/>
      <c r="F25" s="622"/>
      <c r="G25" s="622"/>
      <c r="H25" s="622"/>
      <c r="I25" s="622"/>
      <c r="J25" s="622"/>
      <c r="K25" s="623"/>
      <c r="L25" s="624"/>
      <c r="N25" s="712"/>
      <c r="O25" s="716"/>
      <c r="P25" s="716"/>
      <c r="Q25" s="718"/>
      <c r="R25" s="717"/>
      <c r="S25" s="712"/>
      <c r="T25" s="716"/>
      <c r="U25" s="716"/>
      <c r="V25" s="712"/>
      <c r="W25" s="716"/>
      <c r="X25" s="712"/>
      <c r="Y25" s="716"/>
      <c r="Z25" s="712"/>
    </row>
    <row r="26" spans="2:26" x14ac:dyDescent="0.3">
      <c r="N26" s="712"/>
      <c r="O26" s="716"/>
      <c r="P26" s="716"/>
      <c r="Q26" s="718"/>
      <c r="R26" s="717"/>
      <c r="S26" s="712"/>
      <c r="T26" s="716"/>
      <c r="U26" s="716"/>
      <c r="V26" s="712"/>
      <c r="W26" s="716"/>
      <c r="X26" s="712"/>
      <c r="Y26" s="716"/>
      <c r="Z26" s="712"/>
    </row>
    <row r="27" spans="2:26" x14ac:dyDescent="0.3">
      <c r="B27" s="604" t="str">
        <f>TEXT(Company_Name,"")&amp; " - Levered Beta &amp; WACC Calculation"</f>
        <v>Jazz Pharmaceuticals plc - Levered Beta &amp; WACC Calculation</v>
      </c>
      <c r="C27" s="605"/>
      <c r="D27" s="605"/>
      <c r="E27" s="605"/>
      <c r="F27" s="605"/>
      <c r="G27" s="605"/>
      <c r="H27" s="605"/>
      <c r="I27" s="605"/>
      <c r="J27" s="605"/>
      <c r="K27" s="605"/>
      <c r="L27" s="605"/>
      <c r="N27" s="712"/>
      <c r="O27" s="716"/>
      <c r="P27" s="716"/>
      <c r="Q27" s="718"/>
      <c r="R27" s="717"/>
      <c r="S27" s="712"/>
      <c r="T27" s="716"/>
      <c r="U27" s="716"/>
      <c r="V27" s="712"/>
      <c r="W27" s="716"/>
      <c r="X27" s="712"/>
      <c r="Y27" s="716"/>
      <c r="Z27" s="712"/>
    </row>
    <row r="28" spans="2:26" x14ac:dyDescent="0.3">
      <c r="B28" s="607"/>
      <c r="C28" s="608"/>
      <c r="D28" s="609" t="s">
        <v>421</v>
      </c>
      <c r="E28" s="609"/>
      <c r="F28" s="609"/>
      <c r="G28" s="609" t="s">
        <v>449</v>
      </c>
      <c r="H28" s="609"/>
      <c r="I28" s="609" t="s">
        <v>241</v>
      </c>
      <c r="J28" s="609"/>
      <c r="K28" s="609"/>
      <c r="L28" s="609" t="s">
        <v>420</v>
      </c>
      <c r="N28" s="712"/>
      <c r="O28" s="716"/>
      <c r="P28" s="716"/>
      <c r="Q28" s="718"/>
      <c r="R28" s="717"/>
      <c r="S28" s="712"/>
      <c r="T28" s="716"/>
      <c r="U28" s="716"/>
      <c r="V28" s="712"/>
      <c r="W28" s="716"/>
      <c r="X28" s="712"/>
      <c r="Y28" s="716"/>
      <c r="Z28" s="712"/>
    </row>
    <row r="29" spans="2:26" x14ac:dyDescent="0.3">
      <c r="B29" s="611"/>
      <c r="C29" s="612" t="s">
        <v>247</v>
      </c>
      <c r="D29" s="613" t="s">
        <v>423</v>
      </c>
      <c r="E29" s="613" t="s">
        <v>235</v>
      </c>
      <c r="F29" s="613" t="s">
        <v>450</v>
      </c>
      <c r="G29" s="613" t="s">
        <v>451</v>
      </c>
      <c r="H29" s="613" t="s">
        <v>452</v>
      </c>
      <c r="I29" s="613" t="s">
        <v>249</v>
      </c>
      <c r="J29" s="613" t="s">
        <v>453</v>
      </c>
      <c r="K29" s="613" t="s">
        <v>236</v>
      </c>
      <c r="L29" s="613" t="s">
        <v>423</v>
      </c>
      <c r="N29" s="712"/>
      <c r="O29" s="716"/>
      <c r="P29" s="716"/>
      <c r="Q29" s="718"/>
      <c r="R29" s="717"/>
      <c r="S29" s="712"/>
      <c r="T29" s="716"/>
      <c r="U29" s="716"/>
      <c r="V29" s="712"/>
      <c r="W29" s="716"/>
      <c r="X29" s="712"/>
      <c r="Y29" s="716"/>
      <c r="Z29" s="712"/>
    </row>
    <row r="30" spans="2:26" x14ac:dyDescent="0.3">
      <c r="B30" s="700" t="s">
        <v>455</v>
      </c>
      <c r="C30" s="700" t="str">
        <f>Ticker</f>
        <v>JAZZ</v>
      </c>
      <c r="D30" s="701">
        <f>+L23</f>
        <v>0.71880280268891616</v>
      </c>
      <c r="E30" s="702">
        <f t="shared" ref="E30" si="14">HLOOKUP($C30,Comps_Range,E$11,FALSE)</f>
        <v>1198.6089999999999</v>
      </c>
      <c r="F30" s="703">
        <f t="shared" ref="F30" si="15">+E30/($E30+$G30+$I30)</f>
        <v>0.12758519452981765</v>
      </c>
      <c r="G30" s="702">
        <f t="shared" ref="G30" si="16">HLOOKUP($C30,Comps_Range,G$11,FALSE)</f>
        <v>0</v>
      </c>
      <c r="H30" s="703">
        <f t="shared" ref="H30" si="17">+G30/($E30+$G30+$I30)</f>
        <v>0</v>
      </c>
      <c r="I30" s="702">
        <f t="shared" ref="I30" si="18">HLOOKUP($C30,Comps_Range,I$11,FALSE)</f>
        <v>8195.9685167499993</v>
      </c>
      <c r="J30" s="703">
        <f t="shared" ref="J30" si="19">+I30/($E30+$G30+$I30)</f>
        <v>0.87241480547018235</v>
      </c>
      <c r="K30" s="704">
        <f t="shared" ref="K30:K31" si="20">HLOOKUP($C30,Comps_Range,K$11,FALSE)</f>
        <v>0.18</v>
      </c>
      <c r="L30" s="705">
        <f>D30*(1+(E30/I30)*(1-Tax_Rate)+(G30/I30))</f>
        <v>0.80500153265588248</v>
      </c>
      <c r="N30" s="712"/>
      <c r="O30" s="616"/>
      <c r="P30" s="712"/>
      <c r="Q30" s="712"/>
      <c r="R30" s="712"/>
      <c r="S30" s="712"/>
      <c r="T30" s="712"/>
      <c r="U30" s="712"/>
      <c r="V30" s="712"/>
      <c r="W30" s="712"/>
      <c r="X30" s="712"/>
      <c r="Y30" s="712"/>
      <c r="Z30" s="712"/>
    </row>
    <row r="31" spans="2:26" x14ac:dyDescent="0.3">
      <c r="B31" s="537" t="s">
        <v>456</v>
      </c>
      <c r="C31" s="537" t="str">
        <f>Ticker</f>
        <v>JAZZ</v>
      </c>
      <c r="D31" s="706">
        <f>+L23</f>
        <v>0.71880280268891616</v>
      </c>
      <c r="E31" s="707">
        <f>+F31*($E30+$G30+$I30)</f>
        <v>783.6249680154441</v>
      </c>
      <c r="F31" s="708">
        <f>+F23</f>
        <v>8.3412475613542508E-2</v>
      </c>
      <c r="G31" s="707">
        <f>+H31*($E30+$G30+$I30)</f>
        <v>0</v>
      </c>
      <c r="H31" s="708">
        <f>+H23</f>
        <v>0</v>
      </c>
      <c r="I31" s="707">
        <f>+J31*($E30+$G30+$I30)</f>
        <v>8610.9525487345545</v>
      </c>
      <c r="J31" s="708">
        <f>+J23</f>
        <v>0.91658752438645741</v>
      </c>
      <c r="K31" s="709">
        <f t="shared" si="20"/>
        <v>0.18</v>
      </c>
      <c r="L31" s="710">
        <f>D31*(1+(E31/I31)*(1-Tax_Rate)+(G31/I31))</f>
        <v>0.77244180400316897</v>
      </c>
      <c r="N31" s="712"/>
      <c r="O31" s="712"/>
      <c r="P31" s="712"/>
      <c r="Q31" s="712"/>
      <c r="R31" s="712"/>
      <c r="S31" s="712"/>
      <c r="T31" s="712"/>
      <c r="U31" s="712"/>
      <c r="V31" s="712"/>
      <c r="W31" s="712"/>
      <c r="X31" s="712"/>
      <c r="Y31" s="712"/>
      <c r="Z31" s="712"/>
    </row>
    <row r="32" spans="2:26" x14ac:dyDescent="0.3">
      <c r="N32" s="712"/>
      <c r="O32" s="712"/>
      <c r="P32" s="712"/>
      <c r="Q32" s="712"/>
      <c r="R32" s="712"/>
      <c r="S32" s="712"/>
      <c r="T32" s="712"/>
      <c r="U32" s="712"/>
      <c r="V32" s="712"/>
      <c r="W32" s="712"/>
      <c r="X32" s="712"/>
      <c r="Y32" s="712"/>
      <c r="Z32" s="712"/>
    </row>
    <row r="33" spans="2:26" x14ac:dyDescent="0.3">
      <c r="B33" s="625" t="s">
        <v>457</v>
      </c>
      <c r="C33" s="626"/>
      <c r="D33" s="626"/>
      <c r="E33" s="626"/>
      <c r="F33" s="626"/>
      <c r="G33" s="626"/>
      <c r="H33" s="626"/>
      <c r="I33" s="626"/>
      <c r="J33" s="626"/>
      <c r="K33" s="626"/>
      <c r="L33" s="627">
        <f>+Risk_Free_Rate+Equity_Risk_Premium*L30</f>
        <v>8.2550107285911778E-2</v>
      </c>
      <c r="N33" s="712"/>
      <c r="O33" s="712"/>
      <c r="P33" s="712"/>
      <c r="Q33" s="712"/>
      <c r="R33" s="712"/>
      <c r="S33" s="712"/>
      <c r="T33" s="712"/>
      <c r="U33" s="712"/>
      <c r="V33" s="712"/>
      <c r="W33" s="712"/>
      <c r="X33" s="712"/>
      <c r="Y33" s="712"/>
      <c r="Z33" s="712"/>
    </row>
    <row r="34" spans="2:26" x14ac:dyDescent="0.3">
      <c r="B34" s="693" t="s">
        <v>458</v>
      </c>
      <c r="C34" s="694"/>
      <c r="D34" s="694"/>
      <c r="E34" s="694"/>
      <c r="F34" s="694"/>
      <c r="G34" s="694"/>
      <c r="H34" s="694"/>
      <c r="I34" s="694"/>
      <c r="J34" s="694"/>
      <c r="K34" s="694"/>
      <c r="L34" s="695">
        <f>+Risk_Free_Rate+Equity_Risk_Premium*L31</f>
        <v>8.0270926280221838E-2</v>
      </c>
      <c r="N34" s="712"/>
      <c r="O34" s="712"/>
      <c r="P34" s="712"/>
      <c r="Q34" s="712"/>
      <c r="R34" s="712"/>
      <c r="S34" s="712"/>
      <c r="T34" s="712"/>
      <c r="U34" s="712"/>
      <c r="V34" s="712"/>
      <c r="W34" s="712"/>
      <c r="X34" s="712"/>
      <c r="Y34" s="712"/>
      <c r="Z34" s="712"/>
    </row>
    <row r="35" spans="2:26" x14ac:dyDescent="0.3">
      <c r="B35" s="628" t="s">
        <v>424</v>
      </c>
      <c r="C35" s="629"/>
      <c r="D35" s="629"/>
      <c r="E35" s="629"/>
      <c r="F35" s="629"/>
      <c r="G35" s="629"/>
      <c r="H35" s="629"/>
      <c r="I35" s="629"/>
      <c r="J35" s="629"/>
      <c r="K35" s="629"/>
      <c r="L35" s="630">
        <f>+Risk_Free_Rate+Equity_Risk_Premium*D25</f>
        <v>9.9700000000000011E-2</v>
      </c>
      <c r="N35" s="712"/>
      <c r="O35" s="712"/>
      <c r="P35" s="712"/>
      <c r="Q35" s="712"/>
      <c r="R35" s="712"/>
      <c r="S35" s="712"/>
      <c r="T35" s="712"/>
      <c r="U35" s="712"/>
      <c r="V35" s="712"/>
      <c r="W35" s="712"/>
      <c r="X35" s="712"/>
      <c r="Y35" s="712"/>
      <c r="Z35" s="712"/>
    </row>
    <row r="36" spans="2:26" x14ac:dyDescent="0.3">
      <c r="B36" s="579"/>
      <c r="C36" s="579"/>
      <c r="D36" s="579"/>
      <c r="E36" s="579"/>
      <c r="F36" s="579"/>
      <c r="G36" s="579"/>
      <c r="H36" s="579"/>
      <c r="I36" s="579"/>
      <c r="J36" s="579"/>
      <c r="K36" s="579"/>
      <c r="L36" s="579"/>
      <c r="N36" s="712"/>
      <c r="O36" s="712"/>
      <c r="P36" s="712"/>
      <c r="Q36" s="712"/>
      <c r="R36" s="712"/>
      <c r="S36" s="712"/>
      <c r="T36" s="712"/>
      <c r="U36" s="712"/>
      <c r="V36" s="712"/>
      <c r="W36" s="712"/>
      <c r="X36" s="712"/>
      <c r="Y36" s="712"/>
      <c r="Z36" s="712"/>
    </row>
    <row r="37" spans="2:26" x14ac:dyDescent="0.3">
      <c r="B37" s="566" t="s">
        <v>425</v>
      </c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N37" s="712"/>
      <c r="O37" s="712"/>
      <c r="P37" s="712"/>
      <c r="Q37" s="712"/>
      <c r="R37" s="712"/>
      <c r="S37" s="712"/>
      <c r="T37" s="712"/>
      <c r="U37" s="712"/>
      <c r="V37" s="712"/>
      <c r="W37" s="712"/>
      <c r="X37" s="712"/>
      <c r="Y37" s="712"/>
      <c r="Z37" s="712"/>
    </row>
    <row r="38" spans="2:26" x14ac:dyDescent="0.3">
      <c r="B38" s="573"/>
      <c r="C38" s="573"/>
      <c r="D38" s="573"/>
      <c r="E38" s="573"/>
      <c r="F38" s="573"/>
      <c r="G38" s="573"/>
      <c r="H38" s="573"/>
      <c r="I38" s="573"/>
      <c r="J38" s="573"/>
      <c r="K38" s="573"/>
      <c r="L38" s="573"/>
      <c r="N38" s="712"/>
      <c r="O38" s="712"/>
      <c r="P38" s="712"/>
      <c r="Q38" s="712"/>
      <c r="R38" s="712"/>
      <c r="S38" s="712"/>
      <c r="T38" s="712"/>
      <c r="U38" s="712"/>
      <c r="V38" s="712"/>
      <c r="W38" s="712"/>
      <c r="X38" s="712"/>
      <c r="Y38" s="712"/>
      <c r="Z38" s="712"/>
    </row>
    <row r="39" spans="2:26" x14ac:dyDescent="0.3">
      <c r="B39" s="625" t="s">
        <v>459</v>
      </c>
      <c r="C39" s="626"/>
      <c r="D39" s="626"/>
      <c r="E39" s="626"/>
      <c r="F39" s="626"/>
      <c r="G39" s="626"/>
      <c r="H39" s="626"/>
      <c r="I39" s="626"/>
      <c r="J39" s="626"/>
      <c r="K39" s="626"/>
      <c r="L39" s="696">
        <f>+L33*J30+Cost_of_Debt*(1-Tax_Rate)*F30+Cost_of_Preferred*H30</f>
        <v>7.5595934984775626E-2</v>
      </c>
      <c r="N39" s="712"/>
      <c r="O39" s="712"/>
      <c r="P39" s="712"/>
      <c r="Q39" s="712"/>
      <c r="R39" s="712"/>
      <c r="S39" s="712"/>
      <c r="T39" s="712"/>
      <c r="U39" s="712"/>
      <c r="V39" s="712"/>
      <c r="W39" s="712"/>
      <c r="X39" s="712"/>
      <c r="Y39" s="712"/>
      <c r="Z39" s="712"/>
    </row>
    <row r="40" spans="2:26" x14ac:dyDescent="0.3">
      <c r="B40" s="693" t="s">
        <v>460</v>
      </c>
      <c r="C40" s="694"/>
      <c r="D40" s="694"/>
      <c r="E40" s="694"/>
      <c r="F40" s="694"/>
      <c r="G40" s="694"/>
      <c r="H40" s="694"/>
      <c r="I40" s="694"/>
      <c r="J40" s="694"/>
      <c r="K40" s="694"/>
      <c r="L40" s="697">
        <f>+L35*J30+Cost_of_Debt*(1-Tax_Rate)*F30+Cost_of_Preferred*H30</f>
        <v>9.0557755300771398E-2</v>
      </c>
      <c r="N40" s="712"/>
      <c r="O40" s="712"/>
      <c r="P40" s="712"/>
      <c r="Q40" s="712"/>
      <c r="R40" s="712"/>
      <c r="S40" s="712"/>
      <c r="T40" s="712"/>
      <c r="U40" s="712"/>
      <c r="V40" s="712"/>
      <c r="W40" s="712"/>
      <c r="X40" s="712"/>
      <c r="Y40" s="712"/>
      <c r="Z40" s="712"/>
    </row>
    <row r="41" spans="2:26" x14ac:dyDescent="0.3">
      <c r="B41" s="628" t="s">
        <v>461</v>
      </c>
      <c r="C41" s="629"/>
      <c r="D41" s="629"/>
      <c r="E41" s="629"/>
      <c r="F41" s="629"/>
      <c r="G41" s="629"/>
      <c r="H41" s="629"/>
      <c r="I41" s="629"/>
      <c r="J41" s="629"/>
      <c r="K41" s="629"/>
      <c r="L41" s="698">
        <f>+L34*J31+Cost_of_Debt*(1-Tax_Rate)*F31+Cost_of_Preferred*H31</f>
        <v>7.5914549065502546E-2</v>
      </c>
      <c r="N41" s="712"/>
      <c r="O41" s="712"/>
      <c r="P41" s="712"/>
      <c r="Q41" s="712"/>
      <c r="R41" s="712"/>
      <c r="S41" s="712"/>
      <c r="T41" s="712"/>
      <c r="U41" s="712"/>
      <c r="V41" s="712"/>
      <c r="W41" s="712"/>
      <c r="X41" s="712"/>
      <c r="Y41" s="712"/>
      <c r="Z41" s="712"/>
    </row>
    <row r="42" spans="2:26" x14ac:dyDescent="0.3">
      <c r="N42" s="712"/>
      <c r="O42" s="712"/>
      <c r="P42" s="712"/>
      <c r="Q42" s="712"/>
      <c r="R42" s="712"/>
      <c r="S42" s="712"/>
      <c r="T42" s="712"/>
      <c r="U42" s="712"/>
      <c r="V42" s="712"/>
      <c r="W42" s="712"/>
      <c r="X42" s="712"/>
      <c r="Y42" s="712"/>
      <c r="Z42" s="712"/>
    </row>
    <row r="43" spans="2:26" x14ac:dyDescent="0.3">
      <c r="B43" s="620" t="s">
        <v>462</v>
      </c>
      <c r="C43" s="621"/>
      <c r="D43" s="621"/>
      <c r="E43" s="621"/>
      <c r="F43" s="621"/>
      <c r="G43" s="621"/>
      <c r="H43" s="621"/>
      <c r="I43" s="621"/>
      <c r="J43" s="621"/>
      <c r="K43" s="621"/>
      <c r="L43" s="699">
        <f>AVERAGE(L39:L41)</f>
        <v>8.0689413117016523E-2</v>
      </c>
      <c r="N43" s="712"/>
      <c r="O43" s="712"/>
      <c r="P43" s="712"/>
      <c r="Q43" s="712"/>
      <c r="R43" s="712"/>
      <c r="S43" s="712"/>
      <c r="T43" s="712"/>
      <c r="U43" s="712"/>
      <c r="V43" s="712"/>
      <c r="W43" s="712"/>
      <c r="X43" s="712"/>
      <c r="Y43" s="712"/>
      <c r="Z43" s="712"/>
    </row>
    <row r="44" spans="2:26" x14ac:dyDescent="0.3">
      <c r="N44" s="712"/>
      <c r="O44" s="712"/>
      <c r="P44" s="712"/>
      <c r="Q44" s="712"/>
      <c r="R44" s="712"/>
      <c r="S44" s="712"/>
      <c r="T44" s="712"/>
      <c r="U44" s="712"/>
      <c r="V44" s="712"/>
      <c r="W44" s="712"/>
      <c r="X44" s="712"/>
      <c r="Y44" s="712"/>
      <c r="Z44" s="712"/>
    </row>
    <row r="45" spans="2:26" x14ac:dyDescent="0.3">
      <c r="N45" s="712"/>
      <c r="O45" s="712"/>
      <c r="P45" s="712"/>
      <c r="Q45" s="712"/>
      <c r="R45" s="712"/>
      <c r="S45" s="712"/>
      <c r="T45" s="712"/>
      <c r="U45" s="712"/>
      <c r="V45" s="712"/>
      <c r="W45" s="712"/>
      <c r="X45" s="712"/>
      <c r="Y45" s="712"/>
      <c r="Z45" s="712"/>
    </row>
    <row r="46" spans="2:26" x14ac:dyDescent="0.3">
      <c r="N46" s="712"/>
      <c r="O46" s="712"/>
      <c r="P46" s="712"/>
      <c r="Q46" s="712"/>
      <c r="R46" s="712"/>
      <c r="S46" s="712"/>
      <c r="T46" s="712"/>
      <c r="U46" s="712"/>
      <c r="V46" s="712"/>
      <c r="W46" s="712"/>
      <c r="X46" s="712"/>
      <c r="Y46" s="712"/>
      <c r="Z46" s="712"/>
    </row>
    <row r="47" spans="2:26" x14ac:dyDescent="0.3">
      <c r="N47" s="712"/>
      <c r="O47" s="712"/>
      <c r="P47" s="712"/>
      <c r="Q47" s="712"/>
      <c r="R47" s="712"/>
      <c r="S47" s="712"/>
      <c r="T47" s="712"/>
      <c r="U47" s="712"/>
      <c r="V47" s="712"/>
      <c r="W47" s="712"/>
      <c r="X47" s="712"/>
      <c r="Y47" s="712"/>
      <c r="Z47" s="712"/>
    </row>
    <row r="48" spans="2:26" x14ac:dyDescent="0.3">
      <c r="N48" s="712"/>
      <c r="O48" s="712"/>
      <c r="P48" s="712"/>
      <c r="Q48" s="712"/>
      <c r="R48" s="712"/>
      <c r="S48" s="712"/>
      <c r="T48" s="712"/>
      <c r="U48" s="712"/>
      <c r="V48" s="712"/>
      <c r="W48" s="712"/>
      <c r="X48" s="712"/>
      <c r="Y48" s="712"/>
      <c r="Z48" s="712"/>
    </row>
    <row r="49" spans="14:26" x14ac:dyDescent="0.3">
      <c r="N49" s="712"/>
      <c r="O49" s="712"/>
      <c r="P49" s="712"/>
      <c r="Q49" s="712"/>
      <c r="R49" s="712"/>
      <c r="S49" s="712"/>
      <c r="T49" s="712"/>
      <c r="U49" s="712"/>
      <c r="V49" s="712"/>
      <c r="W49" s="712"/>
      <c r="X49" s="712"/>
      <c r="Y49" s="712"/>
      <c r="Z49" s="712"/>
    </row>
    <row r="50" spans="14:26" x14ac:dyDescent="0.3">
      <c r="N50" s="712"/>
      <c r="O50" s="714"/>
      <c r="P50" s="712"/>
      <c r="Q50" s="712"/>
      <c r="R50" s="712"/>
      <c r="S50" s="712"/>
      <c r="T50" s="712"/>
      <c r="U50" s="712"/>
      <c r="V50" s="712"/>
      <c r="W50" s="712"/>
      <c r="X50" s="712"/>
      <c r="Y50" s="712"/>
      <c r="Z50" s="712"/>
    </row>
    <row r="51" spans="14:26" x14ac:dyDescent="0.3">
      <c r="N51" s="712"/>
      <c r="O51" s="714"/>
      <c r="P51" s="712"/>
      <c r="Q51" s="712"/>
      <c r="R51" s="712"/>
      <c r="S51" s="712"/>
      <c r="T51" s="712"/>
      <c r="U51" s="712"/>
      <c r="V51" s="712"/>
      <c r="W51" s="712"/>
      <c r="X51" s="712"/>
      <c r="Y51" s="712"/>
      <c r="Z51" s="712"/>
    </row>
    <row r="52" spans="14:26" x14ac:dyDescent="0.3">
      <c r="N52" s="712"/>
      <c r="O52" s="714"/>
      <c r="P52" s="712"/>
      <c r="Q52" s="712"/>
      <c r="R52" s="712"/>
      <c r="S52" s="712"/>
      <c r="T52" s="712"/>
      <c r="U52" s="712"/>
      <c r="V52" s="712"/>
      <c r="W52" s="712"/>
      <c r="X52" s="712"/>
      <c r="Y52" s="712"/>
      <c r="Z52" s="712"/>
    </row>
    <row r="53" spans="14:26" x14ac:dyDescent="0.3">
      <c r="N53" s="712"/>
      <c r="O53" s="714"/>
      <c r="P53" s="712"/>
      <c r="Q53" s="712"/>
      <c r="R53" s="712"/>
      <c r="S53" s="712"/>
      <c r="T53" s="712"/>
      <c r="U53" s="712"/>
      <c r="V53" s="712"/>
      <c r="W53" s="712"/>
      <c r="X53" s="712"/>
      <c r="Y53" s="712"/>
      <c r="Z53" s="712"/>
    </row>
    <row r="54" spans="14:26" x14ac:dyDescent="0.3">
      <c r="N54" s="712"/>
      <c r="O54" s="714"/>
      <c r="P54" s="712"/>
      <c r="Q54" s="712"/>
      <c r="R54" s="712"/>
      <c r="S54" s="712"/>
      <c r="T54" s="712"/>
      <c r="U54" s="712"/>
      <c r="V54" s="712"/>
      <c r="W54" s="712"/>
      <c r="X54" s="712"/>
      <c r="Y54" s="712"/>
      <c r="Z54" s="712"/>
    </row>
    <row r="55" spans="14:26" x14ac:dyDescent="0.3">
      <c r="N55" s="712"/>
      <c r="O55" s="712"/>
      <c r="P55" s="712"/>
      <c r="Q55" s="712"/>
      <c r="R55" s="712"/>
      <c r="S55" s="712"/>
      <c r="T55" s="712"/>
      <c r="U55" s="712"/>
      <c r="V55" s="712"/>
      <c r="W55" s="712"/>
      <c r="X55" s="712"/>
      <c r="Y55" s="712"/>
      <c r="Z55" s="712"/>
    </row>
    <row r="56" spans="14:26" x14ac:dyDescent="0.3">
      <c r="N56" s="712"/>
      <c r="O56" s="712"/>
      <c r="P56" s="712"/>
      <c r="Q56" s="712"/>
      <c r="R56" s="712"/>
      <c r="S56" s="712"/>
      <c r="T56" s="712"/>
      <c r="U56" s="712"/>
      <c r="V56" s="712"/>
      <c r="W56" s="712"/>
      <c r="X56" s="712"/>
      <c r="Y56" s="712"/>
      <c r="Z56" s="712"/>
    </row>
    <row r="57" spans="14:26" x14ac:dyDescent="0.3">
      <c r="N57" s="712"/>
      <c r="O57" s="712"/>
      <c r="P57" s="712"/>
      <c r="Q57" s="712"/>
      <c r="R57" s="712"/>
      <c r="S57" s="712"/>
      <c r="T57" s="712"/>
      <c r="U57" s="712"/>
      <c r="V57" s="712"/>
      <c r="W57" s="712"/>
      <c r="X57" s="712"/>
      <c r="Y57" s="712"/>
      <c r="Z57" s="712"/>
    </row>
    <row r="58" spans="14:26" x14ac:dyDescent="0.3">
      <c r="N58" s="712"/>
      <c r="O58" s="712"/>
      <c r="P58" s="712"/>
      <c r="Q58" s="712"/>
      <c r="R58" s="712"/>
      <c r="S58" s="712"/>
      <c r="T58" s="712"/>
      <c r="U58" s="712"/>
      <c r="V58" s="712"/>
      <c r="W58" s="712"/>
      <c r="X58" s="712"/>
      <c r="Y58" s="712"/>
      <c r="Z58" s="712"/>
    </row>
    <row r="59" spans="14:26" x14ac:dyDescent="0.3">
      <c r="N59" s="712"/>
      <c r="O59" s="712"/>
      <c r="P59" s="712"/>
      <c r="Q59" s="712"/>
      <c r="R59" s="712"/>
      <c r="S59" s="712"/>
      <c r="T59" s="712"/>
      <c r="U59" s="712"/>
      <c r="V59" s="712"/>
      <c r="W59" s="712"/>
      <c r="X59" s="712"/>
      <c r="Y59" s="712"/>
      <c r="Z59" s="712"/>
    </row>
    <row r="60" spans="14:26" x14ac:dyDescent="0.3">
      <c r="N60" s="712"/>
      <c r="O60" s="715"/>
      <c r="P60" s="712"/>
      <c r="Q60" s="712"/>
      <c r="R60" s="712"/>
      <c r="S60" s="712"/>
      <c r="T60" s="712"/>
      <c r="U60" s="712"/>
      <c r="V60" s="712"/>
      <c r="W60" s="712"/>
      <c r="X60" s="712"/>
      <c r="Y60" s="712"/>
      <c r="Z60" s="712"/>
    </row>
    <row r="61" spans="14:26" x14ac:dyDescent="0.3">
      <c r="N61" s="712"/>
      <c r="O61" s="714"/>
      <c r="P61" s="712"/>
      <c r="Q61" s="712"/>
      <c r="R61" s="712"/>
      <c r="S61" s="712"/>
      <c r="T61" s="712"/>
      <c r="U61" s="712"/>
      <c r="V61" s="712"/>
      <c r="W61" s="712"/>
      <c r="X61" s="712"/>
      <c r="Y61" s="712"/>
      <c r="Z61" s="712"/>
    </row>
    <row r="62" spans="14:26" x14ac:dyDescent="0.3">
      <c r="N62" s="712"/>
      <c r="O62" s="714"/>
      <c r="P62" s="712"/>
      <c r="Q62" s="712"/>
      <c r="R62" s="712"/>
      <c r="S62" s="712"/>
      <c r="T62" s="712"/>
      <c r="U62" s="712"/>
      <c r="V62" s="712"/>
      <c r="W62" s="712"/>
      <c r="X62" s="712"/>
      <c r="Y62" s="712"/>
      <c r="Z62" s="712"/>
    </row>
    <row r="63" spans="14:26" x14ac:dyDescent="0.3">
      <c r="N63" s="712"/>
      <c r="O63" s="714"/>
      <c r="P63" s="712"/>
      <c r="Q63" s="712"/>
      <c r="R63" s="712"/>
      <c r="S63" s="712"/>
      <c r="T63" s="712"/>
      <c r="U63" s="712"/>
      <c r="V63" s="712"/>
      <c r="W63" s="712"/>
      <c r="X63" s="712"/>
      <c r="Y63" s="712"/>
      <c r="Z63" s="712"/>
    </row>
    <row r="64" spans="14:26" x14ac:dyDescent="0.3">
      <c r="N64" s="712"/>
      <c r="O64" s="714"/>
      <c r="P64" s="712"/>
      <c r="Q64" s="712"/>
      <c r="R64" s="712"/>
      <c r="S64" s="712"/>
      <c r="T64" s="712"/>
      <c r="U64" s="712"/>
      <c r="V64" s="712"/>
      <c r="W64" s="712"/>
      <c r="X64" s="712"/>
      <c r="Y64" s="712"/>
      <c r="Z64" s="712"/>
    </row>
    <row r="65" spans="14:26" x14ac:dyDescent="0.3">
      <c r="N65" s="712"/>
      <c r="O65" s="714"/>
      <c r="P65" s="712"/>
      <c r="Q65" s="712"/>
      <c r="R65" s="712"/>
      <c r="S65" s="712"/>
      <c r="T65" s="712"/>
      <c r="U65" s="712"/>
      <c r="V65" s="712"/>
      <c r="W65" s="712"/>
      <c r="X65" s="712"/>
      <c r="Y65" s="712"/>
      <c r="Z65" s="712"/>
    </row>
    <row r="66" spans="14:26" x14ac:dyDescent="0.3">
      <c r="N66" s="712"/>
      <c r="O66" s="714"/>
      <c r="P66" s="712"/>
      <c r="Q66" s="712"/>
      <c r="R66" s="712"/>
      <c r="S66" s="712"/>
      <c r="T66" s="712"/>
      <c r="U66" s="712"/>
      <c r="V66" s="712"/>
      <c r="W66" s="712"/>
      <c r="X66" s="712"/>
      <c r="Y66" s="712"/>
      <c r="Z66" s="712"/>
    </row>
    <row r="67" spans="14:26" x14ac:dyDescent="0.3">
      <c r="N67" s="712"/>
      <c r="O67" s="714"/>
      <c r="P67" s="712"/>
      <c r="Q67" s="712"/>
      <c r="R67" s="712"/>
      <c r="S67" s="712"/>
      <c r="T67" s="712"/>
      <c r="U67" s="712"/>
      <c r="V67" s="712"/>
      <c r="W67" s="712"/>
      <c r="X67" s="712"/>
      <c r="Y67" s="712"/>
      <c r="Z67" s="712"/>
    </row>
    <row r="68" spans="14:26" x14ac:dyDescent="0.3">
      <c r="N68" s="712"/>
      <c r="O68" s="714"/>
      <c r="P68" s="712"/>
      <c r="Q68" s="712"/>
      <c r="R68" s="712"/>
      <c r="S68" s="712"/>
      <c r="T68" s="712"/>
      <c r="U68" s="712"/>
      <c r="V68" s="712"/>
      <c r="W68" s="712"/>
      <c r="X68" s="712"/>
      <c r="Y68" s="712"/>
      <c r="Z68" s="712"/>
    </row>
    <row r="69" spans="14:26" x14ac:dyDescent="0.3">
      <c r="N69" s="712"/>
      <c r="O69" s="714"/>
      <c r="P69" s="712"/>
      <c r="Q69" s="712"/>
      <c r="R69" s="712"/>
      <c r="S69" s="712"/>
      <c r="T69" s="712"/>
      <c r="U69" s="712"/>
      <c r="V69" s="712"/>
      <c r="W69" s="712"/>
      <c r="X69" s="712"/>
      <c r="Y69" s="712"/>
      <c r="Z69" s="712"/>
    </row>
    <row r="70" spans="14:26" x14ac:dyDescent="0.3">
      <c r="N70" s="712"/>
      <c r="O70" s="712"/>
      <c r="P70" s="712"/>
      <c r="Q70" s="712"/>
      <c r="R70" s="712"/>
      <c r="S70" s="712"/>
      <c r="T70" s="712"/>
      <c r="U70" s="712"/>
      <c r="V70" s="712"/>
      <c r="W70" s="712"/>
      <c r="X70" s="712"/>
      <c r="Y70" s="712"/>
      <c r="Z70" s="712"/>
    </row>
    <row r="71" spans="14:26" x14ac:dyDescent="0.3">
      <c r="N71" s="712"/>
      <c r="O71" s="712"/>
      <c r="P71" s="712"/>
      <c r="Q71" s="712"/>
      <c r="R71" s="712"/>
      <c r="S71" s="712"/>
      <c r="T71" s="712"/>
      <c r="U71" s="712"/>
      <c r="V71" s="712"/>
      <c r="W71" s="712"/>
      <c r="X71" s="712"/>
      <c r="Y71" s="712"/>
      <c r="Z71" s="712"/>
    </row>
    <row r="72" spans="14:26" x14ac:dyDescent="0.3">
      <c r="N72" s="712"/>
      <c r="O72" s="712"/>
      <c r="P72" s="712"/>
      <c r="Q72" s="712"/>
      <c r="R72" s="712"/>
      <c r="S72" s="712"/>
      <c r="T72" s="712"/>
      <c r="U72" s="712"/>
      <c r="V72" s="712"/>
      <c r="W72" s="712"/>
      <c r="X72" s="712"/>
      <c r="Y72" s="712"/>
      <c r="Z72" s="712"/>
    </row>
  </sheetData>
  <pageMargins left="0.7" right="0.7" top="0.75" bottom="0.75" header="0.3" footer="0.3"/>
  <pageSetup scale="72" orientation="portrait" r:id="rId1"/>
  <ignoredErrors>
    <ignoredError sqref="J22 F15:J21 C25 F30:K30 F31:I31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T45"/>
  <sheetViews>
    <sheetView showGridLines="0" topLeftCell="A4" zoomScaleNormal="100" workbookViewId="0">
      <selection activeCell="H17" sqref="H17"/>
    </sheetView>
  </sheetViews>
  <sheetFormatPr defaultColWidth="9.109375" defaultRowHeight="13.8" outlineLevelRow="1" outlineLevelCol="1" x14ac:dyDescent="0.3"/>
  <cols>
    <col min="1" max="1" width="1.6640625" style="293" customWidth="1"/>
    <col min="2" max="2" width="26.77734375" style="293" customWidth="1"/>
    <col min="3" max="4" width="10.109375" style="293" hidden="1" customWidth="1" outlineLevel="1"/>
    <col min="5" max="5" width="10.109375" style="293" customWidth="1" collapsed="1"/>
    <col min="6" max="7" width="10.109375" style="293" customWidth="1"/>
    <col min="8" max="9" width="10.5546875" style="293" customWidth="1"/>
    <col min="10" max="10" width="10.109375" style="293" customWidth="1"/>
    <col min="11" max="12" width="10.5546875" style="293" customWidth="1"/>
    <col min="13" max="13" width="10.109375" style="293" customWidth="1"/>
    <col min="14" max="15" width="10.5546875" style="293" customWidth="1"/>
    <col min="16" max="18" width="10.109375" style="293" customWidth="1"/>
    <col min="19" max="20" width="10.5546875" style="293" customWidth="1"/>
    <col min="21" max="21" width="2.77734375" style="293" customWidth="1"/>
    <col min="22" max="22" width="10.109375" style="293" customWidth="1"/>
    <col min="23" max="257" width="9.109375" style="293"/>
    <col min="258" max="258" width="1.6640625" style="293" customWidth="1"/>
    <col min="259" max="259" width="20.6640625" style="293" customWidth="1"/>
    <col min="260" max="278" width="10.109375" style="293" customWidth="1"/>
    <col min="279" max="513" width="9.109375" style="293"/>
    <col min="514" max="514" width="1.6640625" style="293" customWidth="1"/>
    <col min="515" max="515" width="20.6640625" style="293" customWidth="1"/>
    <col min="516" max="534" width="10.109375" style="293" customWidth="1"/>
    <col min="535" max="769" width="9.109375" style="293"/>
    <col min="770" max="770" width="1.6640625" style="293" customWidth="1"/>
    <col min="771" max="771" width="20.6640625" style="293" customWidth="1"/>
    <col min="772" max="790" width="10.109375" style="293" customWidth="1"/>
    <col min="791" max="1025" width="9.109375" style="293"/>
    <col min="1026" max="1026" width="1.6640625" style="293" customWidth="1"/>
    <col min="1027" max="1027" width="20.6640625" style="293" customWidth="1"/>
    <col min="1028" max="1046" width="10.109375" style="293" customWidth="1"/>
    <col min="1047" max="1281" width="9.109375" style="293"/>
    <col min="1282" max="1282" width="1.6640625" style="293" customWidth="1"/>
    <col min="1283" max="1283" width="20.6640625" style="293" customWidth="1"/>
    <col min="1284" max="1302" width="10.109375" style="293" customWidth="1"/>
    <col min="1303" max="1537" width="9.109375" style="293"/>
    <col min="1538" max="1538" width="1.6640625" style="293" customWidth="1"/>
    <col min="1539" max="1539" width="20.6640625" style="293" customWidth="1"/>
    <col min="1540" max="1558" width="10.109375" style="293" customWidth="1"/>
    <col min="1559" max="1793" width="9.109375" style="293"/>
    <col min="1794" max="1794" width="1.6640625" style="293" customWidth="1"/>
    <col min="1795" max="1795" width="20.6640625" style="293" customWidth="1"/>
    <col min="1796" max="1814" width="10.109375" style="293" customWidth="1"/>
    <col min="1815" max="2049" width="9.109375" style="293"/>
    <col min="2050" max="2050" width="1.6640625" style="293" customWidth="1"/>
    <col min="2051" max="2051" width="20.6640625" style="293" customWidth="1"/>
    <col min="2052" max="2070" width="10.109375" style="293" customWidth="1"/>
    <col min="2071" max="2305" width="9.109375" style="293"/>
    <col min="2306" max="2306" width="1.6640625" style="293" customWidth="1"/>
    <col min="2307" max="2307" width="20.6640625" style="293" customWidth="1"/>
    <col min="2308" max="2326" width="10.109375" style="293" customWidth="1"/>
    <col min="2327" max="2561" width="9.109375" style="293"/>
    <col min="2562" max="2562" width="1.6640625" style="293" customWidth="1"/>
    <col min="2563" max="2563" width="20.6640625" style="293" customWidth="1"/>
    <col min="2564" max="2582" width="10.109375" style="293" customWidth="1"/>
    <col min="2583" max="2817" width="9.109375" style="293"/>
    <col min="2818" max="2818" width="1.6640625" style="293" customWidth="1"/>
    <col min="2819" max="2819" width="20.6640625" style="293" customWidth="1"/>
    <col min="2820" max="2838" width="10.109375" style="293" customWidth="1"/>
    <col min="2839" max="3073" width="9.109375" style="293"/>
    <col min="3074" max="3074" width="1.6640625" style="293" customWidth="1"/>
    <col min="3075" max="3075" width="20.6640625" style="293" customWidth="1"/>
    <col min="3076" max="3094" width="10.109375" style="293" customWidth="1"/>
    <col min="3095" max="3329" width="9.109375" style="293"/>
    <col min="3330" max="3330" width="1.6640625" style="293" customWidth="1"/>
    <col min="3331" max="3331" width="20.6640625" style="293" customWidth="1"/>
    <col min="3332" max="3350" width="10.109375" style="293" customWidth="1"/>
    <col min="3351" max="3585" width="9.109375" style="293"/>
    <col min="3586" max="3586" width="1.6640625" style="293" customWidth="1"/>
    <col min="3587" max="3587" width="20.6640625" style="293" customWidth="1"/>
    <col min="3588" max="3606" width="10.109375" style="293" customWidth="1"/>
    <col min="3607" max="3841" width="9.109375" style="293"/>
    <col min="3842" max="3842" width="1.6640625" style="293" customWidth="1"/>
    <col min="3843" max="3843" width="20.6640625" style="293" customWidth="1"/>
    <col min="3844" max="3862" width="10.109375" style="293" customWidth="1"/>
    <col min="3863" max="4097" width="9.109375" style="293"/>
    <col min="4098" max="4098" width="1.6640625" style="293" customWidth="1"/>
    <col min="4099" max="4099" width="20.6640625" style="293" customWidth="1"/>
    <col min="4100" max="4118" width="10.109375" style="293" customWidth="1"/>
    <col min="4119" max="4353" width="9.109375" style="293"/>
    <col min="4354" max="4354" width="1.6640625" style="293" customWidth="1"/>
    <col min="4355" max="4355" width="20.6640625" style="293" customWidth="1"/>
    <col min="4356" max="4374" width="10.109375" style="293" customWidth="1"/>
    <col min="4375" max="4609" width="9.109375" style="293"/>
    <col min="4610" max="4610" width="1.6640625" style="293" customWidth="1"/>
    <col min="4611" max="4611" width="20.6640625" style="293" customWidth="1"/>
    <col min="4612" max="4630" width="10.109375" style="293" customWidth="1"/>
    <col min="4631" max="4865" width="9.109375" style="293"/>
    <col min="4866" max="4866" width="1.6640625" style="293" customWidth="1"/>
    <col min="4867" max="4867" width="20.6640625" style="293" customWidth="1"/>
    <col min="4868" max="4886" width="10.109375" style="293" customWidth="1"/>
    <col min="4887" max="5121" width="9.109375" style="293"/>
    <col min="5122" max="5122" width="1.6640625" style="293" customWidth="1"/>
    <col min="5123" max="5123" width="20.6640625" style="293" customWidth="1"/>
    <col min="5124" max="5142" width="10.109375" style="293" customWidth="1"/>
    <col min="5143" max="5377" width="9.109375" style="293"/>
    <col min="5378" max="5378" width="1.6640625" style="293" customWidth="1"/>
    <col min="5379" max="5379" width="20.6640625" style="293" customWidth="1"/>
    <col min="5380" max="5398" width="10.109375" style="293" customWidth="1"/>
    <col min="5399" max="5633" width="9.109375" style="293"/>
    <col min="5634" max="5634" width="1.6640625" style="293" customWidth="1"/>
    <col min="5635" max="5635" width="20.6640625" style="293" customWidth="1"/>
    <col min="5636" max="5654" width="10.109375" style="293" customWidth="1"/>
    <col min="5655" max="5889" width="9.109375" style="293"/>
    <col min="5890" max="5890" width="1.6640625" style="293" customWidth="1"/>
    <col min="5891" max="5891" width="20.6640625" style="293" customWidth="1"/>
    <col min="5892" max="5910" width="10.109375" style="293" customWidth="1"/>
    <col min="5911" max="6145" width="9.109375" style="293"/>
    <col min="6146" max="6146" width="1.6640625" style="293" customWidth="1"/>
    <col min="6147" max="6147" width="20.6640625" style="293" customWidth="1"/>
    <col min="6148" max="6166" width="10.109375" style="293" customWidth="1"/>
    <col min="6167" max="6401" width="9.109375" style="293"/>
    <col min="6402" max="6402" width="1.6640625" style="293" customWidth="1"/>
    <col min="6403" max="6403" width="20.6640625" style="293" customWidth="1"/>
    <col min="6404" max="6422" width="10.109375" style="293" customWidth="1"/>
    <col min="6423" max="6657" width="9.109375" style="293"/>
    <col min="6658" max="6658" width="1.6640625" style="293" customWidth="1"/>
    <col min="6659" max="6659" width="20.6640625" style="293" customWidth="1"/>
    <col min="6660" max="6678" width="10.109375" style="293" customWidth="1"/>
    <col min="6679" max="6913" width="9.109375" style="293"/>
    <col min="6914" max="6914" width="1.6640625" style="293" customWidth="1"/>
    <col min="6915" max="6915" width="20.6640625" style="293" customWidth="1"/>
    <col min="6916" max="6934" width="10.109375" style="293" customWidth="1"/>
    <col min="6935" max="7169" width="9.109375" style="293"/>
    <col min="7170" max="7170" width="1.6640625" style="293" customWidth="1"/>
    <col min="7171" max="7171" width="20.6640625" style="293" customWidth="1"/>
    <col min="7172" max="7190" width="10.109375" style="293" customWidth="1"/>
    <col min="7191" max="7425" width="9.109375" style="293"/>
    <col min="7426" max="7426" width="1.6640625" style="293" customWidth="1"/>
    <col min="7427" max="7427" width="20.6640625" style="293" customWidth="1"/>
    <col min="7428" max="7446" width="10.109375" style="293" customWidth="1"/>
    <col min="7447" max="7681" width="9.109375" style="293"/>
    <col min="7682" max="7682" width="1.6640625" style="293" customWidth="1"/>
    <col min="7683" max="7683" width="20.6640625" style="293" customWidth="1"/>
    <col min="7684" max="7702" width="10.109375" style="293" customWidth="1"/>
    <col min="7703" max="7937" width="9.109375" style="293"/>
    <col min="7938" max="7938" width="1.6640625" style="293" customWidth="1"/>
    <col min="7939" max="7939" width="20.6640625" style="293" customWidth="1"/>
    <col min="7940" max="7958" width="10.109375" style="293" customWidth="1"/>
    <col min="7959" max="8193" width="9.109375" style="293"/>
    <col min="8194" max="8194" width="1.6640625" style="293" customWidth="1"/>
    <col min="8195" max="8195" width="20.6640625" style="293" customWidth="1"/>
    <col min="8196" max="8214" width="10.109375" style="293" customWidth="1"/>
    <col min="8215" max="8449" width="9.109375" style="293"/>
    <col min="8450" max="8450" width="1.6640625" style="293" customWidth="1"/>
    <col min="8451" max="8451" width="20.6640625" style="293" customWidth="1"/>
    <col min="8452" max="8470" width="10.109375" style="293" customWidth="1"/>
    <col min="8471" max="8705" width="9.109375" style="293"/>
    <col min="8706" max="8706" width="1.6640625" style="293" customWidth="1"/>
    <col min="8707" max="8707" width="20.6640625" style="293" customWidth="1"/>
    <col min="8708" max="8726" width="10.109375" style="293" customWidth="1"/>
    <col min="8727" max="8961" width="9.109375" style="293"/>
    <col min="8962" max="8962" width="1.6640625" style="293" customWidth="1"/>
    <col min="8963" max="8963" width="20.6640625" style="293" customWidth="1"/>
    <col min="8964" max="8982" width="10.109375" style="293" customWidth="1"/>
    <col min="8983" max="9217" width="9.109375" style="293"/>
    <col min="9218" max="9218" width="1.6640625" style="293" customWidth="1"/>
    <col min="9219" max="9219" width="20.6640625" style="293" customWidth="1"/>
    <col min="9220" max="9238" width="10.109375" style="293" customWidth="1"/>
    <col min="9239" max="9473" width="9.109375" style="293"/>
    <col min="9474" max="9474" width="1.6640625" style="293" customWidth="1"/>
    <col min="9475" max="9475" width="20.6640625" style="293" customWidth="1"/>
    <col min="9476" max="9494" width="10.109375" style="293" customWidth="1"/>
    <col min="9495" max="9729" width="9.109375" style="293"/>
    <col min="9730" max="9730" width="1.6640625" style="293" customWidth="1"/>
    <col min="9731" max="9731" width="20.6640625" style="293" customWidth="1"/>
    <col min="9732" max="9750" width="10.109375" style="293" customWidth="1"/>
    <col min="9751" max="9985" width="9.109375" style="293"/>
    <col min="9986" max="9986" width="1.6640625" style="293" customWidth="1"/>
    <col min="9987" max="9987" width="20.6640625" style="293" customWidth="1"/>
    <col min="9988" max="10006" width="10.109375" style="293" customWidth="1"/>
    <col min="10007" max="10241" width="9.109375" style="293"/>
    <col min="10242" max="10242" width="1.6640625" style="293" customWidth="1"/>
    <col min="10243" max="10243" width="20.6640625" style="293" customWidth="1"/>
    <col min="10244" max="10262" width="10.109375" style="293" customWidth="1"/>
    <col min="10263" max="10497" width="9.109375" style="293"/>
    <col min="10498" max="10498" width="1.6640625" style="293" customWidth="1"/>
    <col min="10499" max="10499" width="20.6640625" style="293" customWidth="1"/>
    <col min="10500" max="10518" width="10.109375" style="293" customWidth="1"/>
    <col min="10519" max="10753" width="9.109375" style="293"/>
    <col min="10754" max="10754" width="1.6640625" style="293" customWidth="1"/>
    <col min="10755" max="10755" width="20.6640625" style="293" customWidth="1"/>
    <col min="10756" max="10774" width="10.109375" style="293" customWidth="1"/>
    <col min="10775" max="11009" width="9.109375" style="293"/>
    <col min="11010" max="11010" width="1.6640625" style="293" customWidth="1"/>
    <col min="11011" max="11011" width="20.6640625" style="293" customWidth="1"/>
    <col min="11012" max="11030" width="10.109375" style="293" customWidth="1"/>
    <col min="11031" max="11265" width="9.109375" style="293"/>
    <col min="11266" max="11266" width="1.6640625" style="293" customWidth="1"/>
    <col min="11267" max="11267" width="20.6640625" style="293" customWidth="1"/>
    <col min="11268" max="11286" width="10.109375" style="293" customWidth="1"/>
    <col min="11287" max="11521" width="9.109375" style="293"/>
    <col min="11522" max="11522" width="1.6640625" style="293" customWidth="1"/>
    <col min="11523" max="11523" width="20.6640625" style="293" customWidth="1"/>
    <col min="11524" max="11542" width="10.109375" style="293" customWidth="1"/>
    <col min="11543" max="11777" width="9.109375" style="293"/>
    <col min="11778" max="11778" width="1.6640625" style="293" customWidth="1"/>
    <col min="11779" max="11779" width="20.6640625" style="293" customWidth="1"/>
    <col min="11780" max="11798" width="10.109375" style="293" customWidth="1"/>
    <col min="11799" max="12033" width="9.109375" style="293"/>
    <col min="12034" max="12034" width="1.6640625" style="293" customWidth="1"/>
    <col min="12035" max="12035" width="20.6640625" style="293" customWidth="1"/>
    <col min="12036" max="12054" width="10.109375" style="293" customWidth="1"/>
    <col min="12055" max="12289" width="9.109375" style="293"/>
    <col min="12290" max="12290" width="1.6640625" style="293" customWidth="1"/>
    <col min="12291" max="12291" width="20.6640625" style="293" customWidth="1"/>
    <col min="12292" max="12310" width="10.109375" style="293" customWidth="1"/>
    <col min="12311" max="12545" width="9.109375" style="293"/>
    <col min="12546" max="12546" width="1.6640625" style="293" customWidth="1"/>
    <col min="12547" max="12547" width="20.6640625" style="293" customWidth="1"/>
    <col min="12548" max="12566" width="10.109375" style="293" customWidth="1"/>
    <col min="12567" max="12801" width="9.109375" style="293"/>
    <col min="12802" max="12802" width="1.6640625" style="293" customWidth="1"/>
    <col min="12803" max="12803" width="20.6640625" style="293" customWidth="1"/>
    <col min="12804" max="12822" width="10.109375" style="293" customWidth="1"/>
    <col min="12823" max="13057" width="9.109375" style="293"/>
    <col min="13058" max="13058" width="1.6640625" style="293" customWidth="1"/>
    <col min="13059" max="13059" width="20.6640625" style="293" customWidth="1"/>
    <col min="13060" max="13078" width="10.109375" style="293" customWidth="1"/>
    <col min="13079" max="13313" width="9.109375" style="293"/>
    <col min="13314" max="13314" width="1.6640625" style="293" customWidth="1"/>
    <col min="13315" max="13315" width="20.6640625" style="293" customWidth="1"/>
    <col min="13316" max="13334" width="10.109375" style="293" customWidth="1"/>
    <col min="13335" max="13569" width="9.109375" style="293"/>
    <col min="13570" max="13570" width="1.6640625" style="293" customWidth="1"/>
    <col min="13571" max="13571" width="20.6640625" style="293" customWidth="1"/>
    <col min="13572" max="13590" width="10.109375" style="293" customWidth="1"/>
    <col min="13591" max="13825" width="9.109375" style="293"/>
    <col min="13826" max="13826" width="1.6640625" style="293" customWidth="1"/>
    <col min="13827" max="13827" width="20.6640625" style="293" customWidth="1"/>
    <col min="13828" max="13846" width="10.109375" style="293" customWidth="1"/>
    <col min="13847" max="14081" width="9.109375" style="293"/>
    <col min="14082" max="14082" width="1.6640625" style="293" customWidth="1"/>
    <col min="14083" max="14083" width="20.6640625" style="293" customWidth="1"/>
    <col min="14084" max="14102" width="10.109375" style="293" customWidth="1"/>
    <col min="14103" max="14337" width="9.109375" style="293"/>
    <col min="14338" max="14338" width="1.6640625" style="293" customWidth="1"/>
    <col min="14339" max="14339" width="20.6640625" style="293" customWidth="1"/>
    <col min="14340" max="14358" width="10.109375" style="293" customWidth="1"/>
    <col min="14359" max="14593" width="9.109375" style="293"/>
    <col min="14594" max="14594" width="1.6640625" style="293" customWidth="1"/>
    <col min="14595" max="14595" width="20.6640625" style="293" customWidth="1"/>
    <col min="14596" max="14614" width="10.109375" style="293" customWidth="1"/>
    <col min="14615" max="14849" width="9.109375" style="293"/>
    <col min="14850" max="14850" width="1.6640625" style="293" customWidth="1"/>
    <col min="14851" max="14851" width="20.6640625" style="293" customWidth="1"/>
    <col min="14852" max="14870" width="10.109375" style="293" customWidth="1"/>
    <col min="14871" max="15105" width="9.109375" style="293"/>
    <col min="15106" max="15106" width="1.6640625" style="293" customWidth="1"/>
    <col min="15107" max="15107" width="20.6640625" style="293" customWidth="1"/>
    <col min="15108" max="15126" width="10.109375" style="293" customWidth="1"/>
    <col min="15127" max="15361" width="9.109375" style="293"/>
    <col min="15362" max="15362" width="1.6640625" style="293" customWidth="1"/>
    <col min="15363" max="15363" width="20.6640625" style="293" customWidth="1"/>
    <col min="15364" max="15382" width="10.109375" style="293" customWidth="1"/>
    <col min="15383" max="15617" width="9.109375" style="293"/>
    <col min="15618" max="15618" width="1.6640625" style="293" customWidth="1"/>
    <col min="15619" max="15619" width="20.6640625" style="293" customWidth="1"/>
    <col min="15620" max="15638" width="10.109375" style="293" customWidth="1"/>
    <col min="15639" max="15873" width="9.109375" style="293"/>
    <col min="15874" max="15874" width="1.6640625" style="293" customWidth="1"/>
    <col min="15875" max="15875" width="20.6640625" style="293" customWidth="1"/>
    <col min="15876" max="15894" width="10.109375" style="293" customWidth="1"/>
    <col min="15895" max="16129" width="9.109375" style="293"/>
    <col min="16130" max="16130" width="1.6640625" style="293" customWidth="1"/>
    <col min="16131" max="16131" width="20.6640625" style="293" customWidth="1"/>
    <col min="16132" max="16150" width="10.109375" style="293" customWidth="1"/>
    <col min="16151" max="16384" width="9.109375" style="293"/>
  </cols>
  <sheetData>
    <row r="2" spans="2:20" ht="18" x14ac:dyDescent="0.35">
      <c r="B2" s="291" t="s">
        <v>237</v>
      </c>
      <c r="C2" s="292"/>
      <c r="D2" s="292"/>
    </row>
    <row r="3" spans="2:20" x14ac:dyDescent="0.3">
      <c r="B3" s="293" t="str">
        <f>+'JAZZ-Model-DCF'!$B$3</f>
        <v>($ in Millions Except Per Share and Per Unit Data)</v>
      </c>
      <c r="D3" s="292"/>
    </row>
    <row r="4" spans="2:20" x14ac:dyDescent="0.3">
      <c r="D4" s="292"/>
    </row>
    <row r="5" spans="2:20" hidden="1" outlineLevel="1" x14ac:dyDescent="0.3">
      <c r="B5" s="294">
        <f>Inputs!$F$13</f>
        <v>2</v>
      </c>
      <c r="D5" s="294">
        <f>Inputs!$F$14</f>
        <v>44</v>
      </c>
      <c r="E5" s="294">
        <f>Inputs!$F$15</f>
        <v>69</v>
      </c>
      <c r="F5" s="294">
        <f>Inputs!$F$16</f>
        <v>70</v>
      </c>
      <c r="G5" s="294">
        <f>Inputs!$F$17</f>
        <v>5</v>
      </c>
      <c r="H5" s="294">
        <f>Inputs!$F$18</f>
        <v>81</v>
      </c>
      <c r="I5" s="294">
        <f>Inputs!$F$19</f>
        <v>85</v>
      </c>
      <c r="J5" s="294">
        <f>Inputs!$F$20</f>
        <v>21</v>
      </c>
      <c r="K5" s="294">
        <f>Inputs!$F$21</f>
        <v>82</v>
      </c>
      <c r="L5" s="294">
        <f>Inputs!$F$22</f>
        <v>86</v>
      </c>
      <c r="M5" s="294">
        <f>Inputs!$F$23</f>
        <v>14</v>
      </c>
      <c r="N5" s="294">
        <f>Inputs!$F$24</f>
        <v>83</v>
      </c>
      <c r="O5" s="294">
        <f>Inputs!$F$25</f>
        <v>87</v>
      </c>
    </row>
    <row r="6" spans="2:20" collapsed="1" x14ac:dyDescent="0.3">
      <c r="B6" s="295" t="s">
        <v>238</v>
      </c>
      <c r="C6" s="296"/>
      <c r="D6" s="296"/>
      <c r="E6" s="297" t="s">
        <v>239</v>
      </c>
      <c r="F6" s="298"/>
      <c r="G6" s="299"/>
      <c r="H6" s="299"/>
      <c r="I6" s="299"/>
      <c r="J6" s="299"/>
      <c r="K6" s="299"/>
      <c r="L6" s="299"/>
      <c r="M6" s="299"/>
      <c r="N6" s="299"/>
      <c r="O6" s="299"/>
      <c r="P6" s="300" t="s">
        <v>5</v>
      </c>
      <c r="Q6" s="300" t="s">
        <v>5</v>
      </c>
      <c r="R6" s="297"/>
      <c r="S6" s="301"/>
      <c r="T6" s="302"/>
    </row>
    <row r="7" spans="2:20" x14ac:dyDescent="0.3">
      <c r="B7" s="303"/>
      <c r="C7" s="304"/>
      <c r="D7" s="305" t="s">
        <v>240</v>
      </c>
      <c r="E7" s="305" t="s">
        <v>241</v>
      </c>
      <c r="F7" s="305" t="s">
        <v>242</v>
      </c>
      <c r="G7" s="306" t="s">
        <v>243</v>
      </c>
      <c r="H7" s="306"/>
      <c r="I7" s="306"/>
      <c r="J7" s="306" t="s">
        <v>244</v>
      </c>
      <c r="K7" s="306"/>
      <c r="L7" s="306"/>
      <c r="M7" s="306" t="s">
        <v>245</v>
      </c>
      <c r="N7" s="306"/>
      <c r="O7" s="306"/>
      <c r="P7" s="305" t="s">
        <v>243</v>
      </c>
      <c r="Q7" s="305" t="s">
        <v>244</v>
      </c>
      <c r="R7" s="306" t="s">
        <v>246</v>
      </c>
      <c r="S7" s="307"/>
      <c r="T7" s="307"/>
    </row>
    <row r="8" spans="2:20" x14ac:dyDescent="0.3">
      <c r="B8" s="308" t="s">
        <v>212</v>
      </c>
      <c r="C8" s="309" t="s">
        <v>247</v>
      </c>
      <c r="D8" s="310" t="s">
        <v>248</v>
      </c>
      <c r="E8" s="310" t="s">
        <v>249</v>
      </c>
      <c r="F8" s="310" t="s">
        <v>249</v>
      </c>
      <c r="G8" s="311" t="str">
        <f>LTM</f>
        <v>LTM</v>
      </c>
      <c r="H8" s="311">
        <f>Forward_Year_1</f>
        <v>42004</v>
      </c>
      <c r="I8" s="311">
        <f>Forward_Year_2</f>
        <v>42369</v>
      </c>
      <c r="J8" s="311" t="str">
        <f>LTM</f>
        <v>LTM</v>
      </c>
      <c r="K8" s="311">
        <f>Forward_Year_1</f>
        <v>42004</v>
      </c>
      <c r="L8" s="311">
        <f>Forward_Year_2</f>
        <v>42369</v>
      </c>
      <c r="M8" s="311" t="str">
        <f>LTM</f>
        <v>LTM</v>
      </c>
      <c r="N8" s="311">
        <f>Forward_Year_1</f>
        <v>42004</v>
      </c>
      <c r="O8" s="311">
        <f>Forward_Year_2</f>
        <v>42369</v>
      </c>
      <c r="P8" s="310" t="s">
        <v>250</v>
      </c>
      <c r="Q8" s="310" t="s">
        <v>250</v>
      </c>
      <c r="R8" s="311" t="str">
        <f>LTM</f>
        <v>LTM</v>
      </c>
      <c r="S8" s="311">
        <f>Forward_Year_1</f>
        <v>42004</v>
      </c>
      <c r="T8" s="312">
        <f>Forward_Year_2</f>
        <v>42369</v>
      </c>
    </row>
    <row r="9" spans="2:20" x14ac:dyDescent="0.3">
      <c r="B9" s="293" t="str">
        <f>HLOOKUP($C9,Comps_Range,'Public Comps'!B$5,FALSE)</f>
        <v>Alexion Pharmaceuticals, Inc.</v>
      </c>
      <c r="C9" s="293" t="s">
        <v>252</v>
      </c>
      <c r="D9" s="313">
        <f>HLOOKUP($C9,Comps_Range,'Public Comps'!D$5,FALSE)</f>
        <v>152.87</v>
      </c>
      <c r="E9" s="314">
        <f>HLOOKUP($C9,Comps_Range,'Public Comps'!E$5,FALSE)</f>
        <v>31142.560598720003</v>
      </c>
      <c r="F9" s="314">
        <f>HLOOKUP($C9,Comps_Range,'Public Comps'!F$5,FALSE)</f>
        <v>29696.762598720004</v>
      </c>
      <c r="G9" s="314">
        <f>HLOOKUP($C9,Comps_Range,'Public Comps'!G$5,FALSE)</f>
        <v>1779.021</v>
      </c>
      <c r="H9" s="314">
        <f>HLOOKUP($C9,Comps_Range,'Public Comps'!H$5,FALSE)</f>
        <v>2170.931</v>
      </c>
      <c r="I9" s="315">
        <f>HLOOKUP($C9,Comps_Range,'Public Comps'!I$5,FALSE)</f>
        <v>2568.904</v>
      </c>
      <c r="J9" s="314">
        <f>HLOOKUP($C9,Comps_Range,'Public Comps'!J$5,FALSE)</f>
        <v>696.63100000000009</v>
      </c>
      <c r="K9" s="314">
        <f>HLOOKUP($C9,Comps_Range,'Public Comps'!K$5,FALSE)</f>
        <v>1073.5989999999999</v>
      </c>
      <c r="L9" s="314">
        <f>HLOOKUP($C9,Comps_Range,'Public Comps'!L$5,FALSE)</f>
        <v>1305.5940000000001</v>
      </c>
      <c r="M9" s="314">
        <f>HLOOKUP($C9,Comps_Range,'Public Comps'!M$5,FALSE)</f>
        <v>330.03200000000004</v>
      </c>
      <c r="N9" s="314">
        <f>HLOOKUP($C9,Comps_Range,'Public Comps'!N$5,FALSE)</f>
        <v>471.81599999999997</v>
      </c>
      <c r="O9" s="314">
        <f>HLOOKUP($C9,Comps_Range,'Public Comps'!O$5,FALSE)</f>
        <v>1123.242</v>
      </c>
      <c r="P9" s="316">
        <f>IFERROR(+I9/H9-1,"N/A")</f>
        <v>0.18331904606825367</v>
      </c>
      <c r="Q9" s="316">
        <f>IFERROR(+L9/K9-1,"N/A")</f>
        <v>0.21609092407872965</v>
      </c>
      <c r="R9" s="316">
        <f>IFERROR(+J9/G9,"N/A")</f>
        <v>0.39158109994204682</v>
      </c>
      <c r="S9" s="316">
        <f t="shared" ref="S9:T15" si="0">IFERROR(+K9/H9,"N/A")</f>
        <v>0.49453391194837604</v>
      </c>
      <c r="T9" s="316">
        <f t="shared" si="0"/>
        <v>0.50822996888945637</v>
      </c>
    </row>
    <row r="10" spans="2:20" x14ac:dyDescent="0.3">
      <c r="B10" s="293" t="str">
        <f>HLOOKUP($C10,Comps_Range,'Public Comps'!B$5,FALSE)</f>
        <v>Vertex Pharmaceuticals Inc.</v>
      </c>
      <c r="C10" s="293" t="s">
        <v>251</v>
      </c>
      <c r="D10" s="317">
        <f>HLOOKUP($C10,Comps_Range,'Public Comps'!D$5,FALSE)</f>
        <v>65.05</v>
      </c>
      <c r="E10" s="318">
        <f>HLOOKUP($C10,Comps_Range,'Public Comps'!E$5,FALSE)</f>
        <v>15689.408441849999</v>
      </c>
      <c r="F10" s="318">
        <f>HLOOKUP($C10,Comps_Range,'Public Comps'!F$5,FALSE)</f>
        <v>14079.177441849999</v>
      </c>
      <c r="G10" s="318">
        <f>HLOOKUP($C10,Comps_Range,'Public Comps'!G$5,FALSE)</f>
        <v>1002.058</v>
      </c>
      <c r="H10" s="318">
        <f>HLOOKUP($C10,Comps_Range,'Public Comps'!H$5,FALSE)</f>
        <v>574</v>
      </c>
      <c r="I10" s="318">
        <f>HLOOKUP($C10,Comps_Range,'Public Comps'!I$5,FALSE)</f>
        <v>1211</v>
      </c>
      <c r="J10" s="318">
        <f>HLOOKUP($C10,Comps_Range,'Public Comps'!J$5,FALSE)</f>
        <v>-330.81599999999997</v>
      </c>
      <c r="K10" s="318">
        <f>HLOOKUP($C10,Comps_Range,'Public Comps'!K$5,FALSE)</f>
        <v>-478</v>
      </c>
      <c r="L10" s="318">
        <f>HLOOKUP($C10,Comps_Range,'Public Comps'!L$5,FALSE)</f>
        <v>164</v>
      </c>
      <c r="M10" s="318">
        <f>HLOOKUP($C10,Comps_Range,'Public Comps'!M$5,FALSE)</f>
        <v>-369.46899999999999</v>
      </c>
      <c r="N10" s="318">
        <f>HLOOKUP($C10,Comps_Range,'Public Comps'!N$5,FALSE)</f>
        <v>-538</v>
      </c>
      <c r="O10" s="318">
        <f>HLOOKUP($C10,Comps_Range,'Public Comps'!O$5,FALSE)</f>
        <v>119</v>
      </c>
      <c r="P10" s="316">
        <f t="shared" ref="P10:P15" si="1">IFERROR(+I10/H10-1,"N/A")</f>
        <v>1.1097560975609757</v>
      </c>
      <c r="Q10" s="316">
        <f t="shared" ref="Q10:Q15" si="2">IFERROR(+L10/K10-1,"N/A")</f>
        <v>-1.3430962343096233</v>
      </c>
      <c r="R10" s="316">
        <f t="shared" ref="R10:R15" si="3">IFERROR(+J10/G10,"N/A")</f>
        <v>-0.3301365789205814</v>
      </c>
      <c r="S10" s="316">
        <f t="shared" si="0"/>
        <v>-0.83275261324041816</v>
      </c>
      <c r="T10" s="316">
        <f t="shared" si="0"/>
        <v>0.13542526837324526</v>
      </c>
    </row>
    <row r="11" spans="2:20" x14ac:dyDescent="0.3">
      <c r="B11" s="293" t="str">
        <f>HLOOKUP($C11,Comps_Range,'Public Comps'!B$5,FALSE)</f>
        <v>BioMarin Pharmaceutical Inc.</v>
      </c>
      <c r="C11" s="293" t="s">
        <v>256</v>
      </c>
      <c r="D11" s="317">
        <f>HLOOKUP($C11,Comps_Range,'Public Comps'!D$5,FALSE)</f>
        <v>58.54</v>
      </c>
      <c r="E11" s="318">
        <f>HLOOKUP($C11,Comps_Range,'Public Comps'!E$5,FALSE)</f>
        <v>9102.528562016385</v>
      </c>
      <c r="F11" s="318">
        <f>HLOOKUP($C11,Comps_Range,'Public Comps'!F$5,FALSE)</f>
        <v>8768.5895620163847</v>
      </c>
      <c r="G11" s="318">
        <f>HLOOKUP($C11,Comps_Range,'Public Comps'!G$5,FALSE)</f>
        <v>572.10900000000004</v>
      </c>
      <c r="H11" s="318">
        <f>HLOOKUP($C11,Comps_Range,'Public Comps'!H$5,FALSE)</f>
        <v>655</v>
      </c>
      <c r="I11" s="318">
        <f>HLOOKUP($C11,Comps_Range,'Public Comps'!I$5,FALSE)</f>
        <v>905</v>
      </c>
      <c r="J11" s="318">
        <f>HLOOKUP($C11,Comps_Range,'Public Comps'!J$5,FALSE)</f>
        <v>-95.64700000000002</v>
      </c>
      <c r="K11" s="318">
        <f>HLOOKUP($C11,Comps_Range,'Public Comps'!K$5,FALSE)</f>
        <v>-80</v>
      </c>
      <c r="L11" s="318">
        <f>HLOOKUP($C11,Comps_Range,'Public Comps'!L$5,FALSE)</f>
        <v>65</v>
      </c>
      <c r="M11" s="318">
        <f>HLOOKUP($C11,Comps_Range,'Public Comps'!M$5,FALSE)</f>
        <v>-174.65800000000002</v>
      </c>
      <c r="N11" s="318">
        <f>HLOOKUP($C11,Comps_Range,'Public Comps'!N$5,FALSE)</f>
        <v>-142</v>
      </c>
      <c r="O11" s="318">
        <f>HLOOKUP($C11,Comps_Range,'Public Comps'!O$5,FALSE)</f>
        <v>47</v>
      </c>
      <c r="P11" s="316">
        <f t="shared" si="1"/>
        <v>0.38167938931297707</v>
      </c>
      <c r="Q11" s="316">
        <f t="shared" si="2"/>
        <v>-1.8125</v>
      </c>
      <c r="R11" s="316">
        <f t="shared" si="3"/>
        <v>-0.16718317663242496</v>
      </c>
      <c r="S11" s="316">
        <f t="shared" si="0"/>
        <v>-0.12213740458015267</v>
      </c>
      <c r="T11" s="316">
        <f t="shared" si="0"/>
        <v>7.18232044198895E-2</v>
      </c>
    </row>
    <row r="12" spans="2:20" x14ac:dyDescent="0.3">
      <c r="B12" s="293" t="str">
        <f>HLOOKUP($C12,Comps_Range,'Public Comps'!B$5,FALSE)</f>
        <v>Salix Pharmaceuticals, Ltd.</v>
      </c>
      <c r="C12" s="293" t="s">
        <v>253</v>
      </c>
      <c r="D12" s="317">
        <f>HLOOKUP($C12,Comps_Range,'Public Comps'!D$5,FALSE)</f>
        <v>103.56</v>
      </c>
      <c r="E12" s="318">
        <f>HLOOKUP($C12,Comps_Range,'Public Comps'!E$5,FALSE)</f>
        <v>7774.0129292604206</v>
      </c>
      <c r="F12" s="318">
        <f>HLOOKUP($C12,Comps_Range,'Public Comps'!F$5,FALSE)</f>
        <v>9324.2389292604203</v>
      </c>
      <c r="G12" s="318">
        <f>HLOOKUP($C12,Comps_Range,'Public Comps'!G$5,FALSE)</f>
        <v>1115.6109999999999</v>
      </c>
      <c r="H12" s="318">
        <f>HLOOKUP($C12,Comps_Range,'Public Comps'!H$5,FALSE)</f>
        <v>1648.6110000000001</v>
      </c>
      <c r="I12" s="318">
        <f>HLOOKUP($C12,Comps_Range,'Public Comps'!I$5,FALSE)</f>
        <v>1994.7249999999999</v>
      </c>
      <c r="J12" s="318">
        <f>HLOOKUP($C12,Comps_Range,'Public Comps'!J$5,FALSE)</f>
        <v>280.61999999999989</v>
      </c>
      <c r="K12" s="318">
        <f>HLOOKUP($C12,Comps_Range,'Public Comps'!K$5,FALSE)</f>
        <v>680.346</v>
      </c>
      <c r="L12" s="318">
        <f>HLOOKUP($C12,Comps_Range,'Public Comps'!L$5,FALSE)</f>
        <v>956.67700000000002</v>
      </c>
      <c r="M12" s="318">
        <f>HLOOKUP($C12,Comps_Range,'Public Comps'!M$5,FALSE)</f>
        <v>76.720999999999833</v>
      </c>
      <c r="N12" s="318">
        <f>HLOOKUP($C12,Comps_Range,'Public Comps'!N$5,FALSE)</f>
        <v>360.93624</v>
      </c>
      <c r="O12" s="318">
        <f>HLOOKUP($C12,Comps_Range,'Public Comps'!O$5,FALSE)</f>
        <v>444.00352000000004</v>
      </c>
      <c r="P12" s="316">
        <f t="shared" si="1"/>
        <v>0.20994279426741658</v>
      </c>
      <c r="Q12" s="316">
        <f t="shared" si="2"/>
        <v>0.40616245263439477</v>
      </c>
      <c r="R12" s="316">
        <f t="shared" si="3"/>
        <v>0.25153929102527667</v>
      </c>
      <c r="S12" s="316">
        <f t="shared" si="0"/>
        <v>0.41267830919483128</v>
      </c>
      <c r="T12" s="316">
        <f t="shared" si="0"/>
        <v>0.47960345411021571</v>
      </c>
    </row>
    <row r="13" spans="2:20" x14ac:dyDescent="0.3">
      <c r="B13" s="293" t="str">
        <f>HLOOKUP($C13,Comps_Range,'Public Comps'!B$5,FALSE)</f>
        <v>Cubist Pharmaceuticals, Inc.</v>
      </c>
      <c r="C13" s="293" t="s">
        <v>255</v>
      </c>
      <c r="D13" s="317">
        <f>HLOOKUP($C13,Comps_Range,'Public Comps'!D$5,FALSE)</f>
        <v>67.47</v>
      </c>
      <c r="E13" s="318">
        <f>HLOOKUP($C13,Comps_Range,'Public Comps'!E$5,FALSE)</f>
        <v>5865.8058207364156</v>
      </c>
      <c r="F13" s="318">
        <f>HLOOKUP($C13,Comps_Range,'Public Comps'!F$5,FALSE)</f>
        <v>6038.1498207364157</v>
      </c>
      <c r="G13" s="318">
        <f>HLOOKUP($C13,Comps_Range,'Public Comps'!G$5,FALSE)</f>
        <v>1085.7459999999999</v>
      </c>
      <c r="H13" s="318">
        <f>HLOOKUP($C13,Comps_Range,'Public Comps'!H$5,FALSE)</f>
        <v>1206.3</v>
      </c>
      <c r="I13" s="318">
        <f>HLOOKUP($C13,Comps_Range,'Public Comps'!I$5,FALSE)</f>
        <v>1483</v>
      </c>
      <c r="J13" s="318">
        <f>HLOOKUP($C13,Comps_Range,'Public Comps'!J$5,FALSE)</f>
        <v>233.44500000000005</v>
      </c>
      <c r="K13" s="318">
        <f>HLOOKUP($C13,Comps_Range,'Public Comps'!K$5,FALSE)</f>
        <v>259.3</v>
      </c>
      <c r="L13" s="318">
        <f>HLOOKUP($C13,Comps_Range,'Public Comps'!L$5,FALSE)</f>
        <v>294.8</v>
      </c>
      <c r="M13" s="318">
        <f>HLOOKUP($C13,Comps_Range,'Public Comps'!M$5,FALSE)</f>
        <v>-0.42599999999990601</v>
      </c>
      <c r="N13" s="318">
        <f>HLOOKUP($C13,Comps_Range,'Public Comps'!N$5,FALSE)</f>
        <v>26</v>
      </c>
      <c r="O13" s="318">
        <f>HLOOKUP($C13,Comps_Range,'Public Comps'!O$5,FALSE)</f>
        <v>48</v>
      </c>
      <c r="P13" s="316">
        <f t="shared" si="1"/>
        <v>0.22937909309458671</v>
      </c>
      <c r="Q13" s="316">
        <f t="shared" si="2"/>
        <v>0.13690705746239873</v>
      </c>
      <c r="R13" s="316">
        <f t="shared" si="3"/>
        <v>0.21500885105724551</v>
      </c>
      <c r="S13" s="316">
        <f t="shared" si="0"/>
        <v>0.21495482052557408</v>
      </c>
      <c r="T13" s="316">
        <f t="shared" si="0"/>
        <v>0.19878624409979773</v>
      </c>
    </row>
    <row r="14" spans="2:20" x14ac:dyDescent="0.3">
      <c r="B14" s="293" t="str">
        <f>HLOOKUP($C14,Comps_Range,'Public Comps'!B$5,FALSE)</f>
        <v>United Therapeutics Corporation</v>
      </c>
      <c r="C14" s="293" t="s">
        <v>254</v>
      </c>
      <c r="D14" s="317">
        <f>HLOOKUP($C14,Comps_Range,'Public Comps'!D$5,FALSE)</f>
        <v>106.5</v>
      </c>
      <c r="E14" s="318">
        <f>HLOOKUP($C14,Comps_Range,'Public Comps'!E$5,FALSE)</f>
        <v>5861.0725772966071</v>
      </c>
      <c r="F14" s="318">
        <f>HLOOKUP($C14,Comps_Range,'Public Comps'!F$5,FALSE)</f>
        <v>4781.3615772966068</v>
      </c>
      <c r="G14" s="318">
        <f>HLOOKUP($C14,Comps_Range,'Public Comps'!G$5,FALSE)</f>
        <v>1161.251</v>
      </c>
      <c r="H14" s="318">
        <f>HLOOKUP($C14,Comps_Range,'Public Comps'!H$5,FALSE)</f>
        <v>1255</v>
      </c>
      <c r="I14" s="318">
        <f>HLOOKUP($C14,Comps_Range,'Public Comps'!I$5,FALSE)</f>
        <v>1387</v>
      </c>
      <c r="J14" s="318">
        <f>HLOOKUP($C14,Comps_Range,'Public Comps'!J$5,FALSE)</f>
        <v>463.14299999999992</v>
      </c>
      <c r="K14" s="318">
        <f>HLOOKUP($C14,Comps_Range,'Public Comps'!K$5,FALSE)</f>
        <v>629</v>
      </c>
      <c r="L14" s="318">
        <f>HLOOKUP($C14,Comps_Range,'Public Comps'!L$5,FALSE)</f>
        <v>690</v>
      </c>
      <c r="M14" s="318">
        <f>HLOOKUP($C14,Comps_Range,'Public Comps'!M$5,FALSE)</f>
        <v>249.75899999999999</v>
      </c>
      <c r="N14" s="318">
        <f>HLOOKUP($C14,Comps_Range,'Public Comps'!N$5,FALSE)</f>
        <v>400</v>
      </c>
      <c r="O14" s="318">
        <f>HLOOKUP($C14,Comps_Range,'Public Comps'!O$5,FALSE)</f>
        <v>441</v>
      </c>
      <c r="P14" s="316">
        <f t="shared" si="1"/>
        <v>0.10517928286852585</v>
      </c>
      <c r="Q14" s="316">
        <f t="shared" si="2"/>
        <v>9.6979332273450014E-2</v>
      </c>
      <c r="R14" s="316">
        <f t="shared" si="3"/>
        <v>0.39883108819712526</v>
      </c>
      <c r="S14" s="316">
        <f t="shared" si="0"/>
        <v>0.50119521912350595</v>
      </c>
      <c r="T14" s="316">
        <f t="shared" si="0"/>
        <v>0.49747656813266039</v>
      </c>
    </row>
    <row r="15" spans="2:20" x14ac:dyDescent="0.3">
      <c r="B15" s="293" t="str">
        <f>HLOOKUP($C15,Comps_Range,'Public Comps'!B$5,FALSE)</f>
        <v xml:space="preserve">The Medicines Company </v>
      </c>
      <c r="C15" s="293" t="s">
        <v>257</v>
      </c>
      <c r="D15" s="317">
        <f>HLOOKUP($C15,Comps_Range,'Public Comps'!D$5,FALSE)</f>
        <v>25.49</v>
      </c>
      <c r="E15" s="318">
        <f>HLOOKUP($C15,Comps_Range,'Public Comps'!E$5,FALSE)</f>
        <v>1699.3490238099998</v>
      </c>
      <c r="F15" s="318">
        <f>HLOOKUP($C15,Comps_Range,'Public Comps'!F$5,FALSE)</f>
        <v>1532.6860238099998</v>
      </c>
      <c r="G15" s="318">
        <f>HLOOKUP($C15,Comps_Range,'Public Comps'!G$5,FALSE)</f>
        <v>709.346</v>
      </c>
      <c r="H15" s="318">
        <f>HLOOKUP($C15,Comps_Range,'Public Comps'!H$5,FALSE)</f>
        <v>775.1</v>
      </c>
      <c r="I15" s="318">
        <f>HLOOKUP($C15,Comps_Range,'Public Comps'!I$5,FALSE)</f>
        <v>822.5</v>
      </c>
      <c r="J15" s="318">
        <f>HLOOKUP($C15,Comps_Range,'Public Comps'!J$5,FALSE)</f>
        <v>96.450000000000045</v>
      </c>
      <c r="K15" s="318">
        <f>HLOOKUP($C15,Comps_Range,'Public Comps'!K$5,FALSE)</f>
        <v>70.2</v>
      </c>
      <c r="L15" s="318">
        <f>HLOOKUP($C15,Comps_Range,'Public Comps'!L$5,FALSE)</f>
        <v>166.1</v>
      </c>
      <c r="M15" s="318">
        <f>HLOOKUP($C15,Comps_Range,'Public Comps'!M$5,FALSE)</f>
        <v>22.089000000000045</v>
      </c>
      <c r="N15" s="318">
        <f>HLOOKUP($C15,Comps_Range,'Public Comps'!N$5,FALSE)</f>
        <v>-0.4</v>
      </c>
      <c r="O15" s="318">
        <f>HLOOKUP($C15,Comps_Range,'Public Comps'!O$5,FALSE)</f>
        <v>105.6</v>
      </c>
      <c r="P15" s="316">
        <f t="shared" si="1"/>
        <v>6.1153399561346911E-2</v>
      </c>
      <c r="Q15" s="316">
        <f t="shared" si="2"/>
        <v>1.366096866096866</v>
      </c>
      <c r="R15" s="316">
        <f t="shared" si="3"/>
        <v>0.13597031631953946</v>
      </c>
      <c r="S15" s="316">
        <f t="shared" si="0"/>
        <v>9.0568958844020123E-2</v>
      </c>
      <c r="T15" s="316">
        <f t="shared" si="0"/>
        <v>0.20194528875379938</v>
      </c>
    </row>
    <row r="17" spans="2:20" x14ac:dyDescent="0.3">
      <c r="B17" s="319" t="s">
        <v>258</v>
      </c>
      <c r="C17" s="320"/>
      <c r="D17" s="321">
        <f>MAX(D9:D15)</f>
        <v>152.87</v>
      </c>
      <c r="E17" s="322">
        <f t="shared" ref="E17:T17" si="4">MAX(E9:E15)</f>
        <v>31142.560598720003</v>
      </c>
      <c r="F17" s="322">
        <f t="shared" si="4"/>
        <v>29696.762598720004</v>
      </c>
      <c r="G17" s="322">
        <f t="shared" si="4"/>
        <v>1779.021</v>
      </c>
      <c r="H17" s="322">
        <f t="shared" si="4"/>
        <v>2170.931</v>
      </c>
      <c r="I17" s="322">
        <f t="shared" si="4"/>
        <v>2568.904</v>
      </c>
      <c r="J17" s="322">
        <f t="shared" si="4"/>
        <v>696.63100000000009</v>
      </c>
      <c r="K17" s="322">
        <f t="shared" si="4"/>
        <v>1073.5989999999999</v>
      </c>
      <c r="L17" s="322">
        <f t="shared" si="4"/>
        <v>1305.5940000000001</v>
      </c>
      <c r="M17" s="322">
        <f t="shared" si="4"/>
        <v>330.03200000000004</v>
      </c>
      <c r="N17" s="322">
        <f t="shared" si="4"/>
        <v>471.81599999999997</v>
      </c>
      <c r="O17" s="322">
        <f t="shared" si="4"/>
        <v>1123.242</v>
      </c>
      <c r="P17" s="323">
        <f t="shared" si="4"/>
        <v>1.1097560975609757</v>
      </c>
      <c r="Q17" s="323">
        <f t="shared" si="4"/>
        <v>1.366096866096866</v>
      </c>
      <c r="R17" s="323">
        <f t="shared" si="4"/>
        <v>0.39883108819712526</v>
      </c>
      <c r="S17" s="323">
        <f t="shared" si="4"/>
        <v>0.50119521912350595</v>
      </c>
      <c r="T17" s="324">
        <f t="shared" si="4"/>
        <v>0.50822996888945637</v>
      </c>
    </row>
    <row r="18" spans="2:20" x14ac:dyDescent="0.3">
      <c r="B18" s="325" t="s">
        <v>259</v>
      </c>
      <c r="C18" s="326"/>
      <c r="D18" s="317">
        <f>QUARTILE(D9:D15,3)</f>
        <v>105.03</v>
      </c>
      <c r="E18" s="318">
        <f t="shared" ref="E18:T18" si="5">QUARTILE(E9:E15,3)</f>
        <v>12395.968501933192</v>
      </c>
      <c r="F18" s="318">
        <f t="shared" si="5"/>
        <v>11701.70818555521</v>
      </c>
      <c r="G18" s="318">
        <f t="shared" si="5"/>
        <v>1138.431</v>
      </c>
      <c r="H18" s="318">
        <f t="shared" si="5"/>
        <v>1451.8054999999999</v>
      </c>
      <c r="I18" s="318">
        <f t="shared" si="5"/>
        <v>1738.8625</v>
      </c>
      <c r="J18" s="318">
        <f t="shared" si="5"/>
        <v>371.8814999999999</v>
      </c>
      <c r="K18" s="318">
        <f t="shared" si="5"/>
        <v>654.673</v>
      </c>
      <c r="L18" s="318">
        <f t="shared" si="5"/>
        <v>823.33850000000007</v>
      </c>
      <c r="M18" s="318">
        <f t="shared" si="5"/>
        <v>163.2399999999999</v>
      </c>
      <c r="N18" s="318">
        <f t="shared" si="5"/>
        <v>380.46812</v>
      </c>
      <c r="O18" s="318">
        <f t="shared" si="5"/>
        <v>442.50175999999999</v>
      </c>
      <c r="P18" s="316">
        <f t="shared" si="5"/>
        <v>0.30552924120378189</v>
      </c>
      <c r="Q18" s="316">
        <f t="shared" si="5"/>
        <v>0.31112668835656221</v>
      </c>
      <c r="R18" s="316">
        <f t="shared" si="5"/>
        <v>0.32156019548366177</v>
      </c>
      <c r="S18" s="316">
        <f t="shared" si="5"/>
        <v>0.45360611057160366</v>
      </c>
      <c r="T18" s="327">
        <f t="shared" si="5"/>
        <v>0.48854001112143808</v>
      </c>
    </row>
    <row r="19" spans="2:20" x14ac:dyDescent="0.3">
      <c r="B19" s="328" t="s">
        <v>260</v>
      </c>
      <c r="C19" s="329"/>
      <c r="D19" s="330">
        <f>MEDIAN(D9:D15)</f>
        <v>67.47</v>
      </c>
      <c r="E19" s="331">
        <f t="shared" ref="E19:T19" si="6">MEDIAN(E9:E15)</f>
        <v>7774.0129292604206</v>
      </c>
      <c r="F19" s="331">
        <f t="shared" si="6"/>
        <v>8768.5895620163847</v>
      </c>
      <c r="G19" s="331">
        <f t="shared" si="6"/>
        <v>1085.7459999999999</v>
      </c>
      <c r="H19" s="331">
        <f t="shared" si="6"/>
        <v>1206.3</v>
      </c>
      <c r="I19" s="331">
        <f t="shared" si="6"/>
        <v>1387</v>
      </c>
      <c r="J19" s="331">
        <f t="shared" si="6"/>
        <v>233.44500000000005</v>
      </c>
      <c r="K19" s="331">
        <f t="shared" si="6"/>
        <v>259.3</v>
      </c>
      <c r="L19" s="331">
        <f t="shared" si="6"/>
        <v>294.8</v>
      </c>
      <c r="M19" s="331">
        <f t="shared" si="6"/>
        <v>22.089000000000045</v>
      </c>
      <c r="N19" s="331">
        <f t="shared" si="6"/>
        <v>26</v>
      </c>
      <c r="O19" s="331">
        <f t="shared" si="6"/>
        <v>119</v>
      </c>
      <c r="P19" s="332">
        <f t="shared" si="6"/>
        <v>0.20994279426741658</v>
      </c>
      <c r="Q19" s="332">
        <f t="shared" si="6"/>
        <v>0.13690705746239873</v>
      </c>
      <c r="R19" s="332">
        <f t="shared" si="6"/>
        <v>0.21500885105724551</v>
      </c>
      <c r="S19" s="332">
        <f t="shared" si="6"/>
        <v>0.21495482052557408</v>
      </c>
      <c r="T19" s="333">
        <f t="shared" si="6"/>
        <v>0.20194528875379938</v>
      </c>
    </row>
    <row r="20" spans="2:20" x14ac:dyDescent="0.3">
      <c r="B20" s="325" t="s">
        <v>261</v>
      </c>
      <c r="C20" s="334"/>
      <c r="D20" s="317">
        <f>QUARTILE(D9:D15,1)</f>
        <v>61.795000000000002</v>
      </c>
      <c r="E20" s="318">
        <f t="shared" ref="E20:T20" si="7">QUARTILE(E9:E15,1)</f>
        <v>5863.4391990165113</v>
      </c>
      <c r="F20" s="318">
        <f t="shared" si="7"/>
        <v>5409.7556990165112</v>
      </c>
      <c r="G20" s="318">
        <f t="shared" si="7"/>
        <v>855.702</v>
      </c>
      <c r="H20" s="318">
        <f t="shared" si="7"/>
        <v>715.05</v>
      </c>
      <c r="I20" s="318">
        <f t="shared" si="7"/>
        <v>1058</v>
      </c>
      <c r="J20" s="318">
        <f t="shared" si="7"/>
        <v>0.40150000000001285</v>
      </c>
      <c r="K20" s="318">
        <f t="shared" si="7"/>
        <v>-4.9000000000000057</v>
      </c>
      <c r="L20" s="318">
        <f t="shared" si="7"/>
        <v>165.05</v>
      </c>
      <c r="M20" s="318">
        <f t="shared" si="7"/>
        <v>-87.541999999999959</v>
      </c>
      <c r="N20" s="318">
        <f t="shared" si="7"/>
        <v>-71.2</v>
      </c>
      <c r="O20" s="318">
        <f t="shared" si="7"/>
        <v>76.8</v>
      </c>
      <c r="P20" s="316">
        <f t="shared" si="7"/>
        <v>0.14424916446838976</v>
      </c>
      <c r="Q20" s="316">
        <f t="shared" si="7"/>
        <v>-0.62305845101808666</v>
      </c>
      <c r="R20" s="316">
        <f t="shared" si="7"/>
        <v>-1.5606430156442752E-2</v>
      </c>
      <c r="S20" s="316">
        <f t="shared" si="7"/>
        <v>-1.5784222868066272E-2</v>
      </c>
      <c r="T20" s="327">
        <f t="shared" si="7"/>
        <v>0.16710575623652149</v>
      </c>
    </row>
    <row r="21" spans="2:20" x14ac:dyDescent="0.3">
      <c r="B21" s="335" t="s">
        <v>262</v>
      </c>
      <c r="C21" s="336"/>
      <c r="D21" s="337">
        <f>MIN(D9:D15)</f>
        <v>25.49</v>
      </c>
      <c r="E21" s="338">
        <f t="shared" ref="E21:T21" si="8">MIN(E9:E15)</f>
        <v>1699.3490238099998</v>
      </c>
      <c r="F21" s="338">
        <f t="shared" si="8"/>
        <v>1532.6860238099998</v>
      </c>
      <c r="G21" s="338">
        <f t="shared" si="8"/>
        <v>572.10900000000004</v>
      </c>
      <c r="H21" s="338">
        <f t="shared" si="8"/>
        <v>574</v>
      </c>
      <c r="I21" s="338">
        <f t="shared" si="8"/>
        <v>822.5</v>
      </c>
      <c r="J21" s="338">
        <f t="shared" si="8"/>
        <v>-330.81599999999997</v>
      </c>
      <c r="K21" s="338">
        <f t="shared" si="8"/>
        <v>-478</v>
      </c>
      <c r="L21" s="338">
        <f t="shared" si="8"/>
        <v>65</v>
      </c>
      <c r="M21" s="338">
        <f t="shared" si="8"/>
        <v>-369.46899999999999</v>
      </c>
      <c r="N21" s="338">
        <f t="shared" si="8"/>
        <v>-538</v>
      </c>
      <c r="O21" s="338">
        <f t="shared" si="8"/>
        <v>47</v>
      </c>
      <c r="P21" s="339">
        <f t="shared" si="8"/>
        <v>6.1153399561346911E-2</v>
      </c>
      <c r="Q21" s="339">
        <f t="shared" si="8"/>
        <v>-1.8125</v>
      </c>
      <c r="R21" s="339">
        <f t="shared" si="8"/>
        <v>-0.3301365789205814</v>
      </c>
      <c r="S21" s="339">
        <f t="shared" si="8"/>
        <v>-0.83275261324041816</v>
      </c>
      <c r="T21" s="340">
        <f t="shared" si="8"/>
        <v>7.18232044198895E-2</v>
      </c>
    </row>
    <row r="23" spans="2:20" x14ac:dyDescent="0.3">
      <c r="B23" s="341" t="str">
        <f>HLOOKUP($C23,Comps_Range,'Public Comps'!B$5,FALSE)</f>
        <v>Jazz Pharmaceuticals plc</v>
      </c>
      <c r="C23" s="342" t="str">
        <f>Ticker</f>
        <v>JAZZ</v>
      </c>
      <c r="D23" s="343">
        <f>HLOOKUP($C23,Comps_Range,'Public Comps'!D$5,FALSE)</f>
        <v>129.44999999999999</v>
      </c>
      <c r="E23" s="344">
        <f>HLOOKUP($C23,Comps_Range,'Public Comps'!E$5,FALSE)</f>
        <v>8195.9685167499993</v>
      </c>
      <c r="F23" s="344">
        <f>HLOOKUP($C23,Comps_Range,'Public Comps'!F$5,FALSE)</f>
        <v>9089.4525167499996</v>
      </c>
      <c r="G23" s="344">
        <f>HLOOKUP($C23,Comps_Range,'Public Comps'!G$5,FALSE)</f>
        <v>923.10500000000013</v>
      </c>
      <c r="H23" s="344">
        <f>HLOOKUP($C23,Comps_Range,'Public Comps'!H$5,FALSE)</f>
        <v>1176.8697723647181</v>
      </c>
      <c r="I23" s="344">
        <f>HLOOKUP($C23,Comps_Range,'Public Comps'!I$5,FALSE)</f>
        <v>1553.258794387468</v>
      </c>
      <c r="J23" s="344">
        <f>HLOOKUP($C23,Comps_Range,'Public Comps'!J$5,FALSE)</f>
        <v>422.91700000000003</v>
      </c>
      <c r="K23" s="344">
        <f>HLOOKUP($C23,Comps_Range,'Public Comps'!K$5,FALSE)</f>
        <v>609.85835849646628</v>
      </c>
      <c r="L23" s="344">
        <f>HLOOKUP($C23,Comps_Range,'Public Comps'!L$5,FALSE)</f>
        <v>830.93611559903286</v>
      </c>
      <c r="M23" s="344">
        <f>HLOOKUP($C23,Comps_Range,'Public Comps'!M$5,FALSE)</f>
        <v>80.237000000000066</v>
      </c>
      <c r="N23" s="344">
        <f>HLOOKUP($C23,Comps_Range,'Public Comps'!N$5,FALSE)</f>
        <v>246.040081113746</v>
      </c>
      <c r="O23" s="344">
        <f>HLOOKUP($C23,Comps_Range,'Public Comps'!O$5,FALSE)</f>
        <v>540.2937537342184</v>
      </c>
      <c r="P23" s="345">
        <f t="shared" ref="P23" si="9">IFERROR(+I23/H23-1,"N/A")</f>
        <v>0.31982215098146383</v>
      </c>
      <c r="Q23" s="345">
        <f t="shared" ref="Q23" si="10">IFERROR(+L23/K23-1,"N/A")</f>
        <v>0.36250672639399029</v>
      </c>
      <c r="R23" s="345">
        <f t="shared" ref="R23:T23" si="11">IFERROR(+J23/G23,"N/A")</f>
        <v>0.4581461480546633</v>
      </c>
      <c r="S23" s="345">
        <f t="shared" si="11"/>
        <v>0.5182037748076922</v>
      </c>
      <c r="T23" s="346">
        <f t="shared" si="11"/>
        <v>0.53496308445284857</v>
      </c>
    </row>
    <row r="25" spans="2:20" hidden="1" outlineLevel="1" x14ac:dyDescent="0.3">
      <c r="B25" s="294">
        <f>Inputs!$F$13</f>
        <v>2</v>
      </c>
      <c r="D25" s="294">
        <f>Inputs!$F$14</f>
        <v>44</v>
      </c>
      <c r="E25" s="294">
        <f>Inputs!$F$15</f>
        <v>69</v>
      </c>
      <c r="F25" s="294">
        <f>Inputs!$F$16</f>
        <v>70</v>
      </c>
      <c r="G25" s="294">
        <f>Inputs!$F$26</f>
        <v>93</v>
      </c>
      <c r="H25" s="294">
        <f>Inputs!$F$27</f>
        <v>97</v>
      </c>
      <c r="I25" s="294">
        <f>Inputs!$F$28</f>
        <v>101</v>
      </c>
      <c r="J25" s="294">
        <f>Inputs!$F$29</f>
        <v>94</v>
      </c>
      <c r="K25" s="294">
        <f>Inputs!$F$30</f>
        <v>98</v>
      </c>
      <c r="L25" s="294">
        <f>Inputs!$F$31</f>
        <v>102</v>
      </c>
      <c r="M25" s="294">
        <f>Inputs!$F$32</f>
        <v>95</v>
      </c>
      <c r="N25" s="293">
        <f>Inputs!$F$33</f>
        <v>99</v>
      </c>
      <c r="O25" s="293">
        <f>Inputs!$F$34</f>
        <v>103</v>
      </c>
    </row>
    <row r="26" spans="2:20" collapsed="1" x14ac:dyDescent="0.3">
      <c r="B26" s="347" t="s">
        <v>263</v>
      </c>
      <c r="C26" s="296"/>
      <c r="D26" s="296"/>
      <c r="E26" s="297" t="s">
        <v>239</v>
      </c>
      <c r="F26" s="298"/>
      <c r="G26" s="297" t="s">
        <v>264</v>
      </c>
      <c r="H26" s="298"/>
      <c r="I26" s="298"/>
      <c r="J26" s="297" t="s">
        <v>264</v>
      </c>
      <c r="K26" s="298"/>
      <c r="L26" s="298"/>
      <c r="M26" s="299"/>
      <c r="N26" s="299"/>
      <c r="O26" s="348"/>
    </row>
    <row r="27" spans="2:20" x14ac:dyDescent="0.3">
      <c r="B27" s="303"/>
      <c r="C27" s="304"/>
      <c r="D27" s="305" t="s">
        <v>240</v>
      </c>
      <c r="E27" s="305" t="s">
        <v>241</v>
      </c>
      <c r="F27" s="305" t="s">
        <v>242</v>
      </c>
      <c r="G27" s="306" t="s">
        <v>243</v>
      </c>
      <c r="H27" s="349"/>
      <c r="I27" s="349"/>
      <c r="J27" s="306" t="s">
        <v>244</v>
      </c>
      <c r="K27" s="350"/>
      <c r="L27" s="350"/>
      <c r="M27" s="306" t="s">
        <v>265</v>
      </c>
      <c r="N27" s="306"/>
      <c r="O27" s="307"/>
      <c r="P27" s="351"/>
      <c r="Q27" s="351"/>
      <c r="R27" s="351"/>
      <c r="S27" s="351"/>
      <c r="T27" s="351"/>
    </row>
    <row r="28" spans="2:20" x14ac:dyDescent="0.3">
      <c r="B28" s="308" t="s">
        <v>212</v>
      </c>
      <c r="C28" s="309"/>
      <c r="D28" s="310" t="s">
        <v>248</v>
      </c>
      <c r="E28" s="310" t="s">
        <v>249</v>
      </c>
      <c r="F28" s="310" t="s">
        <v>249</v>
      </c>
      <c r="G28" s="311" t="str">
        <f>LTM</f>
        <v>LTM</v>
      </c>
      <c r="H28" s="311">
        <f>Forward_Year_1</f>
        <v>42004</v>
      </c>
      <c r="I28" s="311">
        <f>Forward_Year_2</f>
        <v>42369</v>
      </c>
      <c r="J28" s="311" t="str">
        <f>LTM</f>
        <v>LTM</v>
      </c>
      <c r="K28" s="311">
        <f>Forward_Year_1</f>
        <v>42004</v>
      </c>
      <c r="L28" s="311">
        <f>Forward_Year_2</f>
        <v>42369</v>
      </c>
      <c r="M28" s="311" t="str">
        <f>LTM</f>
        <v>LTM</v>
      </c>
      <c r="N28" s="311">
        <f>Forward_Year_1</f>
        <v>42004</v>
      </c>
      <c r="O28" s="311">
        <f>Forward_Year_2</f>
        <v>42369</v>
      </c>
      <c r="P28" s="352"/>
      <c r="Q28" s="352"/>
      <c r="R28" s="352"/>
      <c r="S28" s="352"/>
      <c r="T28" s="352"/>
    </row>
    <row r="29" spans="2:20" x14ac:dyDescent="0.3">
      <c r="B29" s="293" t="str">
        <f t="shared" ref="B29:B35" si="12">HLOOKUP($C29,Comps_Range,B$25,FALSE)</f>
        <v>Alexion Pharmaceuticals, Inc.</v>
      </c>
      <c r="C29" s="293" t="str">
        <f>C9</f>
        <v>ALXN</v>
      </c>
      <c r="D29" s="313">
        <f t="shared" ref="D29:O35" si="13">HLOOKUP($C29,Comps_Range,D$25,FALSE)</f>
        <v>152.87</v>
      </c>
      <c r="E29" s="314">
        <f t="shared" si="13"/>
        <v>31142.560598720003</v>
      </c>
      <c r="F29" s="314">
        <f t="shared" si="13"/>
        <v>29696.762598720004</v>
      </c>
      <c r="G29" s="353">
        <f t="shared" si="13"/>
        <v>16.692755509192981</v>
      </c>
      <c r="H29" s="353">
        <f t="shared" si="13"/>
        <v>13.679275204380058</v>
      </c>
      <c r="I29" s="353">
        <f t="shared" si="13"/>
        <v>11.560090450526763</v>
      </c>
      <c r="J29" s="353">
        <f t="shared" si="13"/>
        <v>42.62911440736918</v>
      </c>
      <c r="K29" s="353">
        <f t="shared" si="13"/>
        <v>27.660944727705601</v>
      </c>
      <c r="L29" s="353">
        <f t="shared" si="13"/>
        <v>22.745786667769615</v>
      </c>
      <c r="M29" s="353">
        <f t="shared" si="13"/>
        <v>94.362245475347848</v>
      </c>
      <c r="N29" s="353">
        <f t="shared" si="13"/>
        <v>66.005732316665828</v>
      </c>
      <c r="O29" s="353">
        <f t="shared" si="13"/>
        <v>27.725601961750009</v>
      </c>
    </row>
    <row r="30" spans="2:20" x14ac:dyDescent="0.3">
      <c r="B30" s="293" t="str">
        <f t="shared" si="12"/>
        <v>Vertex Pharmaceuticals Inc.</v>
      </c>
      <c r="C30" s="293" t="str">
        <f>C10</f>
        <v>VRTX</v>
      </c>
      <c r="D30" s="317">
        <f t="shared" si="13"/>
        <v>65.05</v>
      </c>
      <c r="E30" s="318">
        <f t="shared" si="13"/>
        <v>15689.408441849999</v>
      </c>
      <c r="F30" s="318">
        <f t="shared" si="13"/>
        <v>14079.177441849999</v>
      </c>
      <c r="G30" s="353">
        <f t="shared" si="13"/>
        <v>14.050262002648548</v>
      </c>
      <c r="H30" s="353">
        <f t="shared" si="13"/>
        <v>24.528183696602785</v>
      </c>
      <c r="I30" s="353">
        <f t="shared" si="13"/>
        <v>11.626075509372418</v>
      </c>
      <c r="J30" s="353" t="str">
        <f t="shared" si="13"/>
        <v>NM</v>
      </c>
      <c r="K30" s="353" t="str">
        <f t="shared" si="13"/>
        <v>NM</v>
      </c>
      <c r="L30" s="353">
        <f t="shared" si="13"/>
        <v>85.848642938109748</v>
      </c>
      <c r="M30" s="353" t="str">
        <f t="shared" si="13"/>
        <v>NM</v>
      </c>
      <c r="N30" s="353" t="str">
        <f t="shared" si="13"/>
        <v>NM</v>
      </c>
      <c r="O30" s="353" t="str">
        <f t="shared" si="13"/>
        <v>NM</v>
      </c>
    </row>
    <row r="31" spans="2:20" x14ac:dyDescent="0.3">
      <c r="B31" s="293" t="str">
        <f t="shared" si="12"/>
        <v>BioMarin Pharmaceutical Inc.</v>
      </c>
      <c r="C31" s="293" t="str">
        <f>C11</f>
        <v>BMRN</v>
      </c>
      <c r="D31" s="317">
        <f t="shared" si="13"/>
        <v>58.54</v>
      </c>
      <c r="E31" s="318">
        <f t="shared" si="13"/>
        <v>9102.528562016385</v>
      </c>
      <c r="F31" s="318">
        <f t="shared" si="13"/>
        <v>8768.5895620163847</v>
      </c>
      <c r="G31" s="353">
        <f t="shared" si="13"/>
        <v>15.326781368613995</v>
      </c>
      <c r="H31" s="353">
        <f t="shared" si="13"/>
        <v>13.387159636666237</v>
      </c>
      <c r="I31" s="353">
        <f t="shared" si="13"/>
        <v>9.6890492397971109</v>
      </c>
      <c r="J31" s="353" t="str">
        <f t="shared" si="13"/>
        <v>NM</v>
      </c>
      <c r="K31" s="353" t="str">
        <f t="shared" si="13"/>
        <v>NM</v>
      </c>
      <c r="L31" s="353" t="str">
        <f t="shared" si="13"/>
        <v>NM</v>
      </c>
      <c r="M31" s="353" t="str">
        <f t="shared" si="13"/>
        <v>NM</v>
      </c>
      <c r="N31" s="353" t="str">
        <f t="shared" si="13"/>
        <v>NM</v>
      </c>
      <c r="O31" s="353" t="str">
        <f t="shared" si="13"/>
        <v>NM</v>
      </c>
    </row>
    <row r="32" spans="2:20" x14ac:dyDescent="0.3">
      <c r="B32" s="293" t="str">
        <f t="shared" si="12"/>
        <v>Salix Pharmaceuticals, Ltd.</v>
      </c>
      <c r="C32" s="293" t="str">
        <f>C12</f>
        <v>SLXP</v>
      </c>
      <c r="D32" s="317">
        <f t="shared" si="13"/>
        <v>103.56</v>
      </c>
      <c r="E32" s="318">
        <f t="shared" si="13"/>
        <v>7774.0129292604206</v>
      </c>
      <c r="F32" s="318">
        <f t="shared" si="13"/>
        <v>9324.2389292604203</v>
      </c>
      <c r="G32" s="353">
        <f t="shared" si="13"/>
        <v>8.3579661093879682</v>
      </c>
      <c r="H32" s="353">
        <f t="shared" si="13"/>
        <v>5.6558150644757434</v>
      </c>
      <c r="I32" s="353">
        <f t="shared" si="13"/>
        <v>4.6744483220796953</v>
      </c>
      <c r="J32" s="353">
        <f t="shared" si="13"/>
        <v>33.227278630391361</v>
      </c>
      <c r="K32" s="353">
        <f t="shared" si="13"/>
        <v>13.705142573426492</v>
      </c>
      <c r="L32" s="353">
        <f t="shared" si="13"/>
        <v>9.7464859396226942</v>
      </c>
      <c r="M32" s="353" t="str">
        <f t="shared" si="13"/>
        <v>NM</v>
      </c>
      <c r="N32" s="353">
        <f t="shared" si="13"/>
        <v>21.538465988509273</v>
      </c>
      <c r="O32" s="353">
        <f t="shared" si="13"/>
        <v>17.508899319673006</v>
      </c>
    </row>
    <row r="33" spans="2:15" x14ac:dyDescent="0.3">
      <c r="B33" s="293" t="str">
        <f t="shared" si="12"/>
        <v>Cubist Pharmaceuticals, Inc.</v>
      </c>
      <c r="C33" s="293" t="str">
        <f t="shared" ref="C33:C35" si="14">C13</f>
        <v>CBST</v>
      </c>
      <c r="D33" s="317">
        <f t="shared" si="13"/>
        <v>67.47</v>
      </c>
      <c r="E33" s="318">
        <f t="shared" si="13"/>
        <v>5865.8058207364156</v>
      </c>
      <c r="F33" s="318">
        <f t="shared" si="13"/>
        <v>6038.1498207364157</v>
      </c>
      <c r="G33" s="353">
        <f t="shared" si="13"/>
        <v>5.561291334010364</v>
      </c>
      <c r="H33" s="353">
        <f t="shared" si="13"/>
        <v>5.0055125762550077</v>
      </c>
      <c r="I33" s="353">
        <f t="shared" si="13"/>
        <v>4.0715777617912448</v>
      </c>
      <c r="J33" s="353">
        <f t="shared" si="13"/>
        <v>25.865406501473213</v>
      </c>
      <c r="K33" s="353">
        <f t="shared" si="13"/>
        <v>23.286347168285442</v>
      </c>
      <c r="L33" s="353">
        <f t="shared" si="13"/>
        <v>20.482190708061111</v>
      </c>
      <c r="M33" s="353" t="str">
        <f t="shared" si="13"/>
        <v>NM</v>
      </c>
      <c r="N33" s="353" t="str">
        <f t="shared" si="13"/>
        <v>NM</v>
      </c>
      <c r="O33" s="353" t="str">
        <f t="shared" si="13"/>
        <v>NM</v>
      </c>
    </row>
    <row r="34" spans="2:15" x14ac:dyDescent="0.3">
      <c r="B34" s="293" t="str">
        <f t="shared" si="12"/>
        <v>United Therapeutics Corporation</v>
      </c>
      <c r="C34" s="293" t="str">
        <f t="shared" si="14"/>
        <v>UTHR</v>
      </c>
      <c r="D34" s="317">
        <f t="shared" si="13"/>
        <v>106.5</v>
      </c>
      <c r="E34" s="318">
        <f t="shared" si="13"/>
        <v>5861.0725772966071</v>
      </c>
      <c r="F34" s="318">
        <f t="shared" si="13"/>
        <v>4781.3615772966068</v>
      </c>
      <c r="G34" s="353">
        <f t="shared" si="13"/>
        <v>4.117423000967583</v>
      </c>
      <c r="H34" s="353">
        <f t="shared" si="13"/>
        <v>3.8098498623877344</v>
      </c>
      <c r="I34" s="353">
        <f t="shared" si="13"/>
        <v>3.447268620978087</v>
      </c>
      <c r="J34" s="353">
        <f t="shared" si="13"/>
        <v>10.3237263162708</v>
      </c>
      <c r="K34" s="353">
        <f t="shared" si="13"/>
        <v>7.6015287397402336</v>
      </c>
      <c r="L34" s="353">
        <f t="shared" si="13"/>
        <v>6.9295095323139231</v>
      </c>
      <c r="M34" s="353">
        <f t="shared" si="13"/>
        <v>23.466912412752322</v>
      </c>
      <c r="N34" s="353">
        <f t="shared" si="13"/>
        <v>14.652681443241518</v>
      </c>
      <c r="O34" s="353">
        <f t="shared" si="13"/>
        <v>13.290414007475299</v>
      </c>
    </row>
    <row r="35" spans="2:15" x14ac:dyDescent="0.3">
      <c r="B35" s="293" t="str">
        <f t="shared" si="12"/>
        <v xml:space="preserve">The Medicines Company </v>
      </c>
      <c r="C35" s="293" t="str">
        <f t="shared" si="14"/>
        <v>MDCO</v>
      </c>
      <c r="D35" s="317">
        <f t="shared" si="13"/>
        <v>25.49</v>
      </c>
      <c r="E35" s="318">
        <f t="shared" si="13"/>
        <v>1699.3490238099998</v>
      </c>
      <c r="F35" s="318">
        <f t="shared" si="13"/>
        <v>1532.6860238099998</v>
      </c>
      <c r="G35" s="353">
        <f t="shared" si="13"/>
        <v>2.1607029909381317</v>
      </c>
      <c r="H35" s="353">
        <f t="shared" si="13"/>
        <v>1.9774042366275317</v>
      </c>
      <c r="I35" s="353">
        <f t="shared" si="13"/>
        <v>1.8634480532644375</v>
      </c>
      <c r="J35" s="353">
        <f t="shared" si="13"/>
        <v>15.890990397200612</v>
      </c>
      <c r="K35" s="353">
        <f t="shared" si="13"/>
        <v>21.83313424230769</v>
      </c>
      <c r="L35" s="353">
        <f t="shared" si="13"/>
        <v>9.2274896075255857</v>
      </c>
      <c r="M35" s="353">
        <f t="shared" si="13"/>
        <v>76.931912889220712</v>
      </c>
      <c r="N35" s="353" t="str">
        <f t="shared" si="13"/>
        <v>NM</v>
      </c>
      <c r="O35" s="353">
        <f t="shared" si="13"/>
        <v>16.092320301231059</v>
      </c>
    </row>
    <row r="37" spans="2:15" x14ac:dyDescent="0.3">
      <c r="B37" s="319" t="s">
        <v>258</v>
      </c>
      <c r="C37" s="320"/>
      <c r="D37" s="321">
        <f>MAX(D29:D35)</f>
        <v>152.87</v>
      </c>
      <c r="E37" s="322">
        <f t="shared" ref="E37:O37" si="15">MAX(E29:E35)</f>
        <v>31142.560598720003</v>
      </c>
      <c r="F37" s="322">
        <f t="shared" si="15"/>
        <v>29696.762598720004</v>
      </c>
      <c r="G37" s="354">
        <f t="shared" si="15"/>
        <v>16.692755509192981</v>
      </c>
      <c r="H37" s="354">
        <f t="shared" si="15"/>
        <v>24.528183696602785</v>
      </c>
      <c r="I37" s="354">
        <f t="shared" si="15"/>
        <v>11.626075509372418</v>
      </c>
      <c r="J37" s="354">
        <f t="shared" si="15"/>
        <v>42.62911440736918</v>
      </c>
      <c r="K37" s="354">
        <f t="shared" si="15"/>
        <v>27.660944727705601</v>
      </c>
      <c r="L37" s="354">
        <f t="shared" si="15"/>
        <v>85.848642938109748</v>
      </c>
      <c r="M37" s="354">
        <f t="shared" si="15"/>
        <v>94.362245475347848</v>
      </c>
      <c r="N37" s="354">
        <f t="shared" si="15"/>
        <v>66.005732316665828</v>
      </c>
      <c r="O37" s="355">
        <f t="shared" si="15"/>
        <v>27.725601961750009</v>
      </c>
    </row>
    <row r="38" spans="2:15" x14ac:dyDescent="0.3">
      <c r="B38" s="325" t="s">
        <v>259</v>
      </c>
      <c r="C38" s="326"/>
      <c r="D38" s="317">
        <f>QUARTILE(D29:D35,3)</f>
        <v>105.03</v>
      </c>
      <c r="E38" s="318">
        <f t="shared" ref="E38:O38" si="16">QUARTILE(E29:E35,3)</f>
        <v>12395.968501933192</v>
      </c>
      <c r="F38" s="318">
        <f t="shared" si="16"/>
        <v>11701.70818555521</v>
      </c>
      <c r="G38" s="353">
        <f t="shared" si="16"/>
        <v>14.688521685631272</v>
      </c>
      <c r="H38" s="353">
        <f t="shared" si="16"/>
        <v>13.533217420523147</v>
      </c>
      <c r="I38" s="353">
        <f t="shared" si="16"/>
        <v>10.624569845161936</v>
      </c>
      <c r="J38" s="353">
        <f t="shared" si="16"/>
        <v>33.227278630391361</v>
      </c>
      <c r="K38" s="353">
        <f t="shared" si="16"/>
        <v>23.286347168285442</v>
      </c>
      <c r="L38" s="353">
        <f t="shared" si="16"/>
        <v>22.179887677842487</v>
      </c>
      <c r="M38" s="353">
        <f t="shared" si="16"/>
        <v>85.647079182284273</v>
      </c>
      <c r="N38" s="353">
        <f t="shared" si="16"/>
        <v>43.77209915258755</v>
      </c>
      <c r="O38" s="356">
        <f t="shared" si="16"/>
        <v>20.063074980192255</v>
      </c>
    </row>
    <row r="39" spans="2:15" x14ac:dyDescent="0.3">
      <c r="B39" s="328" t="s">
        <v>260</v>
      </c>
      <c r="C39" s="329"/>
      <c r="D39" s="330">
        <f>MEDIAN(D29:D35)</f>
        <v>67.47</v>
      </c>
      <c r="E39" s="331">
        <f t="shared" ref="E39:O39" si="17">MEDIAN(E29:E35)</f>
        <v>7774.0129292604206</v>
      </c>
      <c r="F39" s="331">
        <f t="shared" si="17"/>
        <v>8768.5895620163847</v>
      </c>
      <c r="G39" s="357">
        <f t="shared" si="17"/>
        <v>8.3579661093879682</v>
      </c>
      <c r="H39" s="357">
        <f t="shared" si="17"/>
        <v>5.6558150644757434</v>
      </c>
      <c r="I39" s="357">
        <f t="shared" si="17"/>
        <v>4.6744483220796953</v>
      </c>
      <c r="J39" s="357">
        <f t="shared" si="17"/>
        <v>25.865406501473213</v>
      </c>
      <c r="K39" s="357">
        <f t="shared" si="17"/>
        <v>21.83313424230769</v>
      </c>
      <c r="L39" s="357">
        <f t="shared" si="17"/>
        <v>15.114338323841903</v>
      </c>
      <c r="M39" s="357">
        <f t="shared" si="17"/>
        <v>76.931912889220712</v>
      </c>
      <c r="N39" s="357">
        <f t="shared" si="17"/>
        <v>21.538465988509273</v>
      </c>
      <c r="O39" s="358">
        <f t="shared" si="17"/>
        <v>16.800609810452031</v>
      </c>
    </row>
    <row r="40" spans="2:15" x14ac:dyDescent="0.3">
      <c r="B40" s="325" t="s">
        <v>261</v>
      </c>
      <c r="C40" s="334"/>
      <c r="D40" s="317">
        <f>QUARTILE(D29:D35,1)</f>
        <v>61.795000000000002</v>
      </c>
      <c r="E40" s="318">
        <f t="shared" ref="E40:O40" si="18">QUARTILE(E29:E35,1)</f>
        <v>5863.4391990165113</v>
      </c>
      <c r="F40" s="318">
        <f t="shared" si="18"/>
        <v>5409.7556990165112</v>
      </c>
      <c r="G40" s="353">
        <f t="shared" si="18"/>
        <v>4.8393571674889735</v>
      </c>
      <c r="H40" s="353">
        <f t="shared" si="18"/>
        <v>4.407681219321371</v>
      </c>
      <c r="I40" s="353">
        <f t="shared" si="18"/>
        <v>3.7594231913846659</v>
      </c>
      <c r="J40" s="353">
        <f t="shared" si="18"/>
        <v>15.890990397200612</v>
      </c>
      <c r="K40" s="353">
        <f t="shared" si="18"/>
        <v>13.705142573426492</v>
      </c>
      <c r="L40" s="353">
        <f t="shared" si="18"/>
        <v>9.3572386905498632</v>
      </c>
      <c r="M40" s="353">
        <f t="shared" si="18"/>
        <v>50.199412650986517</v>
      </c>
      <c r="N40" s="353">
        <f t="shared" si="18"/>
        <v>18.095573715875396</v>
      </c>
      <c r="O40" s="356">
        <f t="shared" si="18"/>
        <v>15.391843727792118</v>
      </c>
    </row>
    <row r="41" spans="2:15" x14ac:dyDescent="0.3">
      <c r="B41" s="335" t="s">
        <v>262</v>
      </c>
      <c r="C41" s="336"/>
      <c r="D41" s="337">
        <f>MIN(D29:D35)</f>
        <v>25.49</v>
      </c>
      <c r="E41" s="338">
        <f t="shared" ref="E41:O41" si="19">MIN(E29:E35)</f>
        <v>1699.3490238099998</v>
      </c>
      <c r="F41" s="338">
        <f t="shared" si="19"/>
        <v>1532.6860238099998</v>
      </c>
      <c r="G41" s="359">
        <f t="shared" si="19"/>
        <v>2.1607029909381317</v>
      </c>
      <c r="H41" s="359">
        <f t="shared" si="19"/>
        <v>1.9774042366275317</v>
      </c>
      <c r="I41" s="359">
        <f t="shared" si="19"/>
        <v>1.8634480532644375</v>
      </c>
      <c r="J41" s="359">
        <f t="shared" si="19"/>
        <v>10.3237263162708</v>
      </c>
      <c r="K41" s="359">
        <f t="shared" si="19"/>
        <v>7.6015287397402336</v>
      </c>
      <c r="L41" s="359">
        <f t="shared" si="19"/>
        <v>6.9295095323139231</v>
      </c>
      <c r="M41" s="359">
        <f t="shared" si="19"/>
        <v>23.466912412752322</v>
      </c>
      <c r="N41" s="359">
        <f t="shared" si="19"/>
        <v>14.652681443241518</v>
      </c>
      <c r="O41" s="360">
        <f t="shared" si="19"/>
        <v>13.290414007475299</v>
      </c>
    </row>
    <row r="43" spans="2:15" x14ac:dyDescent="0.3">
      <c r="B43" s="341" t="str">
        <f>HLOOKUP($C43,Comps_Range,B$25,FALSE)</f>
        <v>Jazz Pharmaceuticals plc</v>
      </c>
      <c r="C43" s="342" t="str">
        <f>Ticker</f>
        <v>JAZZ</v>
      </c>
      <c r="D43" s="343">
        <f t="shared" ref="D43:O43" si="20">HLOOKUP($C43,Comps_Range,D$25,FALSE)</f>
        <v>129.44999999999999</v>
      </c>
      <c r="E43" s="344">
        <f t="shared" si="20"/>
        <v>8195.9685167499993</v>
      </c>
      <c r="F43" s="344">
        <f t="shared" si="20"/>
        <v>9089.4525167499996</v>
      </c>
      <c r="G43" s="361">
        <f t="shared" si="20"/>
        <v>9.846607392170986</v>
      </c>
      <c r="H43" s="361">
        <f>HLOOKUP($C43,Comps_Range,H$25,FALSE)</f>
        <v>7.7234140345760629</v>
      </c>
      <c r="I43" s="361">
        <f t="shared" si="20"/>
        <v>5.8518596833919432</v>
      </c>
      <c r="J43" s="361">
        <f t="shared" si="20"/>
        <v>21.492284577706734</v>
      </c>
      <c r="K43" s="361">
        <f t="shared" si="20"/>
        <v>14.904202574445272</v>
      </c>
      <c r="L43" s="361">
        <f t="shared" si="20"/>
        <v>10.938810272071629</v>
      </c>
      <c r="M43" s="361" t="str">
        <f t="shared" si="20"/>
        <v>NM</v>
      </c>
      <c r="N43" s="361">
        <f t="shared" si="20"/>
        <v>33.311517699268471</v>
      </c>
      <c r="O43" s="362">
        <f t="shared" si="20"/>
        <v>15.16946746117995</v>
      </c>
    </row>
    <row r="44" spans="2:15" x14ac:dyDescent="0.3">
      <c r="M44" s="363"/>
    </row>
    <row r="45" spans="2:15" x14ac:dyDescent="0.3">
      <c r="F45" s="711"/>
    </row>
  </sheetData>
  <pageMargins left="0.75" right="0.75" top="1" bottom="1" header="0.5" footer="0.5"/>
  <pageSetup scale="45" orientation="portrait" horizontalDpi="200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B2:X57"/>
  <sheetViews>
    <sheetView showGridLines="0" zoomScaleNormal="100" workbookViewId="0">
      <selection activeCell="B2" sqref="B2"/>
    </sheetView>
  </sheetViews>
  <sheetFormatPr defaultColWidth="9.109375" defaultRowHeight="14.4" outlineLevelCol="1" x14ac:dyDescent="0.3"/>
  <cols>
    <col min="1" max="1" width="2.6640625" style="512" customWidth="1"/>
    <col min="2" max="2" width="42.33203125" style="512" customWidth="1"/>
    <col min="3" max="3" width="29.6640625" style="512" customWidth="1"/>
    <col min="4" max="4" width="10.6640625" style="512" customWidth="1"/>
    <col min="5" max="5" width="10.6640625" style="512" hidden="1" customWidth="1" outlineLevel="1"/>
    <col min="6" max="6" width="10.6640625" style="512" customWidth="1" collapsed="1"/>
    <col min="7" max="11" width="10.109375" style="512" customWidth="1"/>
    <col min="12" max="12" width="2.77734375" style="513" customWidth="1"/>
    <col min="13" max="13" width="2.77734375" style="512" customWidth="1"/>
    <col min="14" max="16384" width="9.109375" style="512"/>
  </cols>
  <sheetData>
    <row r="2" spans="2:24" ht="18" x14ac:dyDescent="0.35">
      <c r="B2" s="509" t="s">
        <v>378</v>
      </c>
      <c r="C2" s="510"/>
      <c r="D2" s="510"/>
      <c r="E2" s="510"/>
      <c r="F2" s="510"/>
      <c r="G2" s="511"/>
      <c r="H2" s="511"/>
      <c r="I2" s="511"/>
    </row>
    <row r="3" spans="2:24" ht="18" x14ac:dyDescent="0.35">
      <c r="B3" s="509" t="s">
        <v>379</v>
      </c>
      <c r="C3" s="510"/>
      <c r="D3" s="510"/>
      <c r="E3" s="510"/>
      <c r="F3" s="510"/>
      <c r="G3" s="511"/>
      <c r="H3" s="511"/>
      <c r="I3" s="511"/>
    </row>
    <row r="4" spans="2:24" x14ac:dyDescent="0.3">
      <c r="B4" s="293" t="str">
        <f>+'JAZZ-Model-DCF'!$B$3</f>
        <v>($ in Millions Except Per Share and Per Unit Data)</v>
      </c>
      <c r="C4" s="511"/>
      <c r="D4" s="511"/>
      <c r="E4" s="511"/>
      <c r="F4" s="511"/>
      <c r="G4" s="511"/>
      <c r="H4" s="511"/>
      <c r="I4" s="511"/>
    </row>
    <row r="5" spans="2:24" x14ac:dyDescent="0.3">
      <c r="B5" s="511"/>
      <c r="C5" s="511"/>
      <c r="D5" s="511"/>
      <c r="E5" s="511"/>
      <c r="F5" s="511"/>
      <c r="G5" s="511"/>
      <c r="H5" s="511"/>
      <c r="I5" s="511"/>
      <c r="M5" s="555"/>
    </row>
    <row r="6" spans="2:24" x14ac:dyDescent="0.3">
      <c r="B6" s="347" t="str">
        <f>Company_Name&amp;" - Comparable M&amp;A Transactions"</f>
        <v>Jazz Pharmaceuticals plc - Comparable M&amp;A Transactions</v>
      </c>
      <c r="C6" s="296"/>
      <c r="D6" s="296"/>
      <c r="E6" s="296"/>
      <c r="F6" s="296"/>
      <c r="G6" s="300"/>
      <c r="H6" s="297" t="s">
        <v>333</v>
      </c>
      <c r="I6" s="514"/>
      <c r="J6" s="297" t="s">
        <v>321</v>
      </c>
      <c r="K6" s="515"/>
      <c r="M6" s="562"/>
      <c r="N6" s="563"/>
      <c r="O6" s="563"/>
      <c r="P6" s="563"/>
      <c r="Q6" s="563"/>
      <c r="R6" s="563"/>
      <c r="S6" s="563"/>
      <c r="T6" s="563"/>
      <c r="U6" s="563"/>
      <c r="V6" s="563"/>
      <c r="W6" s="563"/>
      <c r="X6" s="563"/>
    </row>
    <row r="7" spans="2:24" x14ac:dyDescent="0.3">
      <c r="B7" s="516"/>
      <c r="C7" s="517"/>
      <c r="D7" s="517"/>
      <c r="E7" s="517"/>
      <c r="F7" s="305" t="s">
        <v>334</v>
      </c>
      <c r="G7" s="305" t="s">
        <v>334</v>
      </c>
      <c r="H7" s="306"/>
      <c r="I7" s="518"/>
      <c r="J7" s="305" t="s">
        <v>335</v>
      </c>
      <c r="K7" s="519" t="s">
        <v>335</v>
      </c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</row>
    <row r="8" spans="2:24" x14ac:dyDescent="0.3">
      <c r="B8" s="303"/>
      <c r="C8" s="304"/>
      <c r="D8" s="305"/>
      <c r="E8" s="305" t="s">
        <v>336</v>
      </c>
      <c r="F8" s="305" t="s">
        <v>337</v>
      </c>
      <c r="G8" s="305" t="s">
        <v>242</v>
      </c>
      <c r="H8" s="305" t="s">
        <v>207</v>
      </c>
      <c r="I8" s="305" t="s">
        <v>207</v>
      </c>
      <c r="J8" s="305" t="s">
        <v>207</v>
      </c>
      <c r="K8" s="519" t="s">
        <v>207</v>
      </c>
      <c r="M8" s="292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</row>
    <row r="9" spans="2:24" x14ac:dyDescent="0.3">
      <c r="B9" s="520" t="s">
        <v>338</v>
      </c>
      <c r="C9" s="310" t="s">
        <v>339</v>
      </c>
      <c r="D9" s="310" t="s">
        <v>340</v>
      </c>
      <c r="E9" s="310" t="s">
        <v>341</v>
      </c>
      <c r="F9" s="310" t="s">
        <v>249</v>
      </c>
      <c r="G9" s="310" t="s">
        <v>249</v>
      </c>
      <c r="H9" s="310" t="s">
        <v>243</v>
      </c>
      <c r="I9" s="310" t="s">
        <v>244</v>
      </c>
      <c r="J9" s="310" t="s">
        <v>243</v>
      </c>
      <c r="K9" s="521" t="s">
        <v>244</v>
      </c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</row>
    <row r="10" spans="2:24" x14ac:dyDescent="0.3">
      <c r="B10" s="522" t="s">
        <v>342</v>
      </c>
      <c r="C10" s="522" t="s">
        <v>343</v>
      </c>
      <c r="D10" s="523">
        <v>41736</v>
      </c>
      <c r="E10" s="523"/>
      <c r="F10" s="524">
        <f>86.1*61.447</f>
        <v>5290.5866999999998</v>
      </c>
      <c r="G10" s="525">
        <v>4801.951</v>
      </c>
      <c r="H10" s="525">
        <v>890.9</v>
      </c>
      <c r="I10" s="525">
        <v>516.94000000000005</v>
      </c>
      <c r="J10" s="526">
        <f>IFERROR(IF(OR(+$G10/H10&lt;0,+$G10/H10&gt;=100),"NM",+$G10/H10),"N/A")</f>
        <v>5.3900000000000006</v>
      </c>
      <c r="K10" s="526">
        <f>IFERROR(IF(OR(+$G10/I10&lt;0,+$G10/I10&gt;=100),"NM",+$G10/I10),"N/A")</f>
        <v>9.2891844314620649</v>
      </c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</row>
    <row r="11" spans="2:24" x14ac:dyDescent="0.3">
      <c r="B11" s="522" t="s">
        <v>344</v>
      </c>
      <c r="C11" s="522" t="s">
        <v>345</v>
      </c>
      <c r="D11" s="523">
        <v>41647</v>
      </c>
      <c r="E11" s="523"/>
      <c r="F11" s="527">
        <v>2900</v>
      </c>
      <c r="G11" s="528">
        <v>2900</v>
      </c>
      <c r="H11" s="528">
        <v>687.9</v>
      </c>
      <c r="I11" s="528">
        <v>314.60000000000002</v>
      </c>
      <c r="J11" s="526">
        <f t="shared" ref="J11:K27" si="0">IFERROR(IF(OR(+$G11/H11&lt;0,+$G11/H11&gt;=100),"NM",+$G11/H11),"N/A")</f>
        <v>4.2157290303823229</v>
      </c>
      <c r="K11" s="526">
        <f t="shared" si="0"/>
        <v>9.2180546726001271</v>
      </c>
      <c r="L11" s="529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</row>
    <row r="12" spans="2:24" x14ac:dyDescent="0.3">
      <c r="B12" s="522" t="s">
        <v>346</v>
      </c>
      <c r="C12" s="522" t="s">
        <v>347</v>
      </c>
      <c r="D12" s="523">
        <v>41589</v>
      </c>
      <c r="E12" s="523"/>
      <c r="F12" s="528">
        <v>4200</v>
      </c>
      <c r="G12" s="530">
        <f>+F12-205.586-69.608+4.164+168.467</f>
        <v>4097.4369999999999</v>
      </c>
      <c r="H12" s="530">
        <f>427.933+323.922-321.444</f>
        <v>430.411</v>
      </c>
      <c r="I12" s="530">
        <f>33.343+3.825+37.818+(-83.372+104.245+3.547+26.656)-(35.367+2.74+28.56)</f>
        <v>59.39500000000001</v>
      </c>
      <c r="J12" s="526">
        <f t="shared" si="0"/>
        <v>9.5198240751281915</v>
      </c>
      <c r="K12" s="526">
        <f t="shared" si="0"/>
        <v>68.986227796952591</v>
      </c>
      <c r="M12" s="557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</row>
    <row r="13" spans="2:24" x14ac:dyDescent="0.3">
      <c r="B13" s="522" t="s">
        <v>348</v>
      </c>
      <c r="C13" s="522" t="s">
        <v>349</v>
      </c>
      <c r="D13" s="523">
        <v>41585</v>
      </c>
      <c r="E13" s="523"/>
      <c r="F13" s="527">
        <v>2600</v>
      </c>
      <c r="G13" s="528">
        <v>1979.5666000000001</v>
      </c>
      <c r="H13" s="528">
        <v>337.81</v>
      </c>
      <c r="I13" s="528">
        <v>81.53</v>
      </c>
      <c r="J13" s="526">
        <f t="shared" si="0"/>
        <v>5.86</v>
      </c>
      <c r="K13" s="526">
        <f t="shared" si="0"/>
        <v>24.280223230712622</v>
      </c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</row>
    <row r="14" spans="2:24" x14ac:dyDescent="0.3">
      <c r="B14" s="522" t="s">
        <v>350</v>
      </c>
      <c r="C14" s="522" t="s">
        <v>351</v>
      </c>
      <c r="D14" s="523">
        <v>41583</v>
      </c>
      <c r="E14" s="531">
        <v>0.96</v>
      </c>
      <c r="F14" s="527">
        <v>1600</v>
      </c>
      <c r="G14" s="530">
        <f>+F14+(-69.949-165.723-31.762-0.663-26.175-10.831-12.896+4.945+0.728+5.95+43.545)*E14</f>
        <v>1347.6822399999999</v>
      </c>
      <c r="H14" s="530">
        <f>(70.993+67.216+68.961+67.508)*E14</f>
        <v>263.69087999999999</v>
      </c>
      <c r="I14" s="530">
        <f>(25.404+24.867+22.611+24.022)*E14</f>
        <v>93.027839999999998</v>
      </c>
      <c r="J14" s="526">
        <f t="shared" si="0"/>
        <v>5.1108413002376114</v>
      </c>
      <c r="K14" s="526">
        <f t="shared" si="0"/>
        <v>14.486870167038168</v>
      </c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</row>
    <row r="15" spans="2:24" x14ac:dyDescent="0.3">
      <c r="B15" s="522" t="s">
        <v>352</v>
      </c>
      <c r="C15" s="522" t="s">
        <v>353</v>
      </c>
      <c r="D15" s="523">
        <v>41513</v>
      </c>
      <c r="E15" s="523"/>
      <c r="F15" s="527">
        <v>640</v>
      </c>
      <c r="G15" s="528">
        <v>535.54879999999991</v>
      </c>
      <c r="H15" s="528">
        <v>230.84</v>
      </c>
      <c r="I15" s="528">
        <v>47.58</v>
      </c>
      <c r="J15" s="526">
        <f t="shared" si="0"/>
        <v>2.3199999999999994</v>
      </c>
      <c r="K15" s="526">
        <f t="shared" si="0"/>
        <v>11.255754518705338</v>
      </c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</row>
    <row r="16" spans="2:24" x14ac:dyDescent="0.3">
      <c r="B16" s="522" t="s">
        <v>354</v>
      </c>
      <c r="C16" s="522" t="s">
        <v>355</v>
      </c>
      <c r="D16" s="523">
        <v>41155</v>
      </c>
      <c r="E16" s="523"/>
      <c r="F16" s="527">
        <v>2600</v>
      </c>
      <c r="G16" s="528">
        <v>2329.2239999999997</v>
      </c>
      <c r="H16" s="528">
        <v>763.68</v>
      </c>
      <c r="I16" s="528">
        <v>191.39</v>
      </c>
      <c r="J16" s="526">
        <f t="shared" si="0"/>
        <v>3.05</v>
      </c>
      <c r="K16" s="526">
        <f t="shared" si="0"/>
        <v>12.170040231987041</v>
      </c>
      <c r="M16" s="556"/>
      <c r="N16" s="292"/>
      <c r="O16" s="293"/>
      <c r="P16" s="293"/>
      <c r="Q16" s="293"/>
      <c r="R16" s="293"/>
      <c r="S16" s="293"/>
      <c r="T16" s="293"/>
      <c r="U16" s="293"/>
      <c r="V16" s="293"/>
      <c r="W16" s="293"/>
      <c r="X16" s="293"/>
    </row>
    <row r="17" spans="2:24" x14ac:dyDescent="0.3">
      <c r="B17" s="522" t="s">
        <v>356</v>
      </c>
      <c r="C17" s="522" t="s">
        <v>357</v>
      </c>
      <c r="D17" s="523">
        <v>41106</v>
      </c>
      <c r="E17" s="523"/>
      <c r="F17" s="527">
        <v>1900</v>
      </c>
      <c r="G17" s="528">
        <v>1976.4679999999998</v>
      </c>
      <c r="H17" s="528">
        <v>1034.8</v>
      </c>
      <c r="I17" s="528">
        <v>237.43</v>
      </c>
      <c r="J17" s="526">
        <f t="shared" si="0"/>
        <v>1.91</v>
      </c>
      <c r="K17" s="526">
        <f t="shared" si="0"/>
        <v>8.3244240407699106</v>
      </c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</row>
    <row r="18" spans="2:24" x14ac:dyDescent="0.3">
      <c r="B18" s="522" t="s">
        <v>358</v>
      </c>
      <c r="C18" s="522" t="s">
        <v>359</v>
      </c>
      <c r="D18" s="523">
        <v>41031</v>
      </c>
      <c r="E18" s="523"/>
      <c r="F18" s="527">
        <v>1525</v>
      </c>
      <c r="G18" s="528">
        <v>1525</v>
      </c>
      <c r="H18" s="528">
        <v>429</v>
      </c>
      <c r="I18" s="528">
        <v>173</v>
      </c>
      <c r="J18" s="526">
        <f t="shared" si="0"/>
        <v>3.5547785547785549</v>
      </c>
      <c r="K18" s="526">
        <f t="shared" si="0"/>
        <v>8.8150289017341041</v>
      </c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</row>
    <row r="19" spans="2:24" x14ac:dyDescent="0.3">
      <c r="B19" s="522" t="s">
        <v>360</v>
      </c>
      <c r="C19" s="522" t="s">
        <v>361</v>
      </c>
      <c r="D19" s="523">
        <v>41010</v>
      </c>
      <c r="E19" s="523"/>
      <c r="F19" s="527">
        <v>800</v>
      </c>
      <c r="G19" s="528">
        <v>800</v>
      </c>
      <c r="H19" s="528">
        <v>600</v>
      </c>
      <c r="I19" s="528">
        <v>76.19047619047619</v>
      </c>
      <c r="J19" s="526">
        <f t="shared" si="0"/>
        <v>1.3333333333333333</v>
      </c>
      <c r="K19" s="526">
        <f t="shared" si="0"/>
        <v>10.5</v>
      </c>
      <c r="M19" s="292"/>
      <c r="N19" s="292"/>
      <c r="O19" s="293"/>
      <c r="P19" s="293"/>
      <c r="Q19" s="293"/>
      <c r="R19" s="293"/>
      <c r="S19" s="293"/>
      <c r="T19" s="293"/>
      <c r="U19" s="293"/>
      <c r="V19" s="293"/>
      <c r="W19" s="293"/>
      <c r="X19" s="293"/>
    </row>
    <row r="20" spans="2:24" x14ac:dyDescent="0.3">
      <c r="B20" s="522" t="s">
        <v>362</v>
      </c>
      <c r="C20" s="522" t="s">
        <v>363</v>
      </c>
      <c r="D20" s="523">
        <v>40960</v>
      </c>
      <c r="E20" s="523"/>
      <c r="F20" s="527">
        <v>834</v>
      </c>
      <c r="G20" s="528">
        <v>1262.7984999999999</v>
      </c>
      <c r="H20" s="528">
        <v>403.45</v>
      </c>
      <c r="I20" s="528">
        <v>119.42</v>
      </c>
      <c r="J20" s="526">
        <f t="shared" si="0"/>
        <v>3.13</v>
      </c>
      <c r="K20" s="526">
        <f t="shared" si="0"/>
        <v>10.574430581142186</v>
      </c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</row>
    <row r="21" spans="2:24" x14ac:dyDescent="0.3">
      <c r="B21" s="522" t="s">
        <v>364</v>
      </c>
      <c r="C21" s="522" t="s">
        <v>365</v>
      </c>
      <c r="D21" s="523">
        <v>40687</v>
      </c>
      <c r="E21" s="523"/>
      <c r="F21" s="527">
        <v>745</v>
      </c>
      <c r="G21" s="528">
        <v>659.09190000000001</v>
      </c>
      <c r="H21" s="528">
        <v>518.97</v>
      </c>
      <c r="I21" s="528">
        <v>138.86000000000001</v>
      </c>
      <c r="J21" s="526">
        <f t="shared" si="0"/>
        <v>1.27</v>
      </c>
      <c r="K21" s="526">
        <f t="shared" si="0"/>
        <v>4.746448941379807</v>
      </c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</row>
    <row r="22" spans="2:24" x14ac:dyDescent="0.3">
      <c r="B22" s="522" t="s">
        <v>366</v>
      </c>
      <c r="C22" s="522" t="s">
        <v>367</v>
      </c>
      <c r="D22" s="523">
        <v>40463</v>
      </c>
      <c r="E22" s="523"/>
      <c r="F22" s="527">
        <v>3600</v>
      </c>
      <c r="G22" s="527">
        <v>3224.7446000000004</v>
      </c>
      <c r="H22" s="528">
        <v>1565.41</v>
      </c>
      <c r="I22" s="528">
        <v>349.04</v>
      </c>
      <c r="J22" s="526">
        <f t="shared" si="0"/>
        <v>2.06</v>
      </c>
      <c r="K22" s="526">
        <f t="shared" si="0"/>
        <v>9.2388969745587914</v>
      </c>
      <c r="L22" s="532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</row>
    <row r="23" spans="2:24" x14ac:dyDescent="0.3">
      <c r="B23" s="522" t="s">
        <v>368</v>
      </c>
      <c r="C23" s="522" t="s">
        <v>369</v>
      </c>
      <c r="D23" s="523">
        <v>40449</v>
      </c>
      <c r="E23" s="523"/>
      <c r="F23" s="527">
        <v>1200</v>
      </c>
      <c r="G23" s="528">
        <v>1176.2232000000001</v>
      </c>
      <c r="H23" s="528">
        <v>308.72000000000003</v>
      </c>
      <c r="I23" s="528">
        <v>58.24</v>
      </c>
      <c r="J23" s="526">
        <f t="shared" si="0"/>
        <v>3.81</v>
      </c>
      <c r="K23" s="526">
        <f t="shared" si="0"/>
        <v>20.196140109890113</v>
      </c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</row>
    <row r="24" spans="2:24" x14ac:dyDescent="0.3">
      <c r="B24" s="522" t="s">
        <v>370</v>
      </c>
      <c r="C24" s="522" t="s">
        <v>371</v>
      </c>
      <c r="D24" s="523">
        <v>40359</v>
      </c>
      <c r="E24" s="523"/>
      <c r="F24" s="533">
        <f>(58+0.2617*25.41)*40.181+(250+300+100)/2</f>
        <v>2922.6934932570002</v>
      </c>
      <c r="G24" s="530">
        <f>+F24-191.439-9.656+57.635+9.621</f>
        <v>2788.8544932570007</v>
      </c>
      <c r="H24" s="530">
        <f>359.05+110.83-72.582</f>
        <v>397.298</v>
      </c>
      <c r="I24" s="530">
        <f>(-113.745+17.037+39.782+13.999)+(-5.747+14.788-0.765)-(-23.975+13.835-1.412)</f>
        <v>-23.098999999999997</v>
      </c>
      <c r="J24" s="526">
        <f t="shared" si="0"/>
        <v>7.0195533157906675</v>
      </c>
      <c r="K24" s="526" t="str">
        <f t="shared" si="0"/>
        <v>NM</v>
      </c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</row>
    <row r="25" spans="2:24" x14ac:dyDescent="0.3">
      <c r="B25" s="522" t="s">
        <v>372</v>
      </c>
      <c r="C25" s="522" t="s">
        <v>373</v>
      </c>
      <c r="D25" s="523">
        <v>40314</v>
      </c>
      <c r="E25" s="523"/>
      <c r="F25" s="527">
        <v>4000</v>
      </c>
      <c r="G25" s="528">
        <v>3413.7270000000003</v>
      </c>
      <c r="H25" s="528">
        <v>441.05</v>
      </c>
      <c r="I25" s="528">
        <v>175.98</v>
      </c>
      <c r="J25" s="526">
        <f t="shared" si="0"/>
        <v>7.74</v>
      </c>
      <c r="K25" s="526">
        <f t="shared" si="0"/>
        <v>19.39838049778384</v>
      </c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</row>
    <row r="26" spans="2:24" ht="27.6" x14ac:dyDescent="0.3">
      <c r="B26" s="522" t="s">
        <v>374</v>
      </c>
      <c r="C26" s="522" t="s">
        <v>375</v>
      </c>
      <c r="D26" s="523">
        <v>40059</v>
      </c>
      <c r="E26" s="523"/>
      <c r="F26" s="527">
        <v>2600</v>
      </c>
      <c r="G26" s="528">
        <v>2347.4528</v>
      </c>
      <c r="H26" s="528">
        <v>1333.78</v>
      </c>
      <c r="I26" s="528">
        <v>305.72000000000003</v>
      </c>
      <c r="J26" s="526">
        <f t="shared" si="0"/>
        <v>1.76</v>
      </c>
      <c r="K26" s="526">
        <f t="shared" si="0"/>
        <v>7.6784404029831208</v>
      </c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</row>
    <row r="27" spans="2:24" x14ac:dyDescent="0.3">
      <c r="B27" s="522" t="s">
        <v>376</v>
      </c>
      <c r="C27" s="522" t="s">
        <v>377</v>
      </c>
      <c r="D27" s="523">
        <v>39923</v>
      </c>
      <c r="E27" s="523"/>
      <c r="F27" s="533">
        <f>2900+300/2</f>
        <v>3050</v>
      </c>
      <c r="G27" s="530">
        <f>+F27+400</f>
        <v>3450</v>
      </c>
      <c r="H27" s="528">
        <v>900</v>
      </c>
      <c r="I27" s="528">
        <v>287.5</v>
      </c>
      <c r="J27" s="526">
        <f t="shared" si="0"/>
        <v>3.8333333333333335</v>
      </c>
      <c r="K27" s="526">
        <f t="shared" si="0"/>
        <v>12</v>
      </c>
      <c r="N27" s="559"/>
      <c r="O27" s="293"/>
      <c r="P27" s="293"/>
      <c r="Q27" s="293"/>
      <c r="R27" s="293"/>
      <c r="S27" s="293"/>
      <c r="T27" s="293"/>
      <c r="U27" s="293"/>
      <c r="V27" s="293"/>
      <c r="W27" s="293"/>
      <c r="X27" s="293"/>
    </row>
    <row r="28" spans="2:24" x14ac:dyDescent="0.3">
      <c r="B28" s="511"/>
      <c r="C28" s="511"/>
      <c r="D28" s="534"/>
      <c r="E28" s="534"/>
      <c r="F28" s="534"/>
      <c r="G28" s="535"/>
      <c r="H28" s="535"/>
      <c r="I28" s="535"/>
      <c r="J28" s="536"/>
      <c r="K28" s="536"/>
      <c r="M28" s="293"/>
      <c r="N28" s="558"/>
      <c r="O28" s="293"/>
      <c r="P28" s="293"/>
      <c r="Q28" s="293"/>
      <c r="R28" s="293"/>
      <c r="S28" s="293"/>
      <c r="T28" s="293"/>
      <c r="U28" s="293"/>
      <c r="V28" s="293"/>
      <c r="W28" s="293"/>
      <c r="X28" s="293"/>
    </row>
    <row r="29" spans="2:24" x14ac:dyDescent="0.3">
      <c r="B29" s="537"/>
      <c r="C29" s="538" t="s">
        <v>258</v>
      </c>
      <c r="D29" s="539"/>
      <c r="E29" s="539"/>
      <c r="F29" s="539"/>
      <c r="G29" s="322">
        <f>MAX(G10:G27)</f>
        <v>4801.951</v>
      </c>
      <c r="H29" s="322">
        <f>MAX(H10:H27)</f>
        <v>1565.41</v>
      </c>
      <c r="I29" s="322">
        <f>MAX(I10:I27)</f>
        <v>516.94000000000005</v>
      </c>
      <c r="J29" s="540">
        <f>MAX(J10:J27)</f>
        <v>9.5198240751281915</v>
      </c>
      <c r="K29" s="541">
        <f>MAX(K10:K27)</f>
        <v>68.986227796952591</v>
      </c>
      <c r="M29" s="292"/>
      <c r="N29" s="558"/>
      <c r="O29" s="293"/>
      <c r="P29" s="293"/>
      <c r="Q29" s="293"/>
      <c r="R29" s="293"/>
      <c r="S29" s="293"/>
      <c r="T29" s="293"/>
      <c r="U29" s="293"/>
      <c r="V29" s="293"/>
      <c r="W29" s="293"/>
      <c r="X29" s="293"/>
    </row>
    <row r="30" spans="2:24" x14ac:dyDescent="0.3">
      <c r="B30" s="537"/>
      <c r="C30" s="542" t="s">
        <v>259</v>
      </c>
      <c r="D30" s="543"/>
      <c r="E30" s="543"/>
      <c r="F30" s="543"/>
      <c r="G30" s="318">
        <f>QUARTILE(G10:G27,3)</f>
        <v>3143.5584500000004</v>
      </c>
      <c r="H30" s="318">
        <f>QUARTILE(H10:H27,3)</f>
        <v>859.09500000000003</v>
      </c>
      <c r="I30" s="318">
        <f>QUARTILE(I10:I27,3)</f>
        <v>274.98250000000002</v>
      </c>
      <c r="J30" s="544">
        <f>QUARTILE(J10:J27,3)</f>
        <v>5.3202103250594028</v>
      </c>
      <c r="K30" s="545">
        <f>QUARTILE(K10:K27,3)</f>
        <v>14.486870167038168</v>
      </c>
    </row>
    <row r="31" spans="2:24" x14ac:dyDescent="0.3">
      <c r="B31" s="546"/>
      <c r="C31" s="547" t="s">
        <v>260</v>
      </c>
      <c r="D31" s="548"/>
      <c r="E31" s="548"/>
      <c r="F31" s="548"/>
      <c r="G31" s="331">
        <f>MEDIAN(G10:G27)</f>
        <v>2154.3953000000001</v>
      </c>
      <c r="H31" s="331">
        <f>MEDIAN(H10:H27)</f>
        <v>480.01</v>
      </c>
      <c r="I31" s="331">
        <f>MEDIAN(I10:I27)</f>
        <v>155.93</v>
      </c>
      <c r="J31" s="549">
        <f>MEDIAN(J10:J27)</f>
        <v>3.6823892773892775</v>
      </c>
      <c r="K31" s="550">
        <f>MEDIAN(K10:K27)</f>
        <v>10.574430581142186</v>
      </c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</row>
    <row r="32" spans="2:24" x14ac:dyDescent="0.3">
      <c r="B32" s="537"/>
      <c r="C32" s="542" t="s">
        <v>261</v>
      </c>
      <c r="D32" s="543"/>
      <c r="E32" s="543"/>
      <c r="F32" s="543"/>
      <c r="G32" s="318">
        <f>QUARTILE(G10:G27,1)</f>
        <v>1284.0194349999999</v>
      </c>
      <c r="H32" s="318">
        <f>QUARTILE(H10:H27,1)</f>
        <v>398.83600000000001</v>
      </c>
      <c r="I32" s="318">
        <f>QUARTILE(I10:I27,1)</f>
        <v>77.525357142857146</v>
      </c>
      <c r="J32" s="544">
        <f>QUARTILE(J10:J27,1)</f>
        <v>2.125</v>
      </c>
      <c r="K32" s="545">
        <f>QUARTILE(K10:K27,1)</f>
        <v>9.2180546726001271</v>
      </c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</row>
    <row r="33" spans="2:24" x14ac:dyDescent="0.3">
      <c r="B33" s="537"/>
      <c r="C33" s="551" t="s">
        <v>262</v>
      </c>
      <c r="D33" s="552"/>
      <c r="E33" s="552"/>
      <c r="F33" s="552"/>
      <c r="G33" s="338">
        <f>MIN(G10:G27)</f>
        <v>535.54879999999991</v>
      </c>
      <c r="H33" s="338">
        <f>MIN(H10:H27)</f>
        <v>230.84</v>
      </c>
      <c r="I33" s="338">
        <f>MIN(I10:I27)</f>
        <v>-23.098999999999997</v>
      </c>
      <c r="J33" s="553">
        <f>MIN(J10:J27)</f>
        <v>1.27</v>
      </c>
      <c r="K33" s="554">
        <f>MIN(K10:K27)</f>
        <v>4.746448941379807</v>
      </c>
    </row>
    <row r="34" spans="2:24" x14ac:dyDescent="0.3">
      <c r="M34" s="292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</row>
    <row r="35" spans="2:24" x14ac:dyDescent="0.3">
      <c r="J35" s="561"/>
      <c r="K35" s="561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</row>
    <row r="36" spans="2:24" x14ac:dyDescent="0.3"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</row>
    <row r="37" spans="2:24" x14ac:dyDescent="0.3">
      <c r="M37" s="292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</row>
    <row r="38" spans="2:24" x14ac:dyDescent="0.3"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</row>
    <row r="39" spans="2:24" x14ac:dyDescent="0.3"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</row>
    <row r="40" spans="2:24" x14ac:dyDescent="0.3"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</row>
    <row r="41" spans="2:24" x14ac:dyDescent="0.3"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</row>
    <row r="42" spans="2:24" x14ac:dyDescent="0.3"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</row>
    <row r="43" spans="2:24" x14ac:dyDescent="0.3"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</row>
    <row r="44" spans="2:24" x14ac:dyDescent="0.3"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</row>
    <row r="45" spans="2:24" x14ac:dyDescent="0.3"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</row>
    <row r="46" spans="2:24" x14ac:dyDescent="0.3">
      <c r="M46" s="292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</row>
    <row r="47" spans="2:24" x14ac:dyDescent="0.3"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</row>
    <row r="48" spans="2:24" s="555" customFormat="1" x14ac:dyDescent="0.3">
      <c r="L48" s="560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</row>
    <row r="49" spans="12:24" s="555" customFormat="1" x14ac:dyDescent="0.3">
      <c r="L49" s="560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</row>
    <row r="50" spans="12:24" s="555" customFormat="1" x14ac:dyDescent="0.3">
      <c r="L50" s="560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</row>
    <row r="51" spans="12:24" s="555" customFormat="1" x14ac:dyDescent="0.3">
      <c r="L51" s="560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</row>
    <row r="52" spans="12:24" s="555" customFormat="1" x14ac:dyDescent="0.3">
      <c r="L52" s="560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</row>
    <row r="53" spans="12:24" s="555" customFormat="1" x14ac:dyDescent="0.3">
      <c r="L53" s="560"/>
      <c r="M53" s="293"/>
      <c r="N53" s="292"/>
      <c r="O53" s="293"/>
      <c r="P53" s="293"/>
      <c r="Q53" s="293"/>
      <c r="R53" s="293"/>
      <c r="S53" s="293"/>
      <c r="T53" s="293"/>
      <c r="U53" s="293"/>
      <c r="V53" s="293"/>
      <c r="W53" s="293"/>
      <c r="X53" s="293"/>
    </row>
    <row r="54" spans="12:24" s="555" customFormat="1" x14ac:dyDescent="0.3">
      <c r="L54" s="560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</row>
    <row r="55" spans="12:24" s="555" customFormat="1" x14ac:dyDescent="0.3">
      <c r="L55" s="560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</row>
    <row r="56" spans="12:24" s="555" customFormat="1" x14ac:dyDescent="0.3">
      <c r="L56" s="560"/>
      <c r="M56" s="293"/>
    </row>
    <row r="57" spans="12:24" s="555" customFormat="1" x14ac:dyDescent="0.3">
      <c r="L57" s="560"/>
      <c r="M57" s="293"/>
    </row>
  </sheetData>
  <pageMargins left="0.75" right="0.75" top="1" bottom="1" header="0.5" footer="0.5"/>
  <pageSetup scale="56" orientation="portrait" horizontalDpi="200" verticalDpi="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B2:BD104"/>
  <sheetViews>
    <sheetView showGridLines="0" zoomScaleNormal="100" zoomScaleSheetLayoutView="85" workbookViewId="0">
      <pane xSplit="3" ySplit="5" topLeftCell="AL54" activePane="bottomRight" state="frozen"/>
      <selection pane="topRight" activeCell="D1" sqref="D1"/>
      <selection pane="bottomLeft" activeCell="A6" sqref="A6"/>
      <selection pane="bottomRight" activeCell="AP66" sqref="AM63:AP66"/>
    </sheetView>
  </sheetViews>
  <sheetFormatPr defaultRowHeight="14.4" x14ac:dyDescent="0.3"/>
  <cols>
    <col min="1" max="1" width="2.77734375" style="279" customWidth="1"/>
    <col min="2" max="2" width="26.109375" style="279" bestFit="1" customWidth="1"/>
    <col min="3" max="42" width="10.6640625" style="279" customWidth="1"/>
    <col min="43" max="16384" width="8.88671875" style="279"/>
  </cols>
  <sheetData>
    <row r="2" spans="2:56" x14ac:dyDescent="0.3">
      <c r="D2" s="295"/>
      <c r="E2" s="364"/>
      <c r="F2" s="365"/>
      <c r="G2" s="366" t="s">
        <v>251</v>
      </c>
      <c r="I2" s="295"/>
      <c r="J2" s="364"/>
      <c r="K2" s="365"/>
      <c r="L2" s="366" t="s">
        <v>252</v>
      </c>
      <c r="N2" s="295"/>
      <c r="O2" s="364"/>
      <c r="P2" s="365"/>
      <c r="Q2" s="366" t="s">
        <v>253</v>
      </c>
      <c r="S2" s="295"/>
      <c r="T2" s="364"/>
      <c r="U2" s="365"/>
      <c r="V2" s="366" t="s">
        <v>254</v>
      </c>
      <c r="X2" s="295"/>
      <c r="Y2" s="364"/>
      <c r="Z2" s="365"/>
      <c r="AA2" s="366" t="s">
        <v>255</v>
      </c>
      <c r="AC2" s="295"/>
      <c r="AD2" s="364"/>
      <c r="AE2" s="365"/>
      <c r="AF2" s="366" t="s">
        <v>256</v>
      </c>
      <c r="AH2" s="295"/>
      <c r="AI2" s="364"/>
      <c r="AJ2" s="365"/>
      <c r="AK2" s="366" t="s">
        <v>257</v>
      </c>
      <c r="AM2" s="295"/>
      <c r="AN2" s="364"/>
      <c r="AO2" s="365"/>
      <c r="AP2" s="366" t="str">
        <f>Ticker</f>
        <v>JAZZ</v>
      </c>
    </row>
    <row r="3" spans="2:56" x14ac:dyDescent="0.3">
      <c r="D3" s="367"/>
      <c r="E3" s="368"/>
      <c r="F3" s="369"/>
      <c r="G3" s="370" t="s">
        <v>328</v>
      </c>
      <c r="I3" s="367"/>
      <c r="J3" s="368"/>
      <c r="K3" s="369"/>
      <c r="L3" s="370" t="s">
        <v>327</v>
      </c>
      <c r="N3" s="367"/>
      <c r="O3" s="368"/>
      <c r="P3" s="369"/>
      <c r="Q3" s="370" t="s">
        <v>329</v>
      </c>
      <c r="S3" s="367"/>
      <c r="T3" s="368"/>
      <c r="U3" s="369"/>
      <c r="V3" s="370" t="s">
        <v>330</v>
      </c>
      <c r="X3" s="367"/>
      <c r="Y3" s="368"/>
      <c r="Z3" s="369"/>
      <c r="AA3" s="370" t="s">
        <v>331</v>
      </c>
      <c r="AC3" s="367"/>
      <c r="AD3" s="368"/>
      <c r="AE3" s="369"/>
      <c r="AF3" s="370" t="s">
        <v>326</v>
      </c>
      <c r="AH3" s="367"/>
      <c r="AI3" s="368"/>
      <c r="AJ3" s="369"/>
      <c r="AK3" s="370" t="s">
        <v>266</v>
      </c>
      <c r="AM3" s="367"/>
      <c r="AN3" s="368"/>
      <c r="AO3" s="369"/>
      <c r="AP3" s="370" t="str">
        <f>Company_Name</f>
        <v>Jazz Pharmaceuticals plc</v>
      </c>
    </row>
    <row r="4" spans="2:56" x14ac:dyDescent="0.3">
      <c r="B4" s="282"/>
      <c r="C4" s="282"/>
      <c r="D4" s="371" t="s">
        <v>267</v>
      </c>
      <c r="E4" s="372"/>
      <c r="F4" s="373"/>
      <c r="G4" s="374"/>
      <c r="I4" s="371" t="s">
        <v>267</v>
      </c>
      <c r="J4" s="372"/>
      <c r="K4" s="373"/>
      <c r="L4" s="374"/>
      <c r="N4" s="371" t="s">
        <v>267</v>
      </c>
      <c r="O4" s="372"/>
      <c r="P4" s="373"/>
      <c r="Q4" s="374"/>
      <c r="S4" s="371" t="s">
        <v>267</v>
      </c>
      <c r="T4" s="372"/>
      <c r="U4" s="373"/>
      <c r="V4" s="374"/>
      <c r="X4" s="371" t="s">
        <v>267</v>
      </c>
      <c r="Y4" s="372"/>
      <c r="Z4" s="373"/>
      <c r="AA4" s="374"/>
      <c r="AC4" s="371" t="s">
        <v>267</v>
      </c>
      <c r="AD4" s="372"/>
      <c r="AE4" s="373"/>
      <c r="AF4" s="374"/>
      <c r="AH4" s="371" t="s">
        <v>267</v>
      </c>
      <c r="AI4" s="372"/>
      <c r="AJ4" s="373"/>
      <c r="AK4" s="374"/>
      <c r="AM4" s="375" t="s">
        <v>267</v>
      </c>
      <c r="AN4" s="376"/>
      <c r="AO4" s="377"/>
      <c r="AP4" s="378"/>
    </row>
    <row r="5" spans="2:56" x14ac:dyDescent="0.3">
      <c r="B5" s="282"/>
      <c r="C5" s="282"/>
      <c r="D5" s="379" t="s">
        <v>268</v>
      </c>
      <c r="E5" s="380" t="s">
        <v>269</v>
      </c>
      <c r="F5" s="381" t="s">
        <v>270</v>
      </c>
      <c r="G5" s="382" t="str">
        <f>LTM</f>
        <v>LTM</v>
      </c>
      <c r="I5" s="379" t="s">
        <v>268</v>
      </c>
      <c r="J5" s="380" t="s">
        <v>269</v>
      </c>
      <c r="K5" s="381" t="s">
        <v>270</v>
      </c>
      <c r="L5" s="382" t="str">
        <f>LTM</f>
        <v>LTM</v>
      </c>
      <c r="N5" s="379" t="s">
        <v>268</v>
      </c>
      <c r="O5" s="380" t="s">
        <v>269</v>
      </c>
      <c r="P5" s="381" t="s">
        <v>270</v>
      </c>
      <c r="Q5" s="382" t="str">
        <f>LTM</f>
        <v>LTM</v>
      </c>
      <c r="S5" s="379" t="s">
        <v>268</v>
      </c>
      <c r="T5" s="380" t="s">
        <v>269</v>
      </c>
      <c r="U5" s="381" t="s">
        <v>270</v>
      </c>
      <c r="V5" s="382" t="str">
        <f>LTM</f>
        <v>LTM</v>
      </c>
      <c r="X5" s="379" t="s">
        <v>268</v>
      </c>
      <c r="Y5" s="380" t="s">
        <v>269</v>
      </c>
      <c r="Z5" s="381" t="s">
        <v>270</v>
      </c>
      <c r="AA5" s="382" t="str">
        <f>LTM</f>
        <v>LTM</v>
      </c>
      <c r="AC5" s="379" t="s">
        <v>268</v>
      </c>
      <c r="AD5" s="380" t="s">
        <v>269</v>
      </c>
      <c r="AE5" s="381" t="s">
        <v>270</v>
      </c>
      <c r="AF5" s="382" t="str">
        <f>LTM</f>
        <v>LTM</v>
      </c>
      <c r="AH5" s="379" t="s">
        <v>268</v>
      </c>
      <c r="AI5" s="380" t="s">
        <v>269</v>
      </c>
      <c r="AJ5" s="381" t="s">
        <v>270</v>
      </c>
      <c r="AK5" s="382" t="str">
        <f>LTM</f>
        <v>LTM</v>
      </c>
      <c r="AM5" s="383" t="s">
        <v>268</v>
      </c>
      <c r="AN5" s="384" t="s">
        <v>269</v>
      </c>
      <c r="AO5" s="385" t="s">
        <v>270</v>
      </c>
      <c r="AP5" s="386" t="str">
        <f>LTM</f>
        <v>LTM</v>
      </c>
    </row>
    <row r="6" spans="2:56" x14ac:dyDescent="0.3">
      <c r="B6" s="282" t="s">
        <v>7</v>
      </c>
      <c r="C6" s="282"/>
      <c r="D6" s="387">
        <v>328.36799999999999</v>
      </c>
      <c r="E6" s="388">
        <v>118.45099999999999</v>
      </c>
      <c r="F6" s="388">
        <v>1211.9749999999999</v>
      </c>
      <c r="G6" s="389">
        <f t="shared" ref="G6:G19" si="0">F6+E6-D6</f>
        <v>1002.058</v>
      </c>
      <c r="I6" s="387">
        <v>338.94099999999997</v>
      </c>
      <c r="J6" s="388">
        <v>566.61599999999999</v>
      </c>
      <c r="K6" s="388">
        <v>1551.346</v>
      </c>
      <c r="L6" s="389">
        <f t="shared" ref="L6:L19" si="1">+K6+J6-I6</f>
        <v>1779.021</v>
      </c>
      <c r="N6" s="387">
        <v>202.601</v>
      </c>
      <c r="O6" s="388">
        <v>384.37400000000002</v>
      </c>
      <c r="P6" s="388">
        <v>933.83799999999997</v>
      </c>
      <c r="Q6" s="389">
        <f>+P6+O6-N6</f>
        <v>1115.6109999999999</v>
      </c>
      <c r="S6" s="387">
        <v>245.136</v>
      </c>
      <c r="T6" s="388">
        <v>289.40300000000002</v>
      </c>
      <c r="U6" s="388">
        <v>1116.9839999999999</v>
      </c>
      <c r="V6" s="389">
        <f t="shared" ref="V6:V19" si="2">+U6+T6-S6</f>
        <v>1161.251</v>
      </c>
      <c r="W6" s="501"/>
      <c r="X6" s="387">
        <v>229.929</v>
      </c>
      <c r="Y6" s="388">
        <v>261.233</v>
      </c>
      <c r="Z6" s="388">
        <v>1054.442</v>
      </c>
      <c r="AA6" s="389">
        <f t="shared" ref="AA6:AA19" si="3">+Z6+Y6-X6</f>
        <v>1085.7459999999999</v>
      </c>
      <c r="AB6" s="501"/>
      <c r="AC6" s="387">
        <v>127.928</v>
      </c>
      <c r="AD6" s="388">
        <v>151.55199999999999</v>
      </c>
      <c r="AE6" s="388">
        <v>548.48500000000001</v>
      </c>
      <c r="AF6" s="389">
        <f t="shared" ref="AF6:AF19" si="4">+AE6+AD6-AC6</f>
        <v>572.10900000000004</v>
      </c>
      <c r="AG6" s="501"/>
      <c r="AH6" s="387">
        <v>155.75299999999999</v>
      </c>
      <c r="AI6" s="388">
        <v>177.23500000000001</v>
      </c>
      <c r="AJ6" s="388">
        <v>687.86400000000003</v>
      </c>
      <c r="AK6" s="389">
        <f t="shared" ref="AK6:AK19" si="5">+AJ6+AI6-AH6</f>
        <v>709.346</v>
      </c>
      <c r="AM6" s="387">
        <v>196.23699999999999</v>
      </c>
      <c r="AN6" s="388">
        <v>246.91900000000001</v>
      </c>
      <c r="AO6" s="388">
        <v>872.423</v>
      </c>
      <c r="AP6" s="389">
        <f>+AO6+AN6-AM6</f>
        <v>923.10500000000013</v>
      </c>
      <c r="AR6" s="288"/>
      <c r="AS6" s="396"/>
      <c r="AT6" s="396"/>
      <c r="AU6" s="396"/>
      <c r="AV6" s="396"/>
      <c r="AW6" s="396"/>
      <c r="AX6" s="396"/>
      <c r="AY6" s="396"/>
      <c r="AZ6" s="396"/>
      <c r="BA6" s="396"/>
      <c r="BB6" s="396"/>
      <c r="BC6" s="396"/>
      <c r="BD6" s="396"/>
    </row>
    <row r="7" spans="2:56" x14ac:dyDescent="0.3">
      <c r="B7" s="282" t="s">
        <v>271</v>
      </c>
      <c r="C7" s="282"/>
      <c r="D7" s="390">
        <v>30.954999999999998</v>
      </c>
      <c r="E7" s="391">
        <v>8.5719999999999992</v>
      </c>
      <c r="F7" s="391">
        <v>88.978999999999999</v>
      </c>
      <c r="G7" s="392">
        <f t="shared" si="0"/>
        <v>66.596000000000004</v>
      </c>
      <c r="I7" s="390">
        <v>35.268999999999998</v>
      </c>
      <c r="J7" s="391">
        <v>32.939</v>
      </c>
      <c r="K7" s="391">
        <v>177.55600000000001</v>
      </c>
      <c r="L7" s="392">
        <f t="shared" si="1"/>
        <v>175.226</v>
      </c>
      <c r="N7" s="390">
        <v>33.072000000000003</v>
      </c>
      <c r="O7" s="391">
        <v>115.566</v>
      </c>
      <c r="P7" s="391">
        <v>179.392</v>
      </c>
      <c r="Q7" s="392">
        <f t="shared" ref="Q7:Q19" si="6">+P7+O7-N7</f>
        <v>261.88599999999997</v>
      </c>
      <c r="S7" s="390">
        <v>29.312999999999999</v>
      </c>
      <c r="T7" s="391">
        <v>30.6</v>
      </c>
      <c r="U7" s="391">
        <v>131.12700000000001</v>
      </c>
      <c r="V7" s="392">
        <f t="shared" si="2"/>
        <v>132.41400000000002</v>
      </c>
      <c r="W7" s="501"/>
      <c r="X7" s="390">
        <v>55.674999999999997</v>
      </c>
      <c r="Y7" s="391">
        <v>73.540999999999997</v>
      </c>
      <c r="Z7" s="391">
        <v>260.31</v>
      </c>
      <c r="AA7" s="392">
        <f t="shared" si="3"/>
        <v>278.17599999999999</v>
      </c>
      <c r="AB7" s="501"/>
      <c r="AC7" s="390">
        <v>20.5</v>
      </c>
      <c r="AD7" s="391">
        <v>22.815999999999999</v>
      </c>
      <c r="AE7" s="391">
        <v>95.742000000000004</v>
      </c>
      <c r="AF7" s="392">
        <f t="shared" si="4"/>
        <v>98.058000000000007</v>
      </c>
      <c r="AG7" s="501"/>
      <c r="AH7" s="390">
        <v>56.713999999999999</v>
      </c>
      <c r="AI7" s="391">
        <v>66.867000000000004</v>
      </c>
      <c r="AJ7" s="391">
        <v>262.78500000000003</v>
      </c>
      <c r="AK7" s="392">
        <f t="shared" si="5"/>
        <v>272.93800000000005</v>
      </c>
      <c r="AM7" s="390">
        <v>27.22</v>
      </c>
      <c r="AN7" s="391">
        <v>30.923999999999999</v>
      </c>
      <c r="AO7" s="391">
        <v>102.146</v>
      </c>
      <c r="AP7" s="392">
        <f t="shared" ref="AP7:AP19" si="7">+AO7+AN7-AM7</f>
        <v>105.85</v>
      </c>
      <c r="AR7" s="396"/>
      <c r="AS7" s="396"/>
      <c r="AT7" s="396"/>
      <c r="AU7" s="396"/>
      <c r="AV7" s="396"/>
      <c r="AW7" s="396"/>
      <c r="AX7" s="396"/>
      <c r="AY7" s="396"/>
      <c r="AZ7" s="396"/>
      <c r="BA7" s="396"/>
      <c r="BB7" s="396"/>
      <c r="BC7" s="396"/>
      <c r="BD7" s="396"/>
    </row>
    <row r="8" spans="2:56" x14ac:dyDescent="0.3">
      <c r="B8" s="393" t="s">
        <v>8</v>
      </c>
      <c r="C8" s="393"/>
      <c r="D8" s="394">
        <f t="shared" ref="D8:E8" si="8">+D6-D7</f>
        <v>297.41300000000001</v>
      </c>
      <c r="E8" s="395">
        <f t="shared" si="8"/>
        <v>109.87899999999999</v>
      </c>
      <c r="F8" s="395">
        <f>+F6-F7</f>
        <v>1122.9959999999999</v>
      </c>
      <c r="G8" s="392">
        <f t="shared" si="0"/>
        <v>935.46199999999976</v>
      </c>
      <c r="I8" s="394">
        <f t="shared" ref="I8:J8" si="9">+I6-I7</f>
        <v>303.67199999999997</v>
      </c>
      <c r="J8" s="395">
        <f t="shared" si="9"/>
        <v>533.67700000000002</v>
      </c>
      <c r="K8" s="395">
        <f>+K6-K7</f>
        <v>1373.79</v>
      </c>
      <c r="L8" s="392">
        <f t="shared" si="1"/>
        <v>1603.7950000000001</v>
      </c>
      <c r="N8" s="394">
        <f t="shared" ref="N8:O8" si="10">+N6-N7</f>
        <v>169.529</v>
      </c>
      <c r="O8" s="395">
        <f t="shared" si="10"/>
        <v>268.80799999999999</v>
      </c>
      <c r="P8" s="395">
        <f>+P6-P7</f>
        <v>754.44599999999991</v>
      </c>
      <c r="Q8" s="392">
        <f t="shared" si="6"/>
        <v>853.72499999999991</v>
      </c>
      <c r="S8" s="394">
        <f t="shared" ref="S8:T8" si="11">+S6-S7</f>
        <v>215.82300000000001</v>
      </c>
      <c r="T8" s="395">
        <f t="shared" si="11"/>
        <v>258.803</v>
      </c>
      <c r="U8" s="395">
        <f>+U6-U7</f>
        <v>985.85699999999997</v>
      </c>
      <c r="V8" s="392">
        <f t="shared" si="2"/>
        <v>1028.8369999999998</v>
      </c>
      <c r="W8" s="501"/>
      <c r="X8" s="394">
        <f t="shared" ref="X8:Y8" si="12">+X6-X7</f>
        <v>174.25400000000002</v>
      </c>
      <c r="Y8" s="395">
        <f t="shared" si="12"/>
        <v>187.69200000000001</v>
      </c>
      <c r="Z8" s="395">
        <f>+Z6-Z7</f>
        <v>794.13200000000006</v>
      </c>
      <c r="AA8" s="392">
        <f t="shared" si="3"/>
        <v>807.57</v>
      </c>
      <c r="AB8" s="501"/>
      <c r="AC8" s="394">
        <f t="shared" ref="AC8:AD8" si="13">+AC6-AC7</f>
        <v>107.428</v>
      </c>
      <c r="AD8" s="395">
        <f t="shared" si="13"/>
        <v>128.73599999999999</v>
      </c>
      <c r="AE8" s="395">
        <f>+AE6-AE7</f>
        <v>452.74299999999999</v>
      </c>
      <c r="AF8" s="392">
        <f t="shared" si="4"/>
        <v>474.05100000000004</v>
      </c>
      <c r="AG8" s="501"/>
      <c r="AH8" s="394">
        <f t="shared" ref="AH8:AI8" si="14">+AH6-AH7</f>
        <v>99.038999999999987</v>
      </c>
      <c r="AI8" s="395">
        <f t="shared" si="14"/>
        <v>110.36800000000001</v>
      </c>
      <c r="AJ8" s="395">
        <f>+AJ6-AJ7</f>
        <v>425.07900000000001</v>
      </c>
      <c r="AK8" s="392">
        <f t="shared" si="5"/>
        <v>436.40800000000002</v>
      </c>
      <c r="AM8" s="394">
        <f t="shared" ref="AM8:AN8" si="15">+AM6-AM7</f>
        <v>169.017</v>
      </c>
      <c r="AN8" s="395">
        <f t="shared" si="15"/>
        <v>215.995</v>
      </c>
      <c r="AO8" s="395">
        <f>+AO6-AO7</f>
        <v>770.27700000000004</v>
      </c>
      <c r="AP8" s="392">
        <f t="shared" si="7"/>
        <v>817.25500000000011</v>
      </c>
      <c r="AR8" s="288"/>
      <c r="AS8" s="396"/>
      <c r="AT8" s="396"/>
      <c r="AU8" s="396"/>
      <c r="AV8" s="396"/>
      <c r="AW8" s="396"/>
      <c r="AX8" s="396"/>
      <c r="AY8" s="396"/>
      <c r="AZ8" s="396"/>
      <c r="BA8" s="396"/>
      <c r="BB8" s="396"/>
      <c r="BC8" s="396"/>
      <c r="BD8" s="396"/>
    </row>
    <row r="9" spans="2:56" x14ac:dyDescent="0.3">
      <c r="B9" s="396" t="s">
        <v>17</v>
      </c>
      <c r="C9" s="396"/>
      <c r="D9" s="394">
        <f>766.656-30.955</f>
        <v>735.70099999999991</v>
      </c>
      <c r="E9" s="395">
        <f>334.839-8.572</f>
        <v>326.267</v>
      </c>
      <c r="F9" s="391">
        <f>2115.423-88.979</f>
        <v>2026.4439999999997</v>
      </c>
      <c r="G9" s="392">
        <f t="shared" si="0"/>
        <v>1617.0099999999998</v>
      </c>
      <c r="I9" s="390">
        <v>186.7</v>
      </c>
      <c r="J9" s="391">
        <v>324.17399999999998</v>
      </c>
      <c r="K9" s="391">
        <v>845.78</v>
      </c>
      <c r="L9" s="392">
        <f t="shared" si="1"/>
        <v>983.25399999999991</v>
      </c>
      <c r="N9" s="394">
        <f>153.327-33.072</f>
        <v>120.255</v>
      </c>
      <c r="O9" s="395">
        <f>422.463-115.566</f>
        <v>306.89700000000005</v>
      </c>
      <c r="P9" s="395">
        <f>662.125-179.392</f>
        <v>482.733</v>
      </c>
      <c r="Q9" s="392">
        <f t="shared" si="6"/>
        <v>669.37500000000011</v>
      </c>
      <c r="S9" s="394">
        <f>151.099-29.313</f>
        <v>121.78599999999999</v>
      </c>
      <c r="T9" s="395">
        <f>73.263-30.6</f>
        <v>42.663000000000004</v>
      </c>
      <c r="U9" s="395">
        <f>824.485-131.127</f>
        <v>693.35799999999995</v>
      </c>
      <c r="V9" s="392">
        <f t="shared" si="2"/>
        <v>614.23500000000001</v>
      </c>
      <c r="W9" s="501"/>
      <c r="X9" s="394">
        <f>220.138-55.675</f>
        <v>164.46300000000002</v>
      </c>
      <c r="Y9" s="395">
        <f>232.927-73.541</f>
        <v>159.386</v>
      </c>
      <c r="Z9" s="395">
        <f>1028.032-260.31</f>
        <v>767.72199999999998</v>
      </c>
      <c r="AA9" s="392">
        <f t="shared" si="3"/>
        <v>762.64499999999998</v>
      </c>
      <c r="AB9" s="501"/>
      <c r="AC9" s="394">
        <f>160.849-20.5</f>
        <v>140.34899999999999</v>
      </c>
      <c r="AD9" s="395">
        <f>178.008-22.816</f>
        <v>155.19200000000001</v>
      </c>
      <c r="AE9" s="395">
        <f>704.492-95.742</f>
        <v>608.75</v>
      </c>
      <c r="AF9" s="392">
        <f t="shared" si="4"/>
        <v>623.59300000000007</v>
      </c>
      <c r="AG9" s="501"/>
      <c r="AH9" s="394">
        <f>178.392-56.714</f>
        <v>121.678</v>
      </c>
      <c r="AI9" s="395">
        <f>162.484-66.867</f>
        <v>95.617000000000004</v>
      </c>
      <c r="AJ9" s="395">
        <f>674.673-262.785</f>
        <v>411.88799999999998</v>
      </c>
      <c r="AK9" s="392">
        <f t="shared" si="5"/>
        <v>385.827</v>
      </c>
      <c r="AM9" s="394">
        <f>128.05-27.22</f>
        <v>100.83000000000001</v>
      </c>
      <c r="AN9" s="395">
        <f>313.578-30.924</f>
        <v>282.654</v>
      </c>
      <c r="AO9" s="395">
        <f>532.111-102.146</f>
        <v>429.96499999999997</v>
      </c>
      <c r="AP9" s="392">
        <f t="shared" si="7"/>
        <v>611.78899999999987</v>
      </c>
      <c r="AR9" s="396"/>
      <c r="AS9" s="396"/>
      <c r="AT9" s="396"/>
      <c r="AU9" s="396"/>
      <c r="AV9" s="396"/>
      <c r="AW9" s="396"/>
      <c r="AX9" s="396"/>
      <c r="AY9" s="396"/>
      <c r="AZ9" s="396"/>
      <c r="BA9" s="396"/>
      <c r="BB9" s="396"/>
      <c r="BC9" s="396"/>
      <c r="BD9" s="396"/>
    </row>
    <row r="10" spans="2:56" x14ac:dyDescent="0.3">
      <c r="B10" s="396" t="s">
        <v>13</v>
      </c>
      <c r="C10" s="396"/>
      <c r="D10" s="394">
        <f t="shared" ref="D10:F10" si="16">+D8-D9</f>
        <v>-438.2879999999999</v>
      </c>
      <c r="E10" s="395">
        <f t="shared" si="16"/>
        <v>-216.38800000000001</v>
      </c>
      <c r="F10" s="395">
        <f t="shared" si="16"/>
        <v>-903.44799999999987</v>
      </c>
      <c r="G10" s="392">
        <f t="shared" si="0"/>
        <v>-681.54799999999989</v>
      </c>
      <c r="I10" s="394">
        <f t="shared" ref="I10:K10" si="17">+I8-I9</f>
        <v>116.97199999999998</v>
      </c>
      <c r="J10" s="395">
        <f t="shared" si="17"/>
        <v>209.50300000000004</v>
      </c>
      <c r="K10" s="395">
        <f t="shared" si="17"/>
        <v>528.01</v>
      </c>
      <c r="L10" s="392">
        <f t="shared" si="1"/>
        <v>620.54100000000005</v>
      </c>
      <c r="N10" s="394">
        <f t="shared" ref="N10:O10" si="18">+N8-N9</f>
        <v>49.274000000000001</v>
      </c>
      <c r="O10" s="395">
        <f t="shared" si="18"/>
        <v>-38.089000000000055</v>
      </c>
      <c r="P10" s="395">
        <f>+P8-P9</f>
        <v>271.71299999999991</v>
      </c>
      <c r="Q10" s="392">
        <f t="shared" si="6"/>
        <v>184.34999999999985</v>
      </c>
      <c r="S10" s="394">
        <f t="shared" ref="S10:U10" si="19">+S8-S9</f>
        <v>94.03700000000002</v>
      </c>
      <c r="T10" s="395">
        <f t="shared" si="19"/>
        <v>216.14</v>
      </c>
      <c r="U10" s="395">
        <f t="shared" si="19"/>
        <v>292.49900000000002</v>
      </c>
      <c r="V10" s="392">
        <f t="shared" si="2"/>
        <v>414.60199999999998</v>
      </c>
      <c r="W10" s="501"/>
      <c r="X10" s="394">
        <f t="shared" ref="X10:Z10" si="20">+X8-X9</f>
        <v>9.7909999999999968</v>
      </c>
      <c r="Y10" s="395">
        <f t="shared" si="20"/>
        <v>28.306000000000012</v>
      </c>
      <c r="Z10" s="395">
        <f t="shared" si="20"/>
        <v>26.410000000000082</v>
      </c>
      <c r="AA10" s="392">
        <f t="shared" si="3"/>
        <v>44.925000000000097</v>
      </c>
      <c r="AB10" s="501"/>
      <c r="AC10" s="394">
        <f t="shared" ref="AC10:AE10" si="21">+AC8-AC9</f>
        <v>-32.920999999999992</v>
      </c>
      <c r="AD10" s="395">
        <f t="shared" si="21"/>
        <v>-26.456000000000017</v>
      </c>
      <c r="AE10" s="395">
        <f t="shared" si="21"/>
        <v>-156.00700000000001</v>
      </c>
      <c r="AF10" s="392">
        <f t="shared" si="4"/>
        <v>-149.54200000000003</v>
      </c>
      <c r="AG10" s="501"/>
      <c r="AH10" s="394">
        <f t="shared" ref="AH10:AJ10" si="22">+AH8-AH9</f>
        <v>-22.63900000000001</v>
      </c>
      <c r="AI10" s="395">
        <f t="shared" si="22"/>
        <v>14.751000000000005</v>
      </c>
      <c r="AJ10" s="395">
        <f t="shared" si="22"/>
        <v>13.191000000000031</v>
      </c>
      <c r="AK10" s="392">
        <f t="shared" si="5"/>
        <v>50.581000000000046</v>
      </c>
      <c r="AM10" s="394">
        <f t="shared" ref="AM10:AN10" si="23">+AM8-AM9</f>
        <v>68.186999999999983</v>
      </c>
      <c r="AN10" s="395">
        <f t="shared" si="23"/>
        <v>-66.658999999999992</v>
      </c>
      <c r="AO10" s="395">
        <f>+AO8-AO9</f>
        <v>340.31200000000007</v>
      </c>
      <c r="AP10" s="392">
        <f t="shared" si="7"/>
        <v>205.46600000000009</v>
      </c>
      <c r="AR10" s="396"/>
      <c r="AS10" s="396"/>
      <c r="AT10" s="396"/>
      <c r="AU10" s="396"/>
      <c r="AV10" s="396"/>
      <c r="AW10" s="396"/>
      <c r="AX10" s="396"/>
      <c r="AY10" s="396"/>
      <c r="AZ10" s="396"/>
      <c r="BA10" s="396"/>
      <c r="BB10" s="396"/>
      <c r="BC10" s="396"/>
      <c r="BD10" s="396"/>
    </row>
    <row r="11" spans="2:56" x14ac:dyDescent="0.3">
      <c r="B11" s="396" t="s">
        <v>272</v>
      </c>
      <c r="C11" s="396"/>
      <c r="D11" s="394">
        <f>-3.465-1.187</f>
        <v>-4.6520000000000001</v>
      </c>
      <c r="E11" s="395">
        <f>-15.717+0.451</f>
        <v>-15.266</v>
      </c>
      <c r="F11" s="395">
        <f>-22.73-49.939</f>
        <v>-72.668999999999997</v>
      </c>
      <c r="G11" s="392">
        <f t="shared" si="0"/>
        <v>-83.283000000000001</v>
      </c>
      <c r="I11" s="394">
        <f>0.437-1.171+0.503</f>
        <v>-0.23099999999999998</v>
      </c>
      <c r="J11" s="395">
        <f>2.213-1.063+1.258</f>
        <v>2.4080000000000004</v>
      </c>
      <c r="K11" s="395">
        <f>3.346-4.112-0.975</f>
        <v>-1.7410000000000001</v>
      </c>
      <c r="L11" s="392">
        <f t="shared" si="1"/>
        <v>0.89800000000000024</v>
      </c>
      <c r="N11" s="394">
        <f>-15.33+0.015</f>
        <v>-15.315</v>
      </c>
      <c r="O11" s="395">
        <f>-42.46+0.309</f>
        <v>-42.151000000000003</v>
      </c>
      <c r="P11" s="395">
        <f>-61.651+2.003</f>
        <v>-59.648000000000003</v>
      </c>
      <c r="Q11" s="392">
        <f t="shared" si="6"/>
        <v>-86.484000000000009</v>
      </c>
      <c r="S11" s="390">
        <v>-3.202</v>
      </c>
      <c r="T11" s="391">
        <v>-2.9239999999999999</v>
      </c>
      <c r="U11" s="391">
        <v>-13.596</v>
      </c>
      <c r="V11" s="392">
        <f t="shared" si="2"/>
        <v>-13.318</v>
      </c>
      <c r="W11" s="501"/>
      <c r="X11" s="390">
        <v>-6.202</v>
      </c>
      <c r="Y11" s="391">
        <v>-14.087</v>
      </c>
      <c r="Z11" s="391">
        <v>-70.054000000000002</v>
      </c>
      <c r="AA11" s="392">
        <f t="shared" si="3"/>
        <v>-77.939000000000007</v>
      </c>
      <c r="AB11" s="501"/>
      <c r="AC11" s="394">
        <f>-0.401+0.718-1.725-10.42+0.228</f>
        <v>-11.6</v>
      </c>
      <c r="AD11" s="395">
        <f>-0.338+1.123-9.106+0.153</f>
        <v>-8.1679999999999993</v>
      </c>
      <c r="AE11" s="395">
        <f>-1.149+3.083-10.447-12.965+0.982</f>
        <v>-20.495999999999999</v>
      </c>
      <c r="AF11" s="392">
        <f t="shared" si="4"/>
        <v>-17.064</v>
      </c>
      <c r="AG11" s="501"/>
      <c r="AH11" s="394">
        <f>3.75-3.674+0.198</f>
        <v>0.27400000000000008</v>
      </c>
      <c r="AI11" s="395">
        <f>6.02-3.86+0.179</f>
        <v>2.3389999999999995</v>
      </c>
      <c r="AJ11" s="395">
        <f>17.383-15.531+1.577</f>
        <v>3.4289999999999985</v>
      </c>
      <c r="AK11" s="392">
        <f t="shared" si="5"/>
        <v>5.493999999999998</v>
      </c>
      <c r="AM11" s="394">
        <f>-7.399+0.271</f>
        <v>-7.1280000000000001</v>
      </c>
      <c r="AN11" s="395">
        <f>-10.076+0.123</f>
        <v>-9.9530000000000012</v>
      </c>
      <c r="AO11" s="395">
        <f>-26.916-1.697-3.749</f>
        <v>-32.362000000000002</v>
      </c>
      <c r="AP11" s="392">
        <f t="shared" si="7"/>
        <v>-35.187000000000005</v>
      </c>
      <c r="AR11" s="288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6"/>
    </row>
    <row r="12" spans="2:56" x14ac:dyDescent="0.3">
      <c r="B12" s="397" t="s">
        <v>273</v>
      </c>
      <c r="C12" s="397"/>
      <c r="D12" s="394">
        <f t="shared" ref="D12:F12" si="24">+D10+D11</f>
        <v>-442.93999999999988</v>
      </c>
      <c r="E12" s="395">
        <f t="shared" si="24"/>
        <v>-231.654</v>
      </c>
      <c r="F12" s="395">
        <f t="shared" si="24"/>
        <v>-976.11699999999985</v>
      </c>
      <c r="G12" s="392">
        <f t="shared" si="0"/>
        <v>-764.8309999999999</v>
      </c>
      <c r="I12" s="394">
        <f t="shared" ref="I12:K12" si="25">+I10+I11</f>
        <v>116.74099999999999</v>
      </c>
      <c r="J12" s="395">
        <f t="shared" si="25"/>
        <v>211.91100000000003</v>
      </c>
      <c r="K12" s="395">
        <f t="shared" si="25"/>
        <v>526.26900000000001</v>
      </c>
      <c r="L12" s="392">
        <f t="shared" si="1"/>
        <v>621.43900000000008</v>
      </c>
      <c r="N12" s="394">
        <f t="shared" ref="N12:O12" si="26">+N10+N11</f>
        <v>33.959000000000003</v>
      </c>
      <c r="O12" s="395">
        <f t="shared" si="26"/>
        <v>-80.240000000000066</v>
      </c>
      <c r="P12" s="395">
        <f>+P10+P11</f>
        <v>212.06499999999991</v>
      </c>
      <c r="Q12" s="392">
        <f t="shared" si="6"/>
        <v>97.865999999999843</v>
      </c>
      <c r="S12" s="394">
        <f t="shared" ref="S12:U12" si="27">+S10+S11</f>
        <v>90.835000000000022</v>
      </c>
      <c r="T12" s="395">
        <f t="shared" si="27"/>
        <v>213.21599999999998</v>
      </c>
      <c r="U12" s="395">
        <f t="shared" si="27"/>
        <v>278.90300000000002</v>
      </c>
      <c r="V12" s="392">
        <f t="shared" si="2"/>
        <v>401.28399999999999</v>
      </c>
      <c r="W12" s="501"/>
      <c r="X12" s="394">
        <f t="shared" ref="X12:Z12" si="28">+X10+X11</f>
        <v>3.5889999999999969</v>
      </c>
      <c r="Y12" s="395">
        <f t="shared" si="28"/>
        <v>14.219000000000012</v>
      </c>
      <c r="Z12" s="395">
        <f t="shared" si="28"/>
        <v>-43.64399999999992</v>
      </c>
      <c r="AA12" s="392">
        <f t="shared" si="3"/>
        <v>-33.013999999999903</v>
      </c>
      <c r="AB12" s="501"/>
      <c r="AC12" s="394">
        <f t="shared" ref="AC12:AE12" si="29">+AC10+AC11</f>
        <v>-44.520999999999994</v>
      </c>
      <c r="AD12" s="395">
        <f t="shared" si="29"/>
        <v>-34.624000000000017</v>
      </c>
      <c r="AE12" s="395">
        <f t="shared" si="29"/>
        <v>-176.50300000000001</v>
      </c>
      <c r="AF12" s="392">
        <f t="shared" si="4"/>
        <v>-166.60600000000005</v>
      </c>
      <c r="AG12" s="501"/>
      <c r="AH12" s="394">
        <f t="shared" ref="AH12:AJ12" si="30">+AH10+AH11</f>
        <v>-22.365000000000009</v>
      </c>
      <c r="AI12" s="395">
        <f t="shared" si="30"/>
        <v>17.090000000000003</v>
      </c>
      <c r="AJ12" s="395">
        <f t="shared" si="30"/>
        <v>16.620000000000029</v>
      </c>
      <c r="AK12" s="392">
        <f t="shared" si="5"/>
        <v>56.075000000000045</v>
      </c>
      <c r="AM12" s="394">
        <f t="shared" ref="AM12:AN12" si="31">+AM10+AM11</f>
        <v>61.058999999999983</v>
      </c>
      <c r="AN12" s="395">
        <f t="shared" si="31"/>
        <v>-76.611999999999995</v>
      </c>
      <c r="AO12" s="395">
        <f>+AO10+AO11</f>
        <v>307.95000000000005</v>
      </c>
      <c r="AP12" s="392">
        <f t="shared" si="7"/>
        <v>170.27900000000005</v>
      </c>
      <c r="AR12" s="396"/>
      <c r="AS12" s="396"/>
      <c r="AT12" s="396"/>
      <c r="AU12" s="396"/>
      <c r="AV12" s="396"/>
      <c r="AW12" s="396"/>
      <c r="AX12" s="396"/>
      <c r="AY12" s="396"/>
      <c r="AZ12" s="396"/>
      <c r="BA12" s="396"/>
      <c r="BB12" s="396"/>
      <c r="BC12" s="396"/>
      <c r="BD12" s="396"/>
    </row>
    <row r="13" spans="2:56" x14ac:dyDescent="0.3">
      <c r="B13" s="396" t="s">
        <v>274</v>
      </c>
      <c r="C13" s="396"/>
      <c r="D13" s="390">
        <v>-130.31299999999999</v>
      </c>
      <c r="E13" s="391">
        <v>0.80300000000000005</v>
      </c>
      <c r="F13" s="391">
        <v>-288.56700000000001</v>
      </c>
      <c r="G13" s="392">
        <f t="shared" si="0"/>
        <v>-157.45100000000002</v>
      </c>
      <c r="I13" s="390">
        <v>34.524000000000001</v>
      </c>
      <c r="J13" s="391">
        <v>52.557000000000002</v>
      </c>
      <c r="K13" s="391">
        <v>273.37400000000002</v>
      </c>
      <c r="L13" s="392">
        <f t="shared" si="1"/>
        <v>291.40700000000004</v>
      </c>
      <c r="N13" s="390">
        <v>11.518000000000001</v>
      </c>
      <c r="O13" s="391">
        <v>-36.368000000000002</v>
      </c>
      <c r="P13" s="391">
        <v>69.031000000000006</v>
      </c>
      <c r="Q13" s="392">
        <f t="shared" si="6"/>
        <v>21.145000000000003</v>
      </c>
      <c r="S13" s="390">
        <v>28.51</v>
      </c>
      <c r="T13" s="391">
        <v>75.691999999999993</v>
      </c>
      <c r="U13" s="391">
        <v>104.343</v>
      </c>
      <c r="V13" s="392">
        <f t="shared" si="2"/>
        <v>151.52500000000001</v>
      </c>
      <c r="W13" s="501"/>
      <c r="X13" s="390">
        <v>-2.4990000000000001</v>
      </c>
      <c r="Y13" s="391">
        <v>-10.013999999999999</v>
      </c>
      <c r="Z13" s="391">
        <v>-25.073</v>
      </c>
      <c r="AA13" s="392">
        <f t="shared" si="3"/>
        <v>-32.588000000000001</v>
      </c>
      <c r="AB13" s="501"/>
      <c r="AC13" s="390">
        <v>-4.7110000000000003</v>
      </c>
      <c r="AD13" s="391">
        <v>3.4910000000000001</v>
      </c>
      <c r="AE13" s="391">
        <v>-0.15</v>
      </c>
      <c r="AF13" s="392">
        <f t="shared" si="4"/>
        <v>8.0519999999999996</v>
      </c>
      <c r="AG13" s="501"/>
      <c r="AH13" s="390">
        <v>-10.759</v>
      </c>
      <c r="AI13" s="391">
        <v>22.094999999999999</v>
      </c>
      <c r="AJ13" s="391">
        <v>1.36</v>
      </c>
      <c r="AK13" s="392">
        <f t="shared" si="5"/>
        <v>34.213999999999999</v>
      </c>
      <c r="AM13" s="390">
        <v>17.634</v>
      </c>
      <c r="AN13" s="391">
        <v>17.027000000000001</v>
      </c>
      <c r="AO13" s="391">
        <v>91.638000000000005</v>
      </c>
      <c r="AP13" s="392">
        <f t="shared" si="7"/>
        <v>91.031000000000006</v>
      </c>
      <c r="AR13" s="396"/>
      <c r="AS13" s="396"/>
      <c r="AT13" s="396"/>
      <c r="AU13" s="396"/>
      <c r="AV13" s="396"/>
      <c r="AW13" s="396"/>
      <c r="AX13" s="396"/>
      <c r="AY13" s="396"/>
      <c r="AZ13" s="396"/>
      <c r="BA13" s="396"/>
      <c r="BB13" s="396"/>
      <c r="BC13" s="396"/>
      <c r="BD13" s="396"/>
    </row>
    <row r="14" spans="2:56" x14ac:dyDescent="0.3">
      <c r="B14" s="396" t="s">
        <v>275</v>
      </c>
      <c r="C14" s="396"/>
      <c r="D14" s="390">
        <v>4.6109999999999998</v>
      </c>
      <c r="E14" s="391">
        <v>0</v>
      </c>
      <c r="F14" s="391">
        <v>242.52199999999999</v>
      </c>
      <c r="G14" s="392">
        <f t="shared" si="0"/>
        <v>237.911</v>
      </c>
      <c r="I14" s="390">
        <v>0</v>
      </c>
      <c r="J14" s="391">
        <v>0</v>
      </c>
      <c r="K14" s="391">
        <v>0</v>
      </c>
      <c r="L14" s="392">
        <f t="shared" si="1"/>
        <v>0</v>
      </c>
      <c r="N14" s="390">
        <v>0</v>
      </c>
      <c r="O14" s="391">
        <v>0</v>
      </c>
      <c r="P14" s="391">
        <v>0</v>
      </c>
      <c r="Q14" s="392">
        <f t="shared" si="6"/>
        <v>0</v>
      </c>
      <c r="S14" s="390">
        <v>0</v>
      </c>
      <c r="T14" s="391">
        <v>0</v>
      </c>
      <c r="U14" s="391">
        <v>0</v>
      </c>
      <c r="V14" s="392">
        <f t="shared" si="2"/>
        <v>0</v>
      </c>
      <c r="W14" s="501"/>
      <c r="X14" s="390">
        <v>0</v>
      </c>
      <c r="Y14" s="391">
        <v>0</v>
      </c>
      <c r="Z14" s="391">
        <v>0</v>
      </c>
      <c r="AA14" s="392">
        <f t="shared" si="3"/>
        <v>0</v>
      </c>
      <c r="AB14" s="501"/>
      <c r="AC14" s="390">
        <v>0</v>
      </c>
      <c r="AD14" s="391">
        <v>0</v>
      </c>
      <c r="AE14" s="391">
        <v>0</v>
      </c>
      <c r="AF14" s="392">
        <f t="shared" si="4"/>
        <v>0</v>
      </c>
      <c r="AG14" s="501"/>
      <c r="AH14" s="390">
        <v>3.3000000000000002E-2</v>
      </c>
      <c r="AI14" s="391">
        <v>8.9999999999999993E-3</v>
      </c>
      <c r="AJ14" s="391">
        <v>0.252</v>
      </c>
      <c r="AK14" s="392">
        <f t="shared" si="5"/>
        <v>0.22800000000000001</v>
      </c>
      <c r="AM14" s="390">
        <v>0</v>
      </c>
      <c r="AN14" s="391">
        <v>0.98899999999999999</v>
      </c>
      <c r="AO14" s="391">
        <v>0</v>
      </c>
      <c r="AP14" s="392">
        <f t="shared" si="7"/>
        <v>0.98899999999999999</v>
      </c>
      <c r="AR14" s="288"/>
      <c r="AS14" s="396"/>
      <c r="AT14" s="396"/>
      <c r="AU14" s="396"/>
      <c r="AV14" s="396"/>
      <c r="AW14" s="396"/>
      <c r="AX14" s="396"/>
      <c r="AY14" s="396"/>
      <c r="AZ14" s="396"/>
      <c r="BA14" s="396"/>
      <c r="BB14" s="396"/>
      <c r="BC14" s="396"/>
      <c r="BD14" s="396"/>
    </row>
    <row r="15" spans="2:56" x14ac:dyDescent="0.3">
      <c r="B15" s="397" t="s">
        <v>276</v>
      </c>
      <c r="C15" s="397"/>
      <c r="D15" s="398">
        <f t="shared" ref="D15:F15" si="32">+D12-D13+D14</f>
        <v>-308.01599999999991</v>
      </c>
      <c r="E15" s="395">
        <f t="shared" si="32"/>
        <v>-232.45699999999999</v>
      </c>
      <c r="F15" s="395">
        <f t="shared" si="32"/>
        <v>-445.02799999999985</v>
      </c>
      <c r="G15" s="392">
        <f t="shared" si="0"/>
        <v>-369.46899999999999</v>
      </c>
      <c r="I15" s="398">
        <f t="shared" ref="I15:K15" si="33">+I12-I13+I14</f>
        <v>82.216999999999985</v>
      </c>
      <c r="J15" s="395">
        <f t="shared" si="33"/>
        <v>159.35400000000004</v>
      </c>
      <c r="K15" s="395">
        <f t="shared" si="33"/>
        <v>252.89499999999998</v>
      </c>
      <c r="L15" s="392">
        <f t="shared" si="1"/>
        <v>330.03200000000004</v>
      </c>
      <c r="N15" s="398">
        <f t="shared" ref="N15:O15" si="34">+N12-N13+N14</f>
        <v>22.441000000000003</v>
      </c>
      <c r="O15" s="395">
        <f t="shared" si="34"/>
        <v>-43.872000000000064</v>
      </c>
      <c r="P15" s="395">
        <f>+P12-P13+P14</f>
        <v>143.03399999999991</v>
      </c>
      <c r="Q15" s="392">
        <f t="shared" si="6"/>
        <v>76.720999999999833</v>
      </c>
      <c r="S15" s="398">
        <f t="shared" ref="S15:U15" si="35">+S12-S13+S14</f>
        <v>62.325000000000017</v>
      </c>
      <c r="T15" s="395">
        <f t="shared" si="35"/>
        <v>137.524</v>
      </c>
      <c r="U15" s="395">
        <f t="shared" si="35"/>
        <v>174.56</v>
      </c>
      <c r="V15" s="392">
        <f t="shared" si="2"/>
        <v>249.75899999999999</v>
      </c>
      <c r="W15" s="501"/>
      <c r="X15" s="398">
        <f>X12-X13+X14</f>
        <v>6.0879999999999974</v>
      </c>
      <c r="Y15" s="395">
        <f>Y12-Y13+Y14</f>
        <v>24.233000000000011</v>
      </c>
      <c r="Z15" s="395">
        <f t="shared" ref="Z15" si="36">+Z12-Z13+Z14</f>
        <v>-18.57099999999992</v>
      </c>
      <c r="AA15" s="392">
        <f t="shared" si="3"/>
        <v>-0.42599999999990601</v>
      </c>
      <c r="AB15" s="501"/>
      <c r="AC15" s="398">
        <f t="shared" ref="AC15:AE15" si="37">+AC12-AC13+AC14</f>
        <v>-39.809999999999995</v>
      </c>
      <c r="AD15" s="395">
        <f t="shared" si="37"/>
        <v>-38.115000000000016</v>
      </c>
      <c r="AE15" s="395">
        <f t="shared" si="37"/>
        <v>-176.35300000000001</v>
      </c>
      <c r="AF15" s="392">
        <f t="shared" si="4"/>
        <v>-174.65800000000002</v>
      </c>
      <c r="AG15" s="501"/>
      <c r="AH15" s="398">
        <f t="shared" ref="AH15:AJ15" si="38">+AH12-AH13+AH14</f>
        <v>-11.573000000000009</v>
      </c>
      <c r="AI15" s="395">
        <f t="shared" si="38"/>
        <v>-4.9959999999999951</v>
      </c>
      <c r="AJ15" s="395">
        <f t="shared" si="38"/>
        <v>15.512000000000031</v>
      </c>
      <c r="AK15" s="392">
        <f t="shared" si="5"/>
        <v>22.089000000000045</v>
      </c>
      <c r="AM15" s="398">
        <f t="shared" ref="AM15:AN15" si="39">+AM12-AM13+AM14</f>
        <v>43.424999999999983</v>
      </c>
      <c r="AN15" s="395">
        <f t="shared" si="39"/>
        <v>-92.649999999999991</v>
      </c>
      <c r="AO15" s="395">
        <f>+AO12-AO13+AO14</f>
        <v>216.31200000000004</v>
      </c>
      <c r="AP15" s="392">
        <f t="shared" si="7"/>
        <v>80.237000000000066</v>
      </c>
      <c r="AR15" s="396"/>
      <c r="AS15" s="396"/>
      <c r="AT15" s="396"/>
      <c r="AU15" s="396"/>
      <c r="AV15" s="396"/>
      <c r="AW15" s="396"/>
      <c r="AX15" s="396"/>
      <c r="AY15" s="396"/>
      <c r="AZ15" s="396"/>
      <c r="BA15" s="396"/>
      <c r="BB15" s="396"/>
      <c r="BC15" s="396"/>
      <c r="BD15" s="396"/>
    </row>
    <row r="16" spans="2:56" x14ac:dyDescent="0.3">
      <c r="B16" s="396" t="s">
        <v>277</v>
      </c>
      <c r="C16" s="396"/>
      <c r="D16" s="390">
        <v>0</v>
      </c>
      <c r="E16" s="391">
        <v>0</v>
      </c>
      <c r="F16" s="391">
        <v>0</v>
      </c>
      <c r="G16" s="392">
        <f t="shared" si="0"/>
        <v>0</v>
      </c>
      <c r="H16" s="399"/>
      <c r="I16" s="390">
        <v>0</v>
      </c>
      <c r="J16" s="391">
        <v>4.1749999999999998</v>
      </c>
      <c r="K16" s="391">
        <v>3.2349999999999999</v>
      </c>
      <c r="L16" s="392">
        <f t="shared" si="1"/>
        <v>7.41</v>
      </c>
      <c r="N16" s="390">
        <v>0</v>
      </c>
      <c r="O16" s="391">
        <v>0</v>
      </c>
      <c r="P16" s="391">
        <v>0</v>
      </c>
      <c r="Q16" s="392">
        <f t="shared" si="6"/>
        <v>0</v>
      </c>
      <c r="S16" s="394">
        <f>3.083+1.006</f>
        <v>4.0890000000000004</v>
      </c>
      <c r="T16" s="395">
        <f>3.265+1.604</f>
        <v>4.8689999999999998</v>
      </c>
      <c r="U16" s="395">
        <f>12.601+4.501</f>
        <v>17.102</v>
      </c>
      <c r="V16" s="392">
        <f t="shared" si="2"/>
        <v>17.881999999999998</v>
      </c>
      <c r="W16" s="501"/>
      <c r="X16" s="394">
        <f>3.224+3.979</f>
        <v>7.2030000000000003</v>
      </c>
      <c r="Y16" s="395">
        <f>2.224+9.648</f>
        <v>11.872</v>
      </c>
      <c r="Z16" s="395">
        <f>10.748+23.381</f>
        <v>34.128999999999998</v>
      </c>
      <c r="AA16" s="392">
        <f t="shared" si="3"/>
        <v>38.797999999999995</v>
      </c>
      <c r="AB16" s="501"/>
      <c r="AC16" s="394">
        <f>0.8+0.216</f>
        <v>1.016</v>
      </c>
      <c r="AD16" s="395">
        <f>0.8+0.843+5.855</f>
        <v>7.4980000000000002</v>
      </c>
      <c r="AE16" s="395">
        <f>3.2+1.053+4.821</f>
        <v>9.0739999999999998</v>
      </c>
      <c r="AF16" s="392">
        <f t="shared" si="4"/>
        <v>15.555999999999999</v>
      </c>
      <c r="AG16" s="501"/>
      <c r="AH16" s="394">
        <f>0.131+0.283+2.445</f>
        <v>2.859</v>
      </c>
      <c r="AI16" s="395">
        <f>0.32+2.595</f>
        <v>2.915</v>
      </c>
      <c r="AJ16" s="395">
        <f>0.209+1.179+9.978</f>
        <v>11.366</v>
      </c>
      <c r="AK16" s="392">
        <f t="shared" si="5"/>
        <v>11.421999999999999</v>
      </c>
      <c r="AM16" s="390">
        <v>19.555</v>
      </c>
      <c r="AN16" s="391">
        <v>31.181999999999999</v>
      </c>
      <c r="AO16" s="391">
        <v>79.042000000000002</v>
      </c>
      <c r="AP16" s="392">
        <f t="shared" si="7"/>
        <v>90.669000000000011</v>
      </c>
      <c r="AR16" s="396"/>
      <c r="AS16" s="396"/>
      <c r="AT16" s="396"/>
      <c r="AU16" s="396"/>
      <c r="AV16" s="396"/>
      <c r="AW16" s="396"/>
      <c r="AX16" s="396"/>
      <c r="AY16" s="396"/>
      <c r="AZ16" s="396"/>
      <c r="BA16" s="396"/>
      <c r="BB16" s="396"/>
      <c r="BC16" s="396"/>
      <c r="BD16" s="396"/>
    </row>
    <row r="17" spans="2:56" x14ac:dyDescent="0.3">
      <c r="B17" s="396" t="s">
        <v>278</v>
      </c>
      <c r="C17" s="396"/>
      <c r="D17" s="390">
        <v>0</v>
      </c>
      <c r="E17" s="391">
        <v>0</v>
      </c>
      <c r="F17" s="391">
        <v>0</v>
      </c>
      <c r="G17" s="392">
        <f t="shared" si="0"/>
        <v>0</v>
      </c>
      <c r="H17" s="399"/>
      <c r="I17" s="390">
        <v>0</v>
      </c>
      <c r="J17" s="391">
        <v>0</v>
      </c>
      <c r="K17" s="391">
        <v>0</v>
      </c>
      <c r="L17" s="392">
        <f t="shared" si="1"/>
        <v>0</v>
      </c>
      <c r="N17" s="390">
        <v>0</v>
      </c>
      <c r="O17" s="391">
        <v>0</v>
      </c>
      <c r="P17" s="391">
        <v>0</v>
      </c>
      <c r="Q17" s="392">
        <f t="shared" si="6"/>
        <v>0</v>
      </c>
      <c r="S17" s="390">
        <v>0</v>
      </c>
      <c r="T17" s="391">
        <v>0</v>
      </c>
      <c r="U17" s="391">
        <v>0</v>
      </c>
      <c r="V17" s="392">
        <f t="shared" si="2"/>
        <v>0</v>
      </c>
      <c r="W17" s="501"/>
      <c r="X17" s="390">
        <v>0</v>
      </c>
      <c r="Y17" s="391">
        <v>0</v>
      </c>
      <c r="Z17" s="391">
        <v>0</v>
      </c>
      <c r="AA17" s="392">
        <f t="shared" si="3"/>
        <v>0</v>
      </c>
      <c r="AB17" s="501"/>
      <c r="AC17" s="390">
        <v>0</v>
      </c>
      <c r="AD17" s="391">
        <v>0</v>
      </c>
      <c r="AE17" s="391">
        <v>0</v>
      </c>
      <c r="AF17" s="392">
        <f t="shared" si="4"/>
        <v>0</v>
      </c>
      <c r="AG17" s="501"/>
      <c r="AH17" s="390">
        <v>0</v>
      </c>
      <c r="AI17" s="391">
        <v>0</v>
      </c>
      <c r="AJ17" s="391">
        <v>0</v>
      </c>
      <c r="AK17" s="392">
        <f t="shared" si="5"/>
        <v>0</v>
      </c>
      <c r="AM17" s="390">
        <v>4</v>
      </c>
      <c r="AN17" s="391">
        <v>127</v>
      </c>
      <c r="AO17" s="391">
        <v>0</v>
      </c>
      <c r="AP17" s="392">
        <f t="shared" si="7"/>
        <v>123</v>
      </c>
      <c r="AR17" s="396"/>
      <c r="AS17" s="396"/>
      <c r="AT17" s="396"/>
      <c r="AU17" s="396"/>
      <c r="AV17" s="396"/>
      <c r="AW17" s="396"/>
      <c r="AX17" s="396"/>
      <c r="AY17" s="396"/>
      <c r="AZ17" s="396"/>
      <c r="BA17" s="396"/>
      <c r="BB17" s="396"/>
      <c r="BC17" s="396"/>
      <c r="BD17" s="396"/>
    </row>
    <row r="18" spans="2:56" x14ac:dyDescent="0.3">
      <c r="B18" s="396" t="s">
        <v>279</v>
      </c>
      <c r="C18" s="396"/>
      <c r="D18" s="390">
        <v>10.691000000000001</v>
      </c>
      <c r="E18" s="391">
        <v>15.788</v>
      </c>
      <c r="F18" s="391">
        <v>48.365000000000002</v>
      </c>
      <c r="G18" s="392">
        <f t="shared" si="0"/>
        <v>53.462000000000003</v>
      </c>
      <c r="I18" s="390">
        <v>6.266</v>
      </c>
      <c r="J18" s="391">
        <v>9.2680000000000007</v>
      </c>
      <c r="K18" s="391">
        <v>28.693000000000001</v>
      </c>
      <c r="L18" s="392">
        <f t="shared" si="1"/>
        <v>31.695</v>
      </c>
      <c r="N18" s="390">
        <v>12.929</v>
      </c>
      <c r="O18" s="391">
        <v>57.066000000000003</v>
      </c>
      <c r="P18" s="391">
        <v>52.133000000000003</v>
      </c>
      <c r="Q18" s="392">
        <f t="shared" si="6"/>
        <v>96.27000000000001</v>
      </c>
      <c r="S18" s="390">
        <v>8.1649999999999991</v>
      </c>
      <c r="T18" s="391">
        <v>7.5650000000000004</v>
      </c>
      <c r="U18" s="391">
        <v>31.259</v>
      </c>
      <c r="V18" s="392">
        <f t="shared" si="2"/>
        <v>30.658999999999999</v>
      </c>
      <c r="W18" s="502"/>
      <c r="X18" s="390">
        <v>8.4719999999999995</v>
      </c>
      <c r="Y18" s="391">
        <v>20.350000000000001</v>
      </c>
      <c r="Z18" s="391">
        <v>43.194000000000003</v>
      </c>
      <c r="AA18" s="392">
        <f t="shared" si="3"/>
        <v>55.072000000000003</v>
      </c>
      <c r="AB18" s="502"/>
      <c r="AC18" s="390">
        <v>8.6999999999999993</v>
      </c>
      <c r="AD18" s="391">
        <v>9.6</v>
      </c>
      <c r="AE18" s="391">
        <v>36.5</v>
      </c>
      <c r="AF18" s="392">
        <f t="shared" si="4"/>
        <v>37.400000000000006</v>
      </c>
      <c r="AG18" s="503"/>
      <c r="AH18" s="390">
        <v>5.7290000000000001</v>
      </c>
      <c r="AI18" s="391">
        <v>7.9379999999999997</v>
      </c>
      <c r="AJ18" s="391">
        <v>32.238</v>
      </c>
      <c r="AK18" s="392">
        <f t="shared" si="5"/>
        <v>34.447000000000003</v>
      </c>
      <c r="AL18" s="400"/>
      <c r="AM18" s="390">
        <v>0.57499999999999996</v>
      </c>
      <c r="AN18" s="391">
        <v>1.3089999999999999</v>
      </c>
      <c r="AO18" s="391">
        <v>3.048</v>
      </c>
      <c r="AP18" s="392">
        <f t="shared" si="7"/>
        <v>3.782</v>
      </c>
      <c r="AR18" s="396"/>
      <c r="AS18" s="396"/>
      <c r="AT18" s="396"/>
      <c r="AU18" s="396"/>
      <c r="AV18" s="396"/>
      <c r="AW18" s="396"/>
      <c r="AX18" s="396"/>
      <c r="AY18" s="396"/>
      <c r="AZ18" s="396"/>
      <c r="BA18" s="396"/>
      <c r="BB18" s="396"/>
      <c r="BC18" s="396"/>
      <c r="BD18" s="396"/>
    </row>
    <row r="19" spans="2:56" x14ac:dyDescent="0.3">
      <c r="B19" s="396" t="s">
        <v>280</v>
      </c>
      <c r="C19" s="396"/>
      <c r="D19" s="394">
        <f>0.039+412.9</f>
        <v>412.93899999999996</v>
      </c>
      <c r="E19" s="391">
        <v>6.1879999999999997</v>
      </c>
      <c r="F19" s="395">
        <f>663.5+40.521</f>
        <v>704.02099999999996</v>
      </c>
      <c r="G19" s="392">
        <f t="shared" si="0"/>
        <v>297.27</v>
      </c>
      <c r="I19" s="390">
        <v>0</v>
      </c>
      <c r="J19" s="391">
        <v>3.464</v>
      </c>
      <c r="K19" s="391">
        <v>33.521000000000001</v>
      </c>
      <c r="L19" s="392">
        <f t="shared" si="1"/>
        <v>36.984999999999999</v>
      </c>
      <c r="N19" s="390">
        <v>0</v>
      </c>
      <c r="O19" s="391">
        <v>0</v>
      </c>
      <c r="P19" s="391">
        <v>0</v>
      </c>
      <c r="Q19" s="392">
        <f t="shared" si="6"/>
        <v>0</v>
      </c>
      <c r="S19" s="390">
        <v>0</v>
      </c>
      <c r="T19" s="391">
        <v>0</v>
      </c>
      <c r="U19" s="391">
        <v>0</v>
      </c>
      <c r="V19" s="392">
        <f t="shared" si="2"/>
        <v>0</v>
      </c>
      <c r="W19" s="501"/>
      <c r="X19" s="390">
        <v>0</v>
      </c>
      <c r="Y19" s="391">
        <v>2.4390000000000001</v>
      </c>
      <c r="Z19" s="395">
        <f>24.319+55.3+12.592</f>
        <v>92.210999999999999</v>
      </c>
      <c r="AA19" s="392">
        <f t="shared" si="3"/>
        <v>94.65</v>
      </c>
      <c r="AB19" s="501"/>
      <c r="AC19" s="390">
        <v>0</v>
      </c>
      <c r="AD19" s="391">
        <v>0</v>
      </c>
      <c r="AE19" s="391">
        <v>0.93899999999999995</v>
      </c>
      <c r="AF19" s="392">
        <f t="shared" si="4"/>
        <v>0.93899999999999995</v>
      </c>
      <c r="AG19" s="501"/>
      <c r="AH19" s="390">
        <v>0</v>
      </c>
      <c r="AI19" s="391">
        <v>0</v>
      </c>
      <c r="AJ19" s="391">
        <v>0</v>
      </c>
      <c r="AK19" s="392">
        <f t="shared" si="5"/>
        <v>0</v>
      </c>
      <c r="AM19" s="390">
        <v>0</v>
      </c>
      <c r="AN19" s="391">
        <v>0</v>
      </c>
      <c r="AO19" s="391">
        <v>0</v>
      </c>
      <c r="AP19" s="392">
        <f t="shared" si="7"/>
        <v>0</v>
      </c>
      <c r="AR19" s="288"/>
      <c r="AS19" s="396"/>
      <c r="AT19" s="396"/>
      <c r="AU19" s="396"/>
      <c r="AV19" s="396"/>
      <c r="AW19" s="396"/>
      <c r="AX19" s="396"/>
      <c r="AY19" s="396"/>
      <c r="AZ19" s="396"/>
      <c r="BA19" s="396"/>
      <c r="BB19" s="396"/>
      <c r="BC19" s="396"/>
      <c r="BD19" s="396"/>
    </row>
    <row r="20" spans="2:56" x14ac:dyDescent="0.3">
      <c r="B20" s="396" t="s">
        <v>19</v>
      </c>
      <c r="C20" s="396"/>
      <c r="D20" s="401"/>
      <c r="E20" s="402"/>
      <c r="F20" s="402"/>
      <c r="G20" s="403">
        <v>0.2</v>
      </c>
      <c r="I20" s="401"/>
      <c r="J20" s="402"/>
      <c r="K20" s="402"/>
      <c r="L20" s="403">
        <v>0.17</v>
      </c>
      <c r="M20" s="404"/>
      <c r="N20" s="401"/>
      <c r="O20" s="402"/>
      <c r="P20" s="402"/>
      <c r="Q20" s="403">
        <v>0.35</v>
      </c>
      <c r="S20" s="401"/>
      <c r="T20" s="402"/>
      <c r="U20" s="402"/>
      <c r="V20" s="403">
        <v>0.35</v>
      </c>
      <c r="W20" s="501"/>
      <c r="X20" s="401"/>
      <c r="Y20" s="402"/>
      <c r="Z20" s="402"/>
      <c r="AA20" s="403">
        <v>0.27</v>
      </c>
      <c r="AB20" s="501"/>
      <c r="AC20" s="401"/>
      <c r="AD20" s="402"/>
      <c r="AE20" s="402"/>
      <c r="AF20" s="403">
        <v>0.27</v>
      </c>
      <c r="AG20" s="501"/>
      <c r="AH20" s="401"/>
      <c r="AI20" s="402"/>
      <c r="AJ20" s="402"/>
      <c r="AK20" s="403">
        <v>0.36</v>
      </c>
      <c r="AM20" s="401"/>
      <c r="AN20" s="402"/>
      <c r="AO20" s="402"/>
      <c r="AP20" s="405">
        <f>Tax_Rate</f>
        <v>0.18</v>
      </c>
      <c r="AR20" s="396"/>
      <c r="AS20" s="396"/>
      <c r="AT20" s="396"/>
      <c r="AU20" s="396"/>
      <c r="AV20" s="396"/>
      <c r="AW20" s="396"/>
      <c r="AX20" s="396"/>
      <c r="AY20" s="396"/>
      <c r="AZ20" s="396"/>
      <c r="BA20" s="396"/>
      <c r="BB20" s="396"/>
      <c r="BC20" s="396"/>
      <c r="BD20" s="396"/>
    </row>
    <row r="21" spans="2:56" x14ac:dyDescent="0.3">
      <c r="D21" s="406"/>
      <c r="E21" s="396"/>
      <c r="F21" s="407"/>
      <c r="G21" s="408"/>
      <c r="I21" s="497"/>
      <c r="J21" s="498"/>
      <c r="K21" s="499"/>
      <c r="L21" s="500"/>
      <c r="N21" s="406"/>
      <c r="O21" s="396"/>
      <c r="P21" s="407"/>
      <c r="Q21" s="408"/>
      <c r="S21" s="497"/>
      <c r="T21" s="498"/>
      <c r="U21" s="499"/>
      <c r="V21" s="500"/>
      <c r="W21" s="501"/>
      <c r="X21" s="497"/>
      <c r="Y21" s="498"/>
      <c r="Z21" s="499"/>
      <c r="AA21" s="500"/>
      <c r="AB21" s="501"/>
      <c r="AC21" s="497"/>
      <c r="AD21" s="498"/>
      <c r="AE21" s="499"/>
      <c r="AF21" s="500"/>
      <c r="AG21" s="501"/>
      <c r="AH21" s="497"/>
      <c r="AI21" s="498"/>
      <c r="AJ21" s="499"/>
      <c r="AK21" s="500"/>
      <c r="AM21" s="406"/>
      <c r="AN21" s="396"/>
      <c r="AO21" s="407"/>
      <c r="AP21" s="409"/>
      <c r="AR21" s="396"/>
      <c r="AS21" s="396"/>
      <c r="AT21" s="396"/>
      <c r="AU21" s="396"/>
      <c r="AV21" s="396"/>
      <c r="AW21" s="396"/>
      <c r="AX21" s="396"/>
      <c r="AY21" s="396"/>
      <c r="AZ21" s="396"/>
      <c r="BA21" s="396"/>
      <c r="BB21" s="396"/>
      <c r="BC21" s="396"/>
      <c r="BD21" s="396"/>
    </row>
    <row r="22" spans="2:56" x14ac:dyDescent="0.3">
      <c r="B22" s="393" t="s">
        <v>96</v>
      </c>
      <c r="C22" s="393"/>
      <c r="D22" s="410">
        <f>+D10+D16+D17+D18+D19</f>
        <v>-14.657999999999959</v>
      </c>
      <c r="E22" s="411">
        <f t="shared" ref="E22:F22" si="40">+E10+E16+E17+E18+E19</f>
        <v>-194.41200000000001</v>
      </c>
      <c r="F22" s="411">
        <f t="shared" si="40"/>
        <v>-151.0619999999999</v>
      </c>
      <c r="G22" s="389">
        <f t="shared" ref="G22" si="41">+F22+E22-D22</f>
        <v>-330.81599999999997</v>
      </c>
      <c r="I22" s="410">
        <f>+I10+I16+I17+I18+I19</f>
        <v>123.23799999999999</v>
      </c>
      <c r="J22" s="411">
        <f t="shared" ref="J22:K22" si="42">+J10+J16+J17+J18+J19</f>
        <v>226.41000000000005</v>
      </c>
      <c r="K22" s="411">
        <f t="shared" si="42"/>
        <v>593.45899999999995</v>
      </c>
      <c r="L22" s="389">
        <f t="shared" ref="L22" si="43">+K22+J22-I22</f>
        <v>696.63100000000009</v>
      </c>
      <c r="N22" s="410">
        <f t="shared" ref="N22:O22" si="44">+N10+N16+N17+N18+N19</f>
        <v>62.203000000000003</v>
      </c>
      <c r="O22" s="411">
        <f t="shared" si="44"/>
        <v>18.976999999999947</v>
      </c>
      <c r="P22" s="411">
        <f>+P10+P16+P17+P18+P19</f>
        <v>323.84599999999989</v>
      </c>
      <c r="Q22" s="389">
        <f t="shared" ref="Q22" si="45">+P22+O22-N22</f>
        <v>280.61999999999989</v>
      </c>
      <c r="S22" s="410">
        <f>+S10+S16+S17+S18+S19</f>
        <v>106.29100000000003</v>
      </c>
      <c r="T22" s="411">
        <f t="shared" ref="T22:U22" si="46">+T10+T16+T17+T18+T19</f>
        <v>228.57399999999998</v>
      </c>
      <c r="U22" s="411">
        <f t="shared" si="46"/>
        <v>340.86</v>
      </c>
      <c r="V22" s="389">
        <f t="shared" ref="V22" si="47">+U22+T22-S22</f>
        <v>463.14299999999992</v>
      </c>
      <c r="W22" s="501"/>
      <c r="X22" s="410">
        <f>+X10+X16+X17+X18+X19</f>
        <v>25.465999999999994</v>
      </c>
      <c r="Y22" s="411">
        <f t="shared" ref="Y22:Z22" si="48">+Y10+Y16+Y17+Y18+Y19</f>
        <v>62.967000000000013</v>
      </c>
      <c r="Z22" s="411">
        <f t="shared" si="48"/>
        <v>195.94400000000007</v>
      </c>
      <c r="AA22" s="389">
        <f t="shared" ref="AA22" si="49">+Z22+Y22-X22</f>
        <v>233.44500000000005</v>
      </c>
      <c r="AB22" s="501"/>
      <c r="AC22" s="410">
        <f t="shared" ref="AC22:AE22" si="50">+AC10+AC16+AC17+AC18+AC19</f>
        <v>-23.204999999999995</v>
      </c>
      <c r="AD22" s="411">
        <f t="shared" si="50"/>
        <v>-9.3580000000000165</v>
      </c>
      <c r="AE22" s="411">
        <f t="shared" si="50"/>
        <v>-109.494</v>
      </c>
      <c r="AF22" s="389">
        <f t="shared" ref="AF22" si="51">+AE22+AD22-AC22</f>
        <v>-95.64700000000002</v>
      </c>
      <c r="AG22" s="501"/>
      <c r="AH22" s="410">
        <f t="shared" ref="AH22:AJ22" si="52">+AH10+AH16+AH17+AH18+AH19</f>
        <v>-14.051000000000009</v>
      </c>
      <c r="AI22" s="411">
        <f t="shared" si="52"/>
        <v>25.604000000000003</v>
      </c>
      <c r="AJ22" s="411">
        <f t="shared" si="52"/>
        <v>56.79500000000003</v>
      </c>
      <c r="AK22" s="389">
        <f t="shared" ref="AK22" si="53">+AJ22+AI22-AH22</f>
        <v>96.450000000000045</v>
      </c>
      <c r="AM22" s="410">
        <f t="shared" ref="AM22:AN22" si="54">+AM10+AM16+AM17+AM18+AM19</f>
        <v>92.316999999999993</v>
      </c>
      <c r="AN22" s="411">
        <f t="shared" si="54"/>
        <v>92.832000000000008</v>
      </c>
      <c r="AO22" s="411">
        <f>+AO10+AO16+AO17+AO18+AO19</f>
        <v>422.40200000000004</v>
      </c>
      <c r="AP22" s="389">
        <f t="shared" ref="AP22" si="55">+AO22+AN22-AM22</f>
        <v>422.91700000000003</v>
      </c>
      <c r="AR22" s="396"/>
      <c r="AS22" s="396"/>
      <c r="AT22" s="396"/>
      <c r="AU22" s="396"/>
      <c r="AV22" s="396"/>
      <c r="AW22" s="396"/>
      <c r="AX22" s="396"/>
      <c r="AY22" s="396"/>
      <c r="AZ22" s="396"/>
      <c r="BA22" s="396"/>
      <c r="BB22" s="396"/>
      <c r="BC22" s="396"/>
      <c r="BD22" s="396"/>
    </row>
    <row r="23" spans="2:56" x14ac:dyDescent="0.3">
      <c r="B23" s="393"/>
      <c r="C23" s="393"/>
      <c r="D23" s="412"/>
      <c r="E23" s="282"/>
      <c r="F23" s="282"/>
      <c r="G23" s="413"/>
      <c r="I23" s="412"/>
      <c r="J23" s="282"/>
      <c r="K23" s="414"/>
      <c r="L23" s="413"/>
      <c r="N23" s="412"/>
      <c r="O23" s="282"/>
      <c r="P23" s="414"/>
      <c r="Q23" s="413"/>
      <c r="S23" s="412"/>
      <c r="T23" s="282"/>
      <c r="U23" s="414"/>
      <c r="V23" s="413"/>
      <c r="X23" s="412"/>
      <c r="Y23" s="282"/>
      <c r="Z23" s="414"/>
      <c r="AA23" s="413"/>
      <c r="AC23" s="412"/>
      <c r="AD23" s="282"/>
      <c r="AE23" s="414"/>
      <c r="AF23" s="413"/>
      <c r="AH23" s="412"/>
      <c r="AI23" s="282"/>
      <c r="AJ23" s="414"/>
      <c r="AK23" s="413"/>
      <c r="AM23" s="406"/>
      <c r="AN23" s="396"/>
      <c r="AO23" s="415"/>
      <c r="AP23" s="409"/>
      <c r="AR23" s="396"/>
      <c r="AS23" s="396"/>
      <c r="AT23" s="396"/>
      <c r="AU23" s="396"/>
      <c r="AV23" s="396"/>
      <c r="AW23" s="396"/>
      <c r="AX23" s="396"/>
      <c r="AY23" s="396"/>
      <c r="AZ23" s="396"/>
      <c r="BA23" s="396"/>
      <c r="BB23" s="396"/>
      <c r="BC23" s="396"/>
      <c r="BD23" s="396"/>
    </row>
    <row r="24" spans="2:56" x14ac:dyDescent="0.3">
      <c r="B24" s="393"/>
      <c r="C24" s="393"/>
      <c r="D24" s="416" t="s">
        <v>281</v>
      </c>
      <c r="E24" s="373"/>
      <c r="F24" s="373"/>
      <c r="G24" s="374"/>
      <c r="I24" s="416" t="s">
        <v>281</v>
      </c>
      <c r="J24" s="373"/>
      <c r="K24" s="373"/>
      <c r="L24" s="374"/>
      <c r="N24" s="416" t="s">
        <v>281</v>
      </c>
      <c r="O24" s="373"/>
      <c r="P24" s="373"/>
      <c r="Q24" s="374"/>
      <c r="S24" s="416" t="s">
        <v>281</v>
      </c>
      <c r="T24" s="373"/>
      <c r="U24" s="373"/>
      <c r="V24" s="417"/>
      <c r="X24" s="416" t="s">
        <v>281</v>
      </c>
      <c r="Y24" s="373"/>
      <c r="Z24" s="373"/>
      <c r="AA24" s="374"/>
      <c r="AC24" s="416" t="s">
        <v>281</v>
      </c>
      <c r="AD24" s="373"/>
      <c r="AE24" s="373"/>
      <c r="AF24" s="374"/>
      <c r="AH24" s="416" t="s">
        <v>281</v>
      </c>
      <c r="AI24" s="373"/>
      <c r="AJ24" s="373"/>
      <c r="AK24" s="374"/>
      <c r="AM24" s="416" t="s">
        <v>281</v>
      </c>
      <c r="AN24" s="377"/>
      <c r="AO24" s="377"/>
      <c r="AP24" s="378"/>
      <c r="AR24" s="396"/>
      <c r="AS24" s="396"/>
      <c r="AT24" s="396"/>
      <c r="AU24" s="396"/>
      <c r="AV24" s="396"/>
      <c r="AW24" s="396"/>
      <c r="AX24" s="396"/>
      <c r="AY24" s="396"/>
      <c r="AZ24" s="396"/>
      <c r="BA24" s="396"/>
      <c r="BB24" s="396"/>
      <c r="BC24" s="396"/>
      <c r="BD24" s="396"/>
    </row>
    <row r="25" spans="2:56" x14ac:dyDescent="0.3">
      <c r="B25" s="418" t="s">
        <v>282</v>
      </c>
      <c r="C25" s="418"/>
      <c r="D25" s="419"/>
      <c r="E25" s="420"/>
      <c r="F25" s="420"/>
      <c r="G25" s="421">
        <f>-424.045-900.155-0.13</f>
        <v>-1324.3300000000002</v>
      </c>
      <c r="I25" s="419"/>
      <c r="J25" s="420"/>
      <c r="K25" s="420"/>
      <c r="L25" s="421">
        <f>-528.285-1029.193</f>
        <v>-1557.4780000000001</v>
      </c>
      <c r="N25" s="419"/>
      <c r="O25" s="420"/>
      <c r="P25" s="420"/>
      <c r="Q25" s="422">
        <v>-385.101</v>
      </c>
      <c r="S25" s="419"/>
      <c r="T25" s="420"/>
      <c r="U25" s="420"/>
      <c r="V25" s="421">
        <f>-413.794-346.698-384.14-5.393</f>
        <v>-1150.0250000000001</v>
      </c>
      <c r="X25" s="419"/>
      <c r="Y25" s="420"/>
      <c r="Z25" s="420"/>
      <c r="AA25" s="421">
        <f>-102.277-463.734</f>
        <v>-566.01099999999997</v>
      </c>
      <c r="AC25" s="419"/>
      <c r="AD25" s="420"/>
      <c r="AE25" s="420"/>
      <c r="AF25" s="421">
        <f>-639.778-247.703-251.45</f>
        <v>-1138.931</v>
      </c>
      <c r="AH25" s="419"/>
      <c r="AI25" s="420"/>
      <c r="AJ25" s="420"/>
      <c r="AK25" s="421">
        <f>-378.376-1.491</f>
        <v>-379.86699999999996</v>
      </c>
      <c r="AM25" s="419"/>
      <c r="AN25" s="420"/>
      <c r="AO25" s="420"/>
      <c r="AP25" s="421">
        <f>-245.874-5.502</f>
        <v>-251.376</v>
      </c>
      <c r="AR25" s="396"/>
      <c r="AS25" s="396"/>
      <c r="AT25" s="396"/>
      <c r="AU25" s="396"/>
      <c r="AV25" s="396"/>
      <c r="AW25" s="396"/>
      <c r="AX25" s="396"/>
      <c r="AY25" s="396"/>
      <c r="AZ25" s="396"/>
      <c r="BA25" s="396"/>
      <c r="BB25" s="396"/>
      <c r="BC25" s="396"/>
      <c r="BD25" s="396"/>
    </row>
    <row r="26" spans="2:56" x14ac:dyDescent="0.3">
      <c r="B26" s="418" t="s">
        <v>283</v>
      </c>
      <c r="C26" s="418"/>
      <c r="D26" s="419"/>
      <c r="E26" s="420"/>
      <c r="F26" s="420"/>
      <c r="G26" s="423">
        <v>0</v>
      </c>
      <c r="I26" s="419"/>
      <c r="J26" s="420"/>
      <c r="K26" s="420"/>
      <c r="L26" s="423">
        <v>0</v>
      </c>
      <c r="N26" s="419"/>
      <c r="O26" s="420"/>
      <c r="P26" s="420"/>
      <c r="Q26" s="423">
        <v>0</v>
      </c>
      <c r="S26" s="419"/>
      <c r="T26" s="420"/>
      <c r="U26" s="420"/>
      <c r="V26" s="423">
        <v>0</v>
      </c>
      <c r="X26" s="419"/>
      <c r="Y26" s="420"/>
      <c r="Z26" s="420"/>
      <c r="AA26" s="423">
        <v>0</v>
      </c>
      <c r="AC26" s="419"/>
      <c r="AD26" s="420"/>
      <c r="AE26" s="420"/>
      <c r="AF26" s="423">
        <v>-0.47799999999999998</v>
      </c>
      <c r="AH26" s="419"/>
      <c r="AI26" s="420"/>
      <c r="AJ26" s="420"/>
      <c r="AK26" s="423">
        <v>0</v>
      </c>
      <c r="AM26" s="419"/>
      <c r="AN26" s="420"/>
      <c r="AO26" s="420"/>
      <c r="AP26" s="423">
        <v>0</v>
      </c>
      <c r="AR26" s="396"/>
      <c r="AS26" s="396"/>
      <c r="AT26" s="396"/>
      <c r="AU26" s="396"/>
      <c r="AV26" s="396"/>
      <c r="AW26" s="396"/>
      <c r="AX26" s="396"/>
      <c r="AY26" s="396"/>
      <c r="AZ26" s="396"/>
      <c r="BA26" s="396"/>
      <c r="BB26" s="396"/>
      <c r="BC26" s="396"/>
      <c r="BD26" s="396"/>
    </row>
    <row r="27" spans="2:56" x14ac:dyDescent="0.3">
      <c r="B27" s="418" t="s">
        <v>284</v>
      </c>
      <c r="C27" s="418"/>
      <c r="D27" s="419"/>
      <c r="E27" s="420"/>
      <c r="F27" s="420"/>
      <c r="G27" s="423">
        <v>0</v>
      </c>
      <c r="I27" s="419"/>
      <c r="J27" s="420"/>
      <c r="K27" s="420"/>
      <c r="L27" s="423">
        <v>0</v>
      </c>
      <c r="N27" s="419"/>
      <c r="O27" s="420"/>
      <c r="P27" s="420"/>
      <c r="Q27" s="423">
        <v>0</v>
      </c>
      <c r="S27" s="419"/>
      <c r="T27" s="420"/>
      <c r="U27" s="420"/>
      <c r="V27" s="423">
        <v>0</v>
      </c>
      <c r="X27" s="419"/>
      <c r="Y27" s="420"/>
      <c r="Z27" s="420"/>
      <c r="AA27" s="423">
        <v>0</v>
      </c>
      <c r="AC27" s="419"/>
      <c r="AD27" s="420"/>
      <c r="AE27" s="420"/>
      <c r="AF27" s="423">
        <v>0</v>
      </c>
      <c r="AH27" s="419"/>
      <c r="AI27" s="420"/>
      <c r="AJ27" s="420"/>
      <c r="AK27" s="423">
        <v>0</v>
      </c>
      <c r="AM27" s="419"/>
      <c r="AN27" s="420"/>
      <c r="AO27" s="420"/>
      <c r="AP27" s="423">
        <v>0</v>
      </c>
      <c r="AR27" s="396"/>
      <c r="AS27" s="396"/>
      <c r="AT27" s="396"/>
      <c r="AU27" s="396"/>
      <c r="AV27" s="396"/>
      <c r="AW27" s="396"/>
      <c r="AX27" s="396"/>
      <c r="AY27" s="396"/>
      <c r="AZ27" s="396"/>
      <c r="BA27" s="396"/>
      <c r="BB27" s="396"/>
      <c r="BC27" s="396"/>
      <c r="BD27" s="396"/>
    </row>
    <row r="28" spans="2:56" x14ac:dyDescent="0.3">
      <c r="B28" s="418" t="s">
        <v>285</v>
      </c>
      <c r="C28" s="418"/>
      <c r="D28" s="419"/>
      <c r="E28" s="420"/>
      <c r="F28" s="420"/>
      <c r="G28" s="423">
        <v>-850.94600000000003</v>
      </c>
      <c r="I28" s="419"/>
      <c r="J28" s="420"/>
      <c r="K28" s="420"/>
      <c r="L28" s="423">
        <v>-5.3979999999999997</v>
      </c>
      <c r="N28" s="419"/>
      <c r="O28" s="420"/>
      <c r="P28" s="420"/>
      <c r="Q28" s="423">
        <v>-9.1489999999999991</v>
      </c>
      <c r="S28" s="419"/>
      <c r="T28" s="420"/>
      <c r="U28" s="420"/>
      <c r="V28" s="423">
        <v>0</v>
      </c>
      <c r="X28" s="419"/>
      <c r="Y28" s="420"/>
      <c r="Z28" s="420"/>
      <c r="AA28" s="423">
        <v>-215.155</v>
      </c>
      <c r="AC28" s="419"/>
      <c r="AD28" s="420"/>
      <c r="AE28" s="420"/>
      <c r="AF28" s="423">
        <v>-22.89</v>
      </c>
      <c r="AH28" s="419"/>
      <c r="AI28" s="420"/>
      <c r="AJ28" s="420"/>
      <c r="AK28" s="423">
        <v>-49.451000000000001</v>
      </c>
      <c r="AM28" s="419"/>
      <c r="AN28" s="420"/>
      <c r="AO28" s="420"/>
      <c r="AP28" s="423">
        <v>-71.364000000000004</v>
      </c>
      <c r="AR28" s="288"/>
      <c r="AS28" s="396"/>
      <c r="AT28" s="396"/>
      <c r="AU28" s="396"/>
      <c r="AV28" s="396"/>
      <c r="AW28" s="396"/>
      <c r="AX28" s="396"/>
      <c r="AY28" s="396"/>
      <c r="AZ28" s="396"/>
      <c r="BA28" s="396"/>
      <c r="BB28" s="396"/>
      <c r="BC28" s="396"/>
      <c r="BD28" s="396"/>
    </row>
    <row r="29" spans="2:56" x14ac:dyDescent="0.3">
      <c r="B29" s="418" t="s">
        <v>286</v>
      </c>
      <c r="C29" s="418"/>
      <c r="D29" s="419"/>
      <c r="E29" s="420"/>
      <c r="F29" s="420"/>
      <c r="G29" s="423">
        <v>473.36</v>
      </c>
      <c r="I29" s="419"/>
      <c r="J29" s="420"/>
      <c r="K29" s="420"/>
      <c r="L29" s="424">
        <f>48+45.5</f>
        <v>93.5</v>
      </c>
      <c r="N29" s="419"/>
      <c r="O29" s="420"/>
      <c r="P29" s="420"/>
      <c r="Q29" s="424">
        <f>IF(Q60&gt;0,0,764.2)+IF(Q61&gt;0,0,1168)+9.435+1185+750</f>
        <v>1944.4349999999999</v>
      </c>
      <c r="S29" s="419"/>
      <c r="T29" s="420"/>
      <c r="U29" s="420"/>
      <c r="V29" s="424">
        <f>IF(V60&gt;0,0,496.875)+66.614+3.7</f>
        <v>70.314000000000007</v>
      </c>
      <c r="X29" s="419"/>
      <c r="Y29" s="420"/>
      <c r="Z29" s="420"/>
      <c r="AA29" s="424">
        <f>IF(AA60&gt;0,0,530.487+414.733)+IF(AA61&gt;0,0,581.198)</f>
        <v>945.22</v>
      </c>
      <c r="AC29" s="419"/>
      <c r="AD29" s="420"/>
      <c r="AE29" s="420"/>
      <c r="AF29" s="424">
        <f>IF(AF60&gt;0,0,416.618+411.742)+IF(AF61&gt;0,0,207.577)</f>
        <v>828.36</v>
      </c>
      <c r="AH29" s="419"/>
      <c r="AI29" s="420"/>
      <c r="AJ29" s="420"/>
      <c r="AK29" s="424">
        <f>IF(AK60&gt;0,0,263)</f>
        <v>263</v>
      </c>
      <c r="AM29" s="419"/>
      <c r="AN29" s="420"/>
      <c r="AO29" s="420"/>
      <c r="AP29" s="424">
        <f>9.513+1189.096</f>
        <v>1198.6089999999999</v>
      </c>
      <c r="AR29" s="396"/>
      <c r="AS29" s="396"/>
      <c r="AT29" s="396"/>
      <c r="AU29" s="396"/>
      <c r="AV29" s="396"/>
      <c r="AW29" s="396"/>
      <c r="AX29" s="396"/>
      <c r="AY29" s="396"/>
      <c r="AZ29" s="396"/>
      <c r="BA29" s="396"/>
      <c r="BB29" s="396"/>
      <c r="BC29" s="396"/>
      <c r="BD29" s="396"/>
    </row>
    <row r="30" spans="2:56" x14ac:dyDescent="0.3">
      <c r="B30" s="418" t="s">
        <v>287</v>
      </c>
      <c r="C30" s="418"/>
      <c r="D30" s="419"/>
      <c r="E30" s="420"/>
      <c r="F30" s="420"/>
      <c r="G30" s="423">
        <v>0</v>
      </c>
      <c r="I30" s="419"/>
      <c r="J30" s="420"/>
      <c r="K30" s="420"/>
      <c r="L30" s="423">
        <v>0</v>
      </c>
      <c r="N30" s="419"/>
      <c r="O30" s="420"/>
      <c r="P30" s="420"/>
      <c r="Q30" s="423">
        <v>0</v>
      </c>
      <c r="S30" s="419"/>
      <c r="T30" s="420"/>
      <c r="U30" s="420"/>
      <c r="V30" s="423">
        <v>0</v>
      </c>
      <c r="X30" s="419"/>
      <c r="Y30" s="420"/>
      <c r="Z30" s="420"/>
      <c r="AA30" s="423">
        <v>0</v>
      </c>
      <c r="AC30" s="419"/>
      <c r="AD30" s="420"/>
      <c r="AE30" s="420"/>
      <c r="AF30" s="423">
        <v>0</v>
      </c>
      <c r="AH30" s="419"/>
      <c r="AI30" s="420"/>
      <c r="AJ30" s="420"/>
      <c r="AK30" s="423">
        <v>0</v>
      </c>
      <c r="AM30" s="419"/>
      <c r="AN30" s="420"/>
      <c r="AO30" s="420"/>
      <c r="AP30" s="423">
        <v>0</v>
      </c>
      <c r="AR30" s="288"/>
      <c r="AS30" s="396"/>
      <c r="AT30" s="396"/>
      <c r="AU30" s="396"/>
      <c r="AV30" s="396"/>
      <c r="AW30" s="396"/>
      <c r="AX30" s="396"/>
      <c r="AY30" s="396"/>
      <c r="AZ30" s="396"/>
      <c r="BA30" s="396"/>
      <c r="BB30" s="396"/>
      <c r="BC30" s="396"/>
      <c r="BD30" s="396"/>
    </row>
    <row r="31" spans="2:56" x14ac:dyDescent="0.3">
      <c r="B31" s="418" t="s">
        <v>288</v>
      </c>
      <c r="C31" s="418"/>
      <c r="D31" s="419"/>
      <c r="E31" s="420"/>
      <c r="F31" s="425"/>
      <c r="G31" s="423">
        <v>0</v>
      </c>
      <c r="I31" s="419"/>
      <c r="J31" s="420"/>
      <c r="K31" s="425"/>
      <c r="L31" s="423">
        <v>0</v>
      </c>
      <c r="N31" s="419"/>
      <c r="O31" s="420"/>
      <c r="P31" s="425"/>
      <c r="Q31" s="423">
        <v>0</v>
      </c>
      <c r="S31" s="419"/>
      <c r="T31" s="420"/>
      <c r="U31" s="425"/>
      <c r="V31" s="423">
        <v>0</v>
      </c>
      <c r="X31" s="419"/>
      <c r="Y31" s="420"/>
      <c r="Z31" s="425"/>
      <c r="AA31" s="423">
        <v>0</v>
      </c>
      <c r="AC31" s="419"/>
      <c r="AD31" s="420"/>
      <c r="AE31" s="425"/>
      <c r="AF31" s="423">
        <v>0</v>
      </c>
      <c r="AH31" s="419"/>
      <c r="AI31" s="420"/>
      <c r="AJ31" s="425"/>
      <c r="AK31" s="423">
        <v>-0.34499999999999997</v>
      </c>
      <c r="AM31" s="419"/>
      <c r="AN31" s="420"/>
      <c r="AO31" s="425"/>
      <c r="AP31" s="423">
        <v>17.614999999999998</v>
      </c>
      <c r="AR31" s="396"/>
      <c r="AS31" s="396"/>
      <c r="AT31" s="396"/>
      <c r="AU31" s="396"/>
      <c r="AV31" s="396"/>
      <c r="AW31" s="396"/>
      <c r="AX31" s="396"/>
      <c r="AY31" s="396"/>
      <c r="AZ31" s="396"/>
      <c r="BA31" s="396"/>
      <c r="BB31" s="396"/>
      <c r="BC31" s="396"/>
      <c r="BD31" s="396"/>
    </row>
    <row r="32" spans="2:56" x14ac:dyDescent="0.3">
      <c r="B32" s="418" t="s">
        <v>289</v>
      </c>
      <c r="C32" s="418"/>
      <c r="D32" s="419"/>
      <c r="E32" s="420"/>
      <c r="F32" s="420"/>
      <c r="G32" s="423">
        <v>0</v>
      </c>
      <c r="I32" s="419"/>
      <c r="J32" s="420"/>
      <c r="K32" s="420"/>
      <c r="L32" s="423">
        <v>-14.839</v>
      </c>
      <c r="N32" s="419"/>
      <c r="O32" s="420"/>
      <c r="P32" s="420"/>
      <c r="Q32" s="423">
        <v>0</v>
      </c>
      <c r="S32" s="419"/>
      <c r="T32" s="420"/>
      <c r="U32" s="420"/>
      <c r="V32" s="423">
        <v>0</v>
      </c>
      <c r="X32" s="419"/>
      <c r="Y32" s="420"/>
      <c r="Z32" s="420"/>
      <c r="AA32" s="423">
        <v>0</v>
      </c>
      <c r="AC32" s="419"/>
      <c r="AD32" s="420"/>
      <c r="AE32" s="420"/>
      <c r="AF32" s="423">
        <v>0</v>
      </c>
      <c r="AH32" s="419"/>
      <c r="AI32" s="420"/>
      <c r="AJ32" s="420"/>
      <c r="AK32" s="423">
        <v>0</v>
      </c>
      <c r="AM32" s="419"/>
      <c r="AN32" s="420"/>
      <c r="AO32" s="420"/>
      <c r="AP32" s="423">
        <v>0</v>
      </c>
      <c r="AR32" s="396"/>
      <c r="AS32" s="396"/>
      <c r="AT32" s="396"/>
      <c r="AU32" s="396"/>
      <c r="AV32" s="396"/>
      <c r="AW32" s="396"/>
      <c r="AX32" s="396"/>
      <c r="AY32" s="396"/>
      <c r="AZ32" s="396"/>
      <c r="BA32" s="396"/>
      <c r="BB32" s="396"/>
      <c r="BC32" s="396"/>
      <c r="BD32" s="396"/>
    </row>
    <row r="33" spans="2:56" x14ac:dyDescent="0.3">
      <c r="B33" s="418" t="s">
        <v>290</v>
      </c>
      <c r="C33" s="418"/>
      <c r="D33" s="419"/>
      <c r="E33" s="420"/>
      <c r="F33" s="420"/>
      <c r="G33" s="424">
        <f>18.323+49.495</f>
        <v>67.817999999999998</v>
      </c>
      <c r="I33" s="419"/>
      <c r="J33" s="420"/>
      <c r="K33" s="420"/>
      <c r="L33" s="423">
        <v>38.417000000000002</v>
      </c>
      <c r="N33" s="419"/>
      <c r="O33" s="420"/>
      <c r="P33" s="420"/>
      <c r="Q33" s="423">
        <v>4.1000000000000002E-2</v>
      </c>
      <c r="S33" s="419"/>
      <c r="T33" s="420"/>
      <c r="U33" s="420"/>
      <c r="V33" s="423">
        <v>0</v>
      </c>
      <c r="X33" s="419"/>
      <c r="Y33" s="420"/>
      <c r="Z33" s="420"/>
      <c r="AA33" s="423">
        <v>0</v>
      </c>
      <c r="AC33" s="419"/>
      <c r="AD33" s="420"/>
      <c r="AE33" s="420"/>
      <c r="AF33" s="423">
        <v>0</v>
      </c>
      <c r="AH33" s="419"/>
      <c r="AI33" s="420"/>
      <c r="AJ33" s="420"/>
      <c r="AK33" s="423">
        <v>0</v>
      </c>
      <c r="AM33" s="419"/>
      <c r="AN33" s="420"/>
      <c r="AO33" s="420"/>
      <c r="AP33" s="423">
        <v>0</v>
      </c>
      <c r="AR33" s="288"/>
      <c r="AS33" s="507"/>
      <c r="AT33" s="507"/>
      <c r="AU33" s="507"/>
      <c r="AV33" s="507"/>
      <c r="AW33" s="507"/>
      <c r="AX33" s="507"/>
      <c r="AY33" s="507"/>
      <c r="AZ33" s="507"/>
      <c r="BA33" s="507"/>
      <c r="BB33" s="507"/>
      <c r="BC33" s="507"/>
      <c r="BD33" s="396"/>
    </row>
    <row r="34" spans="2:56" x14ac:dyDescent="0.3">
      <c r="B34" s="418" t="s">
        <v>291</v>
      </c>
      <c r="C34" s="418"/>
      <c r="D34" s="426"/>
      <c r="E34" s="427"/>
      <c r="F34" s="427"/>
      <c r="G34" s="424">
        <f>9.911+13.956</f>
        <v>23.866999999999997</v>
      </c>
      <c r="I34" s="426"/>
      <c r="J34" s="427"/>
      <c r="K34" s="427"/>
      <c r="L34" s="423">
        <v>0</v>
      </c>
      <c r="N34" s="426"/>
      <c r="O34" s="427"/>
      <c r="P34" s="427"/>
      <c r="Q34" s="423">
        <v>0</v>
      </c>
      <c r="S34" s="426"/>
      <c r="T34" s="427"/>
      <c r="U34" s="427"/>
      <c r="V34" s="423">
        <v>0</v>
      </c>
      <c r="X34" s="426"/>
      <c r="Y34" s="427"/>
      <c r="Z34" s="427"/>
      <c r="AA34" s="423">
        <v>8.2899999999999991</v>
      </c>
      <c r="AC34" s="426"/>
      <c r="AD34" s="427"/>
      <c r="AE34" s="427"/>
      <c r="AF34" s="423">
        <v>0</v>
      </c>
      <c r="AH34" s="426"/>
      <c r="AI34" s="427"/>
      <c r="AJ34" s="427"/>
      <c r="AK34" s="423">
        <v>0</v>
      </c>
      <c r="AM34" s="426"/>
      <c r="AN34" s="427"/>
      <c r="AO34" s="427"/>
      <c r="AP34" s="423">
        <v>0</v>
      </c>
      <c r="AR34" s="507"/>
      <c r="AS34" s="507"/>
      <c r="AT34" s="507"/>
      <c r="AU34" s="507"/>
      <c r="AV34" s="507"/>
      <c r="AW34" s="507"/>
      <c r="AX34" s="507"/>
      <c r="AY34" s="507"/>
      <c r="AZ34" s="507"/>
      <c r="BA34" s="507"/>
      <c r="BB34" s="507"/>
      <c r="BC34" s="507"/>
      <c r="BD34" s="396"/>
    </row>
    <row r="35" spans="2:56" x14ac:dyDescent="0.3">
      <c r="D35" s="412"/>
      <c r="E35" s="282"/>
      <c r="F35" s="282"/>
      <c r="G35" s="413"/>
      <c r="I35" s="412"/>
      <c r="J35" s="282"/>
      <c r="K35" s="282"/>
      <c r="L35" s="413"/>
      <c r="N35" s="412"/>
      <c r="O35" s="282"/>
      <c r="P35" s="282"/>
      <c r="Q35" s="413"/>
      <c r="S35" s="412"/>
      <c r="T35" s="282"/>
      <c r="U35" s="282"/>
      <c r="V35" s="413"/>
      <c r="X35" s="412"/>
      <c r="Y35" s="282"/>
      <c r="Z35" s="282"/>
      <c r="AA35" s="413"/>
      <c r="AC35" s="412"/>
      <c r="AD35" s="282"/>
      <c r="AE35" s="282"/>
      <c r="AF35" s="413"/>
      <c r="AH35" s="412"/>
      <c r="AI35" s="282"/>
      <c r="AJ35" s="282"/>
      <c r="AK35" s="413"/>
      <c r="AM35" s="412"/>
      <c r="AN35" s="282"/>
      <c r="AO35" s="282"/>
      <c r="AP35" s="413"/>
      <c r="AR35" s="507"/>
      <c r="AS35" s="507"/>
      <c r="AT35" s="507"/>
      <c r="AU35" s="507"/>
      <c r="AV35" s="507"/>
      <c r="AW35" s="507"/>
      <c r="AX35" s="507"/>
      <c r="AY35" s="507"/>
      <c r="AZ35" s="507"/>
      <c r="BA35" s="507"/>
      <c r="BB35" s="507"/>
      <c r="BC35" s="507"/>
      <c r="BD35" s="396"/>
    </row>
    <row r="36" spans="2:56" x14ac:dyDescent="0.3">
      <c r="D36" s="416" t="s">
        <v>292</v>
      </c>
      <c r="E36" s="373"/>
      <c r="F36" s="373"/>
      <c r="G36" s="374"/>
      <c r="I36" s="416" t="s">
        <v>292</v>
      </c>
      <c r="J36" s="373"/>
      <c r="K36" s="373"/>
      <c r="L36" s="374"/>
      <c r="N36" s="416" t="s">
        <v>292</v>
      </c>
      <c r="O36" s="373"/>
      <c r="P36" s="373"/>
      <c r="Q36" s="374"/>
      <c r="S36" s="416" t="s">
        <v>292</v>
      </c>
      <c r="T36" s="373"/>
      <c r="U36" s="373"/>
      <c r="V36" s="374"/>
      <c r="X36" s="416" t="s">
        <v>292</v>
      </c>
      <c r="Y36" s="373"/>
      <c r="Z36" s="373"/>
      <c r="AA36" s="374"/>
      <c r="AC36" s="416" t="s">
        <v>292</v>
      </c>
      <c r="AD36" s="373"/>
      <c r="AE36" s="373"/>
      <c r="AF36" s="374"/>
      <c r="AH36" s="416" t="s">
        <v>292</v>
      </c>
      <c r="AI36" s="373"/>
      <c r="AJ36" s="373"/>
      <c r="AK36" s="374"/>
      <c r="AM36" s="416" t="s">
        <v>293</v>
      </c>
      <c r="AN36" s="373"/>
      <c r="AO36" s="373"/>
      <c r="AP36" s="374"/>
      <c r="AR36" s="507"/>
      <c r="AS36" s="507"/>
      <c r="AT36" s="507"/>
      <c r="AU36" s="507"/>
      <c r="AV36" s="507"/>
      <c r="AW36" s="507"/>
      <c r="AX36" s="507"/>
      <c r="AY36" s="507"/>
      <c r="AZ36" s="507"/>
      <c r="BA36" s="507"/>
      <c r="BB36" s="507"/>
      <c r="BC36" s="507"/>
      <c r="BD36" s="396"/>
    </row>
    <row r="37" spans="2:56" x14ac:dyDescent="0.3">
      <c r="D37" s="428">
        <f>Forward_Year_1</f>
        <v>42004</v>
      </c>
      <c r="E37" s="429">
        <f>Forward_Year_2</f>
        <v>42369</v>
      </c>
      <c r="F37" s="429">
        <f>Forward_Year_3</f>
        <v>42735</v>
      </c>
      <c r="G37" s="430"/>
      <c r="I37" s="428">
        <f>Forward_Year_1</f>
        <v>42004</v>
      </c>
      <c r="J37" s="429">
        <f>Forward_Year_2</f>
        <v>42369</v>
      </c>
      <c r="K37" s="429">
        <f>Forward_Year_3</f>
        <v>42735</v>
      </c>
      <c r="L37" s="430"/>
      <c r="N37" s="428">
        <f>Forward_Year_1</f>
        <v>42004</v>
      </c>
      <c r="O37" s="429">
        <f>Forward_Year_2</f>
        <v>42369</v>
      </c>
      <c r="P37" s="429">
        <f>Forward_Year_3</f>
        <v>42735</v>
      </c>
      <c r="Q37" s="430"/>
      <c r="S37" s="428">
        <f>Forward_Year_1</f>
        <v>42004</v>
      </c>
      <c r="T37" s="429">
        <f>Forward_Year_2</f>
        <v>42369</v>
      </c>
      <c r="U37" s="429">
        <f>Forward_Year_3</f>
        <v>42735</v>
      </c>
      <c r="V37" s="430"/>
      <c r="X37" s="428">
        <f>Forward_Year_1</f>
        <v>42004</v>
      </c>
      <c r="Y37" s="429">
        <f>Forward_Year_2</f>
        <v>42369</v>
      </c>
      <c r="Z37" s="429">
        <f>Forward_Year_3</f>
        <v>42735</v>
      </c>
      <c r="AA37" s="430"/>
      <c r="AC37" s="428">
        <f>Forward_Year_1</f>
        <v>42004</v>
      </c>
      <c r="AD37" s="429">
        <f>Forward_Year_2</f>
        <v>42369</v>
      </c>
      <c r="AE37" s="429">
        <f>Forward_Year_3</f>
        <v>42735</v>
      </c>
      <c r="AF37" s="430"/>
      <c r="AH37" s="428">
        <f>Forward_Year_1</f>
        <v>42004</v>
      </c>
      <c r="AI37" s="429">
        <f>Forward_Year_2</f>
        <v>42369</v>
      </c>
      <c r="AJ37" s="429">
        <f>Forward_Year_3</f>
        <v>42735</v>
      </c>
      <c r="AK37" s="430"/>
      <c r="AM37" s="428">
        <f>Forward_Year_1</f>
        <v>42004</v>
      </c>
      <c r="AN37" s="429">
        <f>Forward_Year_2</f>
        <v>42369</v>
      </c>
      <c r="AO37" s="429">
        <f>Forward_Year_3</f>
        <v>42735</v>
      </c>
      <c r="AP37" s="430"/>
      <c r="AR37" s="507"/>
      <c r="AS37" s="507"/>
      <c r="AT37" s="507"/>
      <c r="AU37" s="507"/>
      <c r="AV37" s="507"/>
      <c r="AW37" s="507"/>
      <c r="AX37" s="507"/>
      <c r="AY37" s="507"/>
      <c r="AZ37" s="507"/>
      <c r="BA37" s="507"/>
      <c r="BB37" s="507"/>
      <c r="BC37" s="507"/>
      <c r="BD37" s="396"/>
    </row>
    <row r="38" spans="2:56" x14ac:dyDescent="0.3">
      <c r="B38" s="279" t="s">
        <v>294</v>
      </c>
      <c r="D38" s="431"/>
      <c r="E38" s="432"/>
      <c r="F38" s="432"/>
      <c r="G38" s="433" t="s">
        <v>295</v>
      </c>
      <c r="I38" s="431"/>
      <c r="J38" s="432"/>
      <c r="K38" s="432"/>
      <c r="L38" s="433" t="s">
        <v>296</v>
      </c>
      <c r="N38" s="431"/>
      <c r="O38" s="432"/>
      <c r="P38" s="432"/>
      <c r="Q38" s="433" t="s">
        <v>332</v>
      </c>
      <c r="S38" s="431"/>
      <c r="T38" s="432"/>
      <c r="U38" s="432"/>
      <c r="V38" s="433" t="s">
        <v>295</v>
      </c>
      <c r="X38" s="431"/>
      <c r="Y38" s="432"/>
      <c r="Z38" s="432"/>
      <c r="AA38" s="433" t="s">
        <v>297</v>
      </c>
      <c r="AC38" s="431"/>
      <c r="AD38" s="432"/>
      <c r="AE38" s="432"/>
      <c r="AF38" s="433" t="s">
        <v>298</v>
      </c>
      <c r="AH38" s="431"/>
      <c r="AI38" s="432"/>
      <c r="AJ38" s="432"/>
      <c r="AK38" s="434" t="s">
        <v>299</v>
      </c>
      <c r="AM38" s="431"/>
      <c r="AN38" s="432"/>
      <c r="AO38" s="432"/>
      <c r="AP38" s="433" t="s">
        <v>97</v>
      </c>
      <c r="AR38" s="507"/>
      <c r="AS38" s="507"/>
      <c r="AT38" s="507"/>
      <c r="AU38" s="507"/>
      <c r="AV38" s="507"/>
      <c r="AW38" s="507"/>
      <c r="AX38" s="507"/>
      <c r="AY38" s="507"/>
      <c r="AZ38" s="507"/>
      <c r="BA38" s="507"/>
      <c r="BB38" s="507"/>
      <c r="BC38" s="507"/>
      <c r="BD38" s="396"/>
    </row>
    <row r="39" spans="2:56" x14ac:dyDescent="0.3">
      <c r="B39" s="279" t="s">
        <v>300</v>
      </c>
      <c r="D39" s="419"/>
      <c r="E39" s="420"/>
      <c r="F39" s="420"/>
      <c r="G39" s="435">
        <v>41760</v>
      </c>
      <c r="I39" s="419"/>
      <c r="J39" s="420"/>
      <c r="K39" s="420"/>
      <c r="L39" s="435">
        <v>41764</v>
      </c>
      <c r="N39" s="419"/>
      <c r="O39" s="420"/>
      <c r="P39" s="420"/>
      <c r="Q39" s="435">
        <v>41768</v>
      </c>
      <c r="S39" s="419"/>
      <c r="T39" s="420"/>
      <c r="U39" s="420"/>
      <c r="V39" s="435">
        <v>41758</v>
      </c>
      <c r="X39" s="419"/>
      <c r="Y39" s="420"/>
      <c r="Z39" s="420"/>
      <c r="AA39" s="435">
        <v>41756</v>
      </c>
      <c r="AC39" s="419"/>
      <c r="AD39" s="420"/>
      <c r="AE39" s="420"/>
      <c r="AF39" s="435">
        <v>41768</v>
      </c>
      <c r="AH39" s="419"/>
      <c r="AI39" s="420"/>
      <c r="AJ39" s="420"/>
      <c r="AK39" s="435">
        <v>41753</v>
      </c>
      <c r="AM39" s="419"/>
      <c r="AN39" s="420"/>
      <c r="AO39" s="420"/>
      <c r="AP39" s="433" t="s">
        <v>97</v>
      </c>
      <c r="AR39" s="507"/>
      <c r="AS39" s="507"/>
      <c r="AT39" s="507"/>
      <c r="AU39" s="507"/>
      <c r="AV39" s="507"/>
      <c r="AW39" s="507"/>
      <c r="AX39" s="507"/>
      <c r="AY39" s="507"/>
      <c r="AZ39" s="507"/>
      <c r="BA39" s="507"/>
      <c r="BB39" s="507"/>
      <c r="BC39" s="507"/>
      <c r="BD39" s="396"/>
    </row>
    <row r="40" spans="2:56" x14ac:dyDescent="0.3">
      <c r="B40" s="393" t="s">
        <v>7</v>
      </c>
      <c r="C40" s="393"/>
      <c r="D40" s="422">
        <v>574</v>
      </c>
      <c r="E40" s="422">
        <v>1211</v>
      </c>
      <c r="F40" s="422">
        <v>2569</v>
      </c>
      <c r="G40" s="436"/>
      <c r="I40" s="422">
        <v>2170.931</v>
      </c>
      <c r="J40" s="422">
        <v>2568.904</v>
      </c>
      <c r="K40" s="422">
        <v>3160.2339999999999</v>
      </c>
      <c r="L40" s="436"/>
      <c r="N40" s="422">
        <v>1648.6110000000001</v>
      </c>
      <c r="O40" s="422">
        <v>1994.7249999999999</v>
      </c>
      <c r="P40" s="422">
        <v>2114.0610000000001</v>
      </c>
      <c r="Q40" s="436"/>
      <c r="S40" s="422">
        <v>1255</v>
      </c>
      <c r="T40" s="422">
        <v>1387</v>
      </c>
      <c r="U40" s="422">
        <v>1496</v>
      </c>
      <c r="V40" s="436"/>
      <c r="X40" s="504">
        <v>1206.3</v>
      </c>
      <c r="Y40" s="504">
        <v>1483</v>
      </c>
      <c r="Z40" s="504">
        <v>1834</v>
      </c>
      <c r="AA40" s="436"/>
      <c r="AC40" s="422">
        <v>655</v>
      </c>
      <c r="AD40" s="422">
        <v>905</v>
      </c>
      <c r="AE40" s="422">
        <v>1225</v>
      </c>
      <c r="AF40" s="436"/>
      <c r="AH40" s="422">
        <v>775.1</v>
      </c>
      <c r="AI40" s="422">
        <v>822.5</v>
      </c>
      <c r="AJ40" s="422">
        <v>833.8</v>
      </c>
      <c r="AK40" s="436"/>
      <c r="AM40" s="437">
        <f>+'JAZZ-Model-DCF'!I179</f>
        <v>1176.8697723647181</v>
      </c>
      <c r="AN40" s="437">
        <f>+'JAZZ-Model-DCF'!J179</f>
        <v>1553.258794387468</v>
      </c>
      <c r="AO40" s="437">
        <f>+'JAZZ-Model-DCF'!K179</f>
        <v>1998.0287253028318</v>
      </c>
      <c r="AP40" s="436"/>
      <c r="AR40" s="508"/>
      <c r="AS40" s="507"/>
      <c r="AT40" s="507"/>
      <c r="AU40" s="507"/>
      <c r="AV40" s="507"/>
      <c r="AW40" s="507"/>
      <c r="AX40" s="507"/>
      <c r="AY40" s="507"/>
      <c r="AZ40" s="507"/>
      <c r="BA40" s="507"/>
      <c r="BB40" s="507"/>
      <c r="BC40" s="507"/>
      <c r="BD40" s="396"/>
    </row>
    <row r="41" spans="2:56" x14ac:dyDescent="0.3">
      <c r="B41" s="393" t="s">
        <v>96</v>
      </c>
      <c r="C41" s="393"/>
      <c r="D41" s="423">
        <v>-478</v>
      </c>
      <c r="E41" s="423">
        <v>164</v>
      </c>
      <c r="F41" s="423">
        <v>1439</v>
      </c>
      <c r="G41" s="425"/>
      <c r="I41" s="423">
        <v>1073.5989999999999</v>
      </c>
      <c r="J41" s="423">
        <v>1305.5940000000001</v>
      </c>
      <c r="K41" s="423">
        <v>1757.8989999999999</v>
      </c>
      <c r="L41" s="425"/>
      <c r="N41" s="423">
        <v>680.346</v>
      </c>
      <c r="O41" s="423">
        <v>956.67700000000002</v>
      </c>
      <c r="P41" s="423">
        <v>1025.4190000000001</v>
      </c>
      <c r="Q41" s="425"/>
      <c r="S41" s="423">
        <v>629</v>
      </c>
      <c r="T41" s="423">
        <v>690</v>
      </c>
      <c r="U41" s="423">
        <v>747</v>
      </c>
      <c r="V41" s="425"/>
      <c r="X41" s="505">
        <f>115+144.3</f>
        <v>259.3</v>
      </c>
      <c r="Y41" s="505">
        <f>147+147.8</f>
        <v>294.8</v>
      </c>
      <c r="Z41" s="505">
        <f>562+152.6</f>
        <v>714.6</v>
      </c>
      <c r="AA41" s="425"/>
      <c r="AC41" s="423">
        <v>-80</v>
      </c>
      <c r="AD41" s="423">
        <v>65</v>
      </c>
      <c r="AE41" s="423">
        <v>380</v>
      </c>
      <c r="AF41" s="425"/>
      <c r="AH41" s="423">
        <v>70.2</v>
      </c>
      <c r="AI41" s="423">
        <v>166.1</v>
      </c>
      <c r="AJ41" s="423">
        <v>226</v>
      </c>
      <c r="AK41" s="425"/>
      <c r="AM41" s="438">
        <f>+'JAZZ-Model-DCF'!I214</f>
        <v>609.85835849646628</v>
      </c>
      <c r="AN41" s="438">
        <f>+'JAZZ-Model-DCF'!J214</f>
        <v>830.93611559903286</v>
      </c>
      <c r="AO41" s="438">
        <f>+'JAZZ-Model-DCF'!K214</f>
        <v>1045.5100430790865</v>
      </c>
      <c r="AP41" s="425"/>
      <c r="AR41" s="288"/>
      <c r="AS41" s="507"/>
      <c r="AT41" s="507"/>
      <c r="AU41" s="507"/>
      <c r="AV41" s="507"/>
      <c r="AW41" s="507"/>
      <c r="AX41" s="507"/>
      <c r="AY41" s="507"/>
      <c r="AZ41" s="507"/>
      <c r="BA41" s="507"/>
      <c r="BB41" s="507"/>
      <c r="BC41" s="507"/>
      <c r="BD41" s="396"/>
    </row>
    <row r="42" spans="2:56" x14ac:dyDescent="0.3">
      <c r="B42" s="393" t="s">
        <v>276</v>
      </c>
      <c r="C42" s="393"/>
      <c r="D42" s="423">
        <v>-538</v>
      </c>
      <c r="E42" s="423">
        <v>119</v>
      </c>
      <c r="F42" s="423">
        <v>1193</v>
      </c>
      <c r="G42" s="439"/>
      <c r="I42" s="423">
        <v>471.81599999999997</v>
      </c>
      <c r="J42" s="423">
        <v>1123.242</v>
      </c>
      <c r="K42" s="423">
        <v>1464.25</v>
      </c>
      <c r="L42" s="439"/>
      <c r="N42" s="424">
        <f>4.83*74.728</f>
        <v>360.93624</v>
      </c>
      <c r="O42" s="424">
        <f>5.84*76.028</f>
        <v>444.00352000000004</v>
      </c>
      <c r="P42" s="424">
        <f>6.24*76.528</f>
        <v>477.53472000000005</v>
      </c>
      <c r="Q42" s="439"/>
      <c r="S42" s="423">
        <v>400</v>
      </c>
      <c r="T42" s="423">
        <v>441</v>
      </c>
      <c r="U42" s="423">
        <v>480</v>
      </c>
      <c r="V42" s="439"/>
      <c r="X42" s="506">
        <v>26</v>
      </c>
      <c r="Y42" s="506">
        <v>48</v>
      </c>
      <c r="Z42" s="506">
        <v>296</v>
      </c>
      <c r="AA42" s="439"/>
      <c r="AC42" s="423">
        <v>-142</v>
      </c>
      <c r="AD42" s="423">
        <v>47</v>
      </c>
      <c r="AE42" s="423">
        <v>277</v>
      </c>
      <c r="AF42" s="439"/>
      <c r="AH42" s="423">
        <v>-0.4</v>
      </c>
      <c r="AI42" s="423">
        <v>105.6</v>
      </c>
      <c r="AJ42" s="423">
        <v>139</v>
      </c>
      <c r="AK42" s="439"/>
      <c r="AM42" s="438">
        <f>+'JAZZ-Model-DCF'!I208</f>
        <v>246.040081113746</v>
      </c>
      <c r="AN42" s="438">
        <f>+'JAZZ-Model-DCF'!J208</f>
        <v>540.2937537342184</v>
      </c>
      <c r="AO42" s="438">
        <f>+'JAZZ-Model-DCF'!K208</f>
        <v>716.34943399636109</v>
      </c>
      <c r="AP42" s="439"/>
      <c r="AR42" s="507"/>
      <c r="AS42" s="507"/>
      <c r="AT42" s="507"/>
      <c r="AU42" s="507"/>
      <c r="AV42" s="507"/>
      <c r="AW42" s="507"/>
      <c r="AX42" s="507"/>
      <c r="AY42" s="507"/>
      <c r="AZ42" s="507"/>
      <c r="BA42" s="507"/>
      <c r="BB42" s="507"/>
      <c r="BC42" s="507"/>
      <c r="BD42" s="396"/>
    </row>
    <row r="43" spans="2:56" x14ac:dyDescent="0.3">
      <c r="D43" s="412"/>
      <c r="E43" s="282"/>
      <c r="F43" s="282"/>
      <c r="G43" s="413"/>
      <c r="I43" s="412"/>
      <c r="J43" s="282"/>
      <c r="K43" s="282"/>
      <c r="L43" s="413"/>
      <c r="N43" s="412"/>
      <c r="O43" s="282"/>
      <c r="P43" s="282"/>
      <c r="Q43" s="413"/>
      <c r="S43" s="412"/>
      <c r="T43" s="282"/>
      <c r="U43" s="282"/>
      <c r="V43" s="413"/>
      <c r="X43" s="412"/>
      <c r="Y43" s="282"/>
      <c r="Z43" s="282"/>
      <c r="AA43" s="413"/>
      <c r="AC43" s="412"/>
      <c r="AD43" s="282"/>
      <c r="AE43" s="282"/>
      <c r="AF43" s="413"/>
      <c r="AH43" s="412"/>
      <c r="AI43" s="282"/>
      <c r="AJ43" s="282"/>
      <c r="AK43" s="413"/>
      <c r="AM43" s="412"/>
      <c r="AN43" s="282"/>
      <c r="AO43" s="282"/>
      <c r="AP43" s="413"/>
      <c r="AR43" s="288"/>
      <c r="AS43" s="507"/>
      <c r="AT43" s="507"/>
      <c r="AU43" s="507"/>
      <c r="AV43" s="507"/>
      <c r="AW43" s="507"/>
      <c r="AX43" s="507"/>
      <c r="AY43" s="507"/>
      <c r="AZ43" s="507"/>
      <c r="BA43" s="507"/>
      <c r="BB43" s="507"/>
      <c r="BC43" s="507"/>
      <c r="BD43" s="396"/>
    </row>
    <row r="44" spans="2:56" x14ac:dyDescent="0.3">
      <c r="D44" s="416" t="s">
        <v>301</v>
      </c>
      <c r="E44" s="373"/>
      <c r="F44" s="373"/>
      <c r="G44" s="374"/>
      <c r="I44" s="416" t="s">
        <v>301</v>
      </c>
      <c r="J44" s="373"/>
      <c r="K44" s="373"/>
      <c r="L44" s="374"/>
      <c r="N44" s="416" t="s">
        <v>301</v>
      </c>
      <c r="O44" s="373"/>
      <c r="P44" s="373"/>
      <c r="Q44" s="374"/>
      <c r="S44" s="416" t="s">
        <v>301</v>
      </c>
      <c r="T44" s="373"/>
      <c r="U44" s="373"/>
      <c r="V44" s="374"/>
      <c r="X44" s="416" t="s">
        <v>301</v>
      </c>
      <c r="Y44" s="373"/>
      <c r="Z44" s="373"/>
      <c r="AA44" s="374"/>
      <c r="AC44" s="416" t="s">
        <v>301</v>
      </c>
      <c r="AD44" s="373"/>
      <c r="AE44" s="373"/>
      <c r="AF44" s="374"/>
      <c r="AH44" s="416" t="s">
        <v>301</v>
      </c>
      <c r="AI44" s="373"/>
      <c r="AJ44" s="373"/>
      <c r="AK44" s="374"/>
      <c r="AM44" s="416"/>
      <c r="AN44" s="373"/>
      <c r="AO44" s="373"/>
      <c r="AP44" s="374"/>
      <c r="AR44" s="507"/>
      <c r="AS44" s="507"/>
      <c r="AT44" s="507"/>
      <c r="AU44" s="507"/>
      <c r="AV44" s="507"/>
      <c r="AW44" s="507"/>
      <c r="AX44" s="507"/>
      <c r="AY44" s="507"/>
      <c r="AZ44" s="507"/>
      <c r="BA44" s="507"/>
      <c r="BB44" s="507"/>
      <c r="BC44" s="507"/>
      <c r="BD44" s="396"/>
    </row>
    <row r="45" spans="2:56" x14ac:dyDescent="0.3">
      <c r="B45" s="393" t="s">
        <v>302</v>
      </c>
      <c r="C45" s="393"/>
      <c r="D45" s="431"/>
      <c r="E45" s="432"/>
      <c r="F45" s="432"/>
      <c r="G45" s="440">
        <v>65.05</v>
      </c>
      <c r="I45" s="431"/>
      <c r="J45" s="432"/>
      <c r="K45" s="432"/>
      <c r="L45" s="440">
        <v>152.87</v>
      </c>
      <c r="N45" s="431"/>
      <c r="O45" s="432"/>
      <c r="P45" s="432"/>
      <c r="Q45" s="440">
        <v>103.56</v>
      </c>
      <c r="S45" s="431"/>
      <c r="T45" s="432"/>
      <c r="U45" s="432"/>
      <c r="V45" s="440">
        <v>106.5</v>
      </c>
      <c r="X45" s="431"/>
      <c r="Y45" s="432"/>
      <c r="Z45" s="432"/>
      <c r="AA45" s="440">
        <v>67.47</v>
      </c>
      <c r="AC45" s="431"/>
      <c r="AD45" s="432"/>
      <c r="AE45" s="432"/>
      <c r="AF45" s="440">
        <v>58.54</v>
      </c>
      <c r="AH45" s="431"/>
      <c r="AI45" s="432"/>
      <c r="AJ45" s="432"/>
      <c r="AK45" s="441">
        <v>25.49</v>
      </c>
      <c r="AM45" s="431"/>
      <c r="AN45" s="432"/>
      <c r="AO45" s="432"/>
      <c r="AP45" s="442">
        <f>Share_Price</f>
        <v>129.44999999999999</v>
      </c>
      <c r="AR45" s="507"/>
      <c r="AS45" s="507"/>
      <c r="AT45" s="507"/>
      <c r="AU45" s="507"/>
      <c r="AV45" s="507"/>
      <c r="AW45" s="507"/>
      <c r="AX45" s="507"/>
      <c r="AY45" s="507"/>
      <c r="AZ45" s="507"/>
      <c r="BA45" s="507"/>
      <c r="BB45" s="507"/>
      <c r="BC45" s="507"/>
      <c r="BD45" s="396"/>
    </row>
    <row r="46" spans="2:56" x14ac:dyDescent="0.3">
      <c r="B46" s="393" t="s">
        <v>303</v>
      </c>
      <c r="C46" s="393"/>
      <c r="D46" s="419"/>
      <c r="E46" s="420"/>
      <c r="F46" s="420"/>
      <c r="G46" s="443">
        <v>236.19433699999999</v>
      </c>
      <c r="I46" s="419"/>
      <c r="J46" s="420"/>
      <c r="K46" s="420"/>
      <c r="L46" s="443">
        <v>197.79645600000001</v>
      </c>
      <c r="N46" s="419"/>
      <c r="O46" s="420"/>
      <c r="P46" s="420"/>
      <c r="Q46" s="443">
        <v>63.408689000000003</v>
      </c>
      <c r="S46" s="419"/>
      <c r="T46" s="420"/>
      <c r="U46" s="420"/>
      <c r="V46" s="443">
        <v>48.176158999999998</v>
      </c>
      <c r="X46" s="419"/>
      <c r="Y46" s="420"/>
      <c r="Z46" s="420"/>
      <c r="AA46" s="443">
        <v>75.305323000000001</v>
      </c>
      <c r="AC46" s="419"/>
      <c r="AD46" s="420"/>
      <c r="AE46" s="420"/>
      <c r="AF46" s="443">
        <v>145.92679799999999</v>
      </c>
      <c r="AH46" s="419"/>
      <c r="AI46" s="420"/>
      <c r="AJ46" s="420"/>
      <c r="AK46" s="444">
        <v>65.018521000000007</v>
      </c>
      <c r="AM46" s="419"/>
      <c r="AN46" s="420"/>
      <c r="AO46" s="420"/>
      <c r="AP46" s="444">
        <v>59.391914999999997</v>
      </c>
      <c r="AR46" s="507"/>
      <c r="AS46" s="507"/>
      <c r="AT46" s="507"/>
      <c r="AU46" s="507"/>
      <c r="AV46" s="507"/>
      <c r="AW46" s="507"/>
      <c r="AX46" s="507"/>
      <c r="AY46" s="507"/>
      <c r="AZ46" s="507"/>
      <c r="BA46" s="507"/>
      <c r="BB46" s="507"/>
      <c r="BC46" s="507"/>
      <c r="BD46" s="396"/>
    </row>
    <row r="47" spans="2:56" x14ac:dyDescent="0.3">
      <c r="B47" s="393" t="s">
        <v>304</v>
      </c>
      <c r="C47" s="393"/>
      <c r="D47" s="445"/>
      <c r="E47" s="446"/>
      <c r="F47" s="446"/>
      <c r="G47" s="447"/>
      <c r="I47" s="445"/>
      <c r="J47" s="446"/>
      <c r="K47" s="446"/>
      <c r="L47" s="447"/>
      <c r="N47" s="445"/>
      <c r="O47" s="446"/>
      <c r="P47" s="446"/>
      <c r="Q47" s="447"/>
      <c r="S47" s="445"/>
      <c r="T47" s="446"/>
      <c r="U47" s="446"/>
      <c r="V47" s="447"/>
      <c r="X47" s="445"/>
      <c r="Y47" s="446"/>
      <c r="Z47" s="446"/>
      <c r="AA47" s="447"/>
      <c r="AC47" s="445"/>
      <c r="AD47" s="446"/>
      <c r="AE47" s="446"/>
      <c r="AF47" s="447"/>
      <c r="AH47" s="445"/>
      <c r="AI47" s="446"/>
      <c r="AJ47" s="446"/>
      <c r="AK47" s="447"/>
      <c r="AM47" s="445"/>
      <c r="AN47" s="446"/>
      <c r="AO47" s="446"/>
      <c r="AP47" s="447"/>
      <c r="AR47" s="288"/>
      <c r="AS47" s="507"/>
      <c r="AT47" s="507"/>
      <c r="AU47" s="507"/>
      <c r="AV47" s="507"/>
      <c r="AW47" s="507"/>
      <c r="AX47" s="507"/>
      <c r="AY47" s="507"/>
      <c r="AZ47" s="507"/>
      <c r="BA47" s="507"/>
      <c r="BB47" s="507"/>
      <c r="BC47" s="507"/>
      <c r="BD47" s="396"/>
    </row>
    <row r="48" spans="2:56" x14ac:dyDescent="0.3">
      <c r="D48" s="445"/>
      <c r="E48" s="448" t="s">
        <v>305</v>
      </c>
      <c r="F48" s="449" t="s">
        <v>306</v>
      </c>
      <c r="G48" s="450" t="s">
        <v>307</v>
      </c>
      <c r="I48" s="445"/>
      <c r="J48" s="448" t="s">
        <v>305</v>
      </c>
      <c r="K48" s="449" t="s">
        <v>306</v>
      </c>
      <c r="L48" s="450" t="s">
        <v>307</v>
      </c>
      <c r="N48" s="445"/>
      <c r="O48" s="448" t="s">
        <v>305</v>
      </c>
      <c r="P48" s="449" t="s">
        <v>306</v>
      </c>
      <c r="Q48" s="450" t="s">
        <v>307</v>
      </c>
      <c r="S48" s="445"/>
      <c r="T48" s="448" t="s">
        <v>305</v>
      </c>
      <c r="U48" s="449" t="s">
        <v>306</v>
      </c>
      <c r="V48" s="450" t="s">
        <v>307</v>
      </c>
      <c r="X48" s="445"/>
      <c r="Y48" s="448" t="s">
        <v>305</v>
      </c>
      <c r="Z48" s="449" t="s">
        <v>306</v>
      </c>
      <c r="AA48" s="450" t="s">
        <v>307</v>
      </c>
      <c r="AC48" s="445"/>
      <c r="AD48" s="448" t="s">
        <v>305</v>
      </c>
      <c r="AE48" s="449" t="s">
        <v>306</v>
      </c>
      <c r="AF48" s="450" t="s">
        <v>307</v>
      </c>
      <c r="AH48" s="445"/>
      <c r="AI48" s="448" t="s">
        <v>308</v>
      </c>
      <c r="AJ48" s="449" t="s">
        <v>309</v>
      </c>
      <c r="AK48" s="450" t="s">
        <v>307</v>
      </c>
      <c r="AM48" s="445"/>
      <c r="AN48" s="448" t="s">
        <v>308</v>
      </c>
      <c r="AO48" s="449" t="s">
        <v>309</v>
      </c>
      <c r="AP48" s="450" t="s">
        <v>307</v>
      </c>
      <c r="AR48" s="507"/>
      <c r="AS48" s="507"/>
      <c r="AT48" s="507"/>
      <c r="AU48" s="507"/>
      <c r="AV48" s="507"/>
      <c r="AW48" s="507"/>
      <c r="AX48" s="507"/>
      <c r="AY48" s="507"/>
      <c r="AZ48" s="507"/>
      <c r="BA48" s="507"/>
      <c r="BB48" s="507"/>
      <c r="BC48" s="507"/>
      <c r="BD48" s="396"/>
    </row>
    <row r="49" spans="2:56" x14ac:dyDescent="0.3">
      <c r="D49" s="445"/>
      <c r="E49" s="451">
        <v>0.40699999999999997</v>
      </c>
      <c r="F49" s="452">
        <v>15.42</v>
      </c>
      <c r="G49" s="453">
        <f t="shared" ref="G49:G57" si="56">IF(F49&lt;G$45,E49-((E49*F49)/G$45),0)</f>
        <v>0.31052129131437356</v>
      </c>
      <c r="I49" s="445"/>
      <c r="J49" s="451">
        <v>5.1539999999999999</v>
      </c>
      <c r="K49" s="452">
        <v>30.26</v>
      </c>
      <c r="L49" s="453">
        <f>IF(K49&lt;L$45,J49-((J49*K49)/L$45),0)</f>
        <v>4.1337864852489048</v>
      </c>
      <c r="N49" s="445"/>
      <c r="O49" s="451">
        <v>2.2813E-2</v>
      </c>
      <c r="P49" s="452">
        <v>7.0000000000000007E-2</v>
      </c>
      <c r="Q49" s="453">
        <f>IF(P49&lt;Q$45,O49-((O49*P49)/Q$45),0)</f>
        <v>2.2797579857087677E-2</v>
      </c>
      <c r="S49" s="445"/>
      <c r="T49" s="451">
        <v>4.4857069999999997</v>
      </c>
      <c r="U49" s="452">
        <v>57.56</v>
      </c>
      <c r="V49" s="453">
        <f>IF(U49&lt;V$45,T49-((T49*U49)/V$45),0)</f>
        <v>2.0613192542723002</v>
      </c>
      <c r="X49" s="445"/>
      <c r="Y49" s="451">
        <v>4.3801930000000002</v>
      </c>
      <c r="Z49" s="452">
        <v>27.09</v>
      </c>
      <c r="AA49" s="453">
        <f>IF(Z49&lt;AA$45,Y49-((Y49*Z49)/AA$45),0)</f>
        <v>2.6214938986216101</v>
      </c>
      <c r="AC49" s="445"/>
      <c r="AD49" s="451">
        <v>8.394774</v>
      </c>
      <c r="AE49" s="452">
        <v>26.33</v>
      </c>
      <c r="AF49" s="453">
        <f>IF(AE49&lt;AF$45,AD49-((AD49*AE49)/AF$45),0)</f>
        <v>4.6189899306457125</v>
      </c>
      <c r="AH49" s="445"/>
      <c r="AI49" s="451">
        <v>4.2804469999999997</v>
      </c>
      <c r="AJ49" s="452">
        <v>19.260000000000002</v>
      </c>
      <c r="AK49" s="453">
        <f t="shared" ref="AK49:AK57" si="57">IF(AJ49&lt;AK$45,AI49-((AI49*AJ49)/AK$45),0)</f>
        <v>1.0461822208709295</v>
      </c>
      <c r="AM49" s="445"/>
      <c r="AN49" s="451">
        <v>0.60399999999999998</v>
      </c>
      <c r="AO49" s="441">
        <v>7.37</v>
      </c>
      <c r="AP49" s="453">
        <f>IF(AO49&lt;AP$45,AN49-((AN49*AO49)/AP$45),0)</f>
        <v>0.56961235998454995</v>
      </c>
      <c r="AR49" s="507"/>
      <c r="AS49" s="507"/>
      <c r="AT49" s="507"/>
      <c r="AU49" s="507"/>
      <c r="AV49" s="507"/>
      <c r="AW49" s="507"/>
      <c r="AX49" s="507"/>
      <c r="AY49" s="507"/>
      <c r="AZ49" s="507"/>
      <c r="BA49" s="507"/>
      <c r="BB49" s="507"/>
      <c r="BC49" s="507"/>
      <c r="BD49" s="396"/>
    </row>
    <row r="50" spans="2:56" x14ac:dyDescent="0.3">
      <c r="D50" s="445"/>
      <c r="E50" s="451">
        <v>0.69599999999999995</v>
      </c>
      <c r="F50" s="452">
        <v>29.3</v>
      </c>
      <c r="G50" s="453">
        <f t="shared" si="56"/>
        <v>0.38250576479631049</v>
      </c>
      <c r="I50" s="445"/>
      <c r="J50" s="451"/>
      <c r="K50" s="452"/>
      <c r="L50" s="453">
        <f t="shared" ref="L50:L54" si="58">IF(K50&lt;L$45,J50-((J50*K50)/L$45),0)</f>
        <v>0</v>
      </c>
      <c r="N50" s="445"/>
      <c r="O50" s="451">
        <v>0.20438100000000001</v>
      </c>
      <c r="P50" s="452">
        <v>7.22</v>
      </c>
      <c r="Q50" s="453">
        <f t="shared" ref="Q50:Q54" si="59">IF(P50&lt;Q$45,O50-((O50*P50)/Q$45),0)</f>
        <v>0.19013195770567787</v>
      </c>
      <c r="S50" s="445"/>
      <c r="T50" s="451">
        <v>5.2</v>
      </c>
      <c r="U50" s="452">
        <v>67.56</v>
      </c>
      <c r="V50" s="453">
        <f t="shared" ref="V50:V54" si="60">IF(U50&lt;V$45,T50-((T50*U50)/V$45),0)</f>
        <v>1.9012957746478873</v>
      </c>
      <c r="X50" s="445"/>
      <c r="Y50" s="451">
        <v>9.7054419999999997</v>
      </c>
      <c r="Z50" s="452">
        <v>96.43</v>
      </c>
      <c r="AA50" s="453">
        <f t="shared" ref="AA50:AA57" si="61">IF(Z50&lt;AA$45,Y50-((Y50*Z50)/AA$45),0)</f>
        <v>0</v>
      </c>
      <c r="AC50" s="445"/>
      <c r="AD50" s="451"/>
      <c r="AE50" s="452"/>
      <c r="AF50" s="453">
        <f t="shared" ref="AF50:AF57" si="62">IF(AE50&lt;AF$45,AD50-((AD50*AE50)/AF$45),0)</f>
        <v>0</v>
      </c>
      <c r="AH50" s="445"/>
      <c r="AI50" s="451">
        <v>9.8000000000000007</v>
      </c>
      <c r="AJ50" s="452">
        <v>34.200000000000003</v>
      </c>
      <c r="AK50" s="453">
        <f t="shared" si="57"/>
        <v>0</v>
      </c>
      <c r="AM50" s="445"/>
      <c r="AN50" s="451">
        <v>0.94799999999999995</v>
      </c>
      <c r="AO50" s="452">
        <v>4</v>
      </c>
      <c r="AP50" s="453">
        <f t="shared" ref="AP50:AP57" si="63">IF(AO50&lt;AP$45,AN50-((AN50*AO50)/AP$45),0)</f>
        <v>0.91870683661645414</v>
      </c>
      <c r="AR50" s="288"/>
      <c r="AS50" s="507"/>
      <c r="AT50" s="507"/>
      <c r="AU50" s="507"/>
      <c r="AV50" s="507"/>
      <c r="AW50" s="507"/>
      <c r="AX50" s="507"/>
      <c r="AY50" s="507"/>
      <c r="AZ50" s="507"/>
      <c r="BA50" s="507"/>
      <c r="BB50" s="507"/>
      <c r="BC50" s="507"/>
      <c r="BD50" s="396"/>
    </row>
    <row r="51" spans="2:56" x14ac:dyDescent="0.3">
      <c r="D51" s="445"/>
      <c r="E51" s="451">
        <v>4.1989999999999998</v>
      </c>
      <c r="F51" s="452">
        <v>35.840000000000003</v>
      </c>
      <c r="G51" s="453">
        <f t="shared" si="56"/>
        <v>1.8855156033820135</v>
      </c>
      <c r="I51" s="445"/>
      <c r="J51" s="451"/>
      <c r="K51" s="452"/>
      <c r="L51" s="453">
        <f t="shared" si="58"/>
        <v>0</v>
      </c>
      <c r="N51" s="445"/>
      <c r="O51" s="451">
        <v>0.25824599999999998</v>
      </c>
      <c r="P51" s="452">
        <v>9.7799999999999994</v>
      </c>
      <c r="Q51" s="453">
        <f t="shared" si="59"/>
        <v>0.23385776245654691</v>
      </c>
      <c r="S51" s="445"/>
      <c r="T51" s="451"/>
      <c r="U51" s="452"/>
      <c r="V51" s="453">
        <f t="shared" si="60"/>
        <v>0</v>
      </c>
      <c r="X51" s="445"/>
      <c r="Y51" s="451"/>
      <c r="Z51" s="452"/>
      <c r="AA51" s="453">
        <f t="shared" si="61"/>
        <v>0</v>
      </c>
      <c r="AC51" s="445"/>
      <c r="AD51" s="451"/>
      <c r="AE51" s="452"/>
      <c r="AF51" s="453">
        <f t="shared" si="62"/>
        <v>0</v>
      </c>
      <c r="AH51" s="445"/>
      <c r="AI51" s="451"/>
      <c r="AJ51" s="452"/>
      <c r="AK51" s="453">
        <f t="shared" si="57"/>
        <v>0</v>
      </c>
      <c r="AL51" s="454"/>
      <c r="AM51" s="445"/>
      <c r="AN51" s="451">
        <v>1.59</v>
      </c>
      <c r="AO51" s="452">
        <v>26.09</v>
      </c>
      <c r="AP51" s="453">
        <f t="shared" si="63"/>
        <v>1.2695434530706837</v>
      </c>
      <c r="AR51" s="507"/>
      <c r="AS51" s="507"/>
      <c r="AT51" s="507"/>
      <c r="AU51" s="507"/>
      <c r="AV51" s="507"/>
      <c r="AW51" s="507"/>
      <c r="AX51" s="507"/>
      <c r="AY51" s="507"/>
      <c r="AZ51" s="507"/>
      <c r="BA51" s="507"/>
      <c r="BB51" s="507"/>
      <c r="BC51" s="507"/>
      <c r="BD51" s="396"/>
    </row>
    <row r="52" spans="2:56" x14ac:dyDescent="0.3">
      <c r="D52" s="445"/>
      <c r="E52" s="451">
        <v>0.81599999999999995</v>
      </c>
      <c r="F52" s="452">
        <v>46.59</v>
      </c>
      <c r="G52" s="453">
        <f t="shared" si="56"/>
        <v>0.23156587240584159</v>
      </c>
      <c r="I52" s="445"/>
      <c r="J52" s="451"/>
      <c r="K52" s="452"/>
      <c r="L52" s="453">
        <f t="shared" si="58"/>
        <v>0</v>
      </c>
      <c r="N52" s="445"/>
      <c r="O52" s="451">
        <v>1.3053E-2</v>
      </c>
      <c r="P52" s="452">
        <v>0.59</v>
      </c>
      <c r="Q52" s="453">
        <f t="shared" si="59"/>
        <v>1.2978634704519119E-2</v>
      </c>
      <c r="S52" s="445"/>
      <c r="T52" s="451"/>
      <c r="U52" s="452"/>
      <c r="V52" s="453">
        <f t="shared" si="60"/>
        <v>0</v>
      </c>
      <c r="X52" s="445"/>
      <c r="Y52" s="451"/>
      <c r="Z52" s="452"/>
      <c r="AA52" s="453">
        <f t="shared" si="61"/>
        <v>0</v>
      </c>
      <c r="AC52" s="445"/>
      <c r="AD52" s="451"/>
      <c r="AE52" s="452"/>
      <c r="AF52" s="453">
        <f t="shared" si="62"/>
        <v>0</v>
      </c>
      <c r="AH52" s="445"/>
      <c r="AI52" s="451"/>
      <c r="AJ52" s="452"/>
      <c r="AK52" s="453">
        <f t="shared" si="57"/>
        <v>0</v>
      </c>
      <c r="AM52" s="445"/>
      <c r="AN52" s="451"/>
      <c r="AO52" s="452"/>
      <c r="AP52" s="453">
        <f t="shared" si="63"/>
        <v>0</v>
      </c>
      <c r="AR52" s="507"/>
      <c r="AS52" s="507"/>
      <c r="AT52" s="507"/>
      <c r="AU52" s="507"/>
      <c r="AV52" s="507"/>
      <c r="AW52" s="507"/>
      <c r="AX52" s="507"/>
      <c r="AY52" s="507"/>
      <c r="AZ52" s="507"/>
      <c r="BA52" s="507"/>
      <c r="BB52" s="507"/>
      <c r="BC52" s="507"/>
      <c r="BD52" s="396"/>
    </row>
    <row r="53" spans="2:56" x14ac:dyDescent="0.3">
      <c r="D53" s="445"/>
      <c r="E53" s="451">
        <v>0.85099999999999998</v>
      </c>
      <c r="F53" s="452">
        <v>54.41</v>
      </c>
      <c r="G53" s="453">
        <f t="shared" si="56"/>
        <v>0.13919508070714837</v>
      </c>
      <c r="I53" s="445"/>
      <c r="J53" s="451"/>
      <c r="K53" s="452"/>
      <c r="L53" s="453">
        <f t="shared" si="58"/>
        <v>0</v>
      </c>
      <c r="N53" s="445"/>
      <c r="O53" s="451">
        <v>10.484</v>
      </c>
      <c r="P53" s="452">
        <v>85.31</v>
      </c>
      <c r="Q53" s="453">
        <f t="shared" si="59"/>
        <v>1.847556971803785</v>
      </c>
      <c r="S53" s="445"/>
      <c r="T53" s="451"/>
      <c r="U53" s="452"/>
      <c r="V53" s="453">
        <f t="shared" si="60"/>
        <v>0</v>
      </c>
      <c r="X53" s="445"/>
      <c r="Y53" s="451"/>
      <c r="Z53" s="452"/>
      <c r="AA53" s="453">
        <f t="shared" si="61"/>
        <v>0</v>
      </c>
      <c r="AC53" s="445"/>
      <c r="AD53" s="451"/>
      <c r="AE53" s="452"/>
      <c r="AF53" s="453">
        <f t="shared" si="62"/>
        <v>0</v>
      </c>
      <c r="AH53" s="445"/>
      <c r="AI53" s="451"/>
      <c r="AJ53" s="452"/>
      <c r="AK53" s="453">
        <f t="shared" si="57"/>
        <v>0</v>
      </c>
      <c r="AM53" s="445"/>
      <c r="AN53" s="451"/>
      <c r="AO53" s="452"/>
      <c r="AP53" s="453">
        <f t="shared" si="63"/>
        <v>0</v>
      </c>
      <c r="AR53" s="507"/>
      <c r="AS53" s="507"/>
      <c r="AT53" s="507"/>
      <c r="AU53" s="507"/>
      <c r="AV53" s="507"/>
      <c r="AW53" s="507"/>
      <c r="AX53" s="507"/>
      <c r="AY53" s="507"/>
      <c r="AZ53" s="507"/>
      <c r="BA53" s="507"/>
      <c r="BB53" s="507"/>
      <c r="BC53" s="507"/>
      <c r="BD53" s="396"/>
    </row>
    <row r="54" spans="2:56" x14ac:dyDescent="0.3">
      <c r="D54" s="445"/>
      <c r="E54" s="451">
        <v>1.7999999999999999E-2</v>
      </c>
      <c r="F54" s="452">
        <v>63.81</v>
      </c>
      <c r="G54" s="453">
        <f t="shared" si="56"/>
        <v>3.4312067640276597E-4</v>
      </c>
      <c r="I54" s="445"/>
      <c r="J54" s="451"/>
      <c r="K54" s="452"/>
      <c r="L54" s="453">
        <f t="shared" si="58"/>
        <v>0</v>
      </c>
      <c r="N54" s="445"/>
      <c r="O54" s="451"/>
      <c r="P54" s="452"/>
      <c r="Q54" s="453">
        <f t="shared" si="59"/>
        <v>0</v>
      </c>
      <c r="S54" s="445"/>
      <c r="T54" s="451"/>
      <c r="U54" s="452"/>
      <c r="V54" s="453">
        <f t="shared" si="60"/>
        <v>0</v>
      </c>
      <c r="X54" s="445"/>
      <c r="Y54" s="451"/>
      <c r="Z54" s="452"/>
      <c r="AA54" s="453">
        <f t="shared" si="61"/>
        <v>0</v>
      </c>
      <c r="AC54" s="445"/>
      <c r="AD54" s="451"/>
      <c r="AE54" s="452"/>
      <c r="AF54" s="453">
        <f t="shared" si="62"/>
        <v>0</v>
      </c>
      <c r="AH54" s="445"/>
      <c r="AI54" s="451"/>
      <c r="AJ54" s="452"/>
      <c r="AK54" s="453">
        <f t="shared" si="57"/>
        <v>0</v>
      </c>
      <c r="AM54" s="445"/>
      <c r="AN54" s="451"/>
      <c r="AO54" s="452"/>
      <c r="AP54" s="453">
        <f t="shared" si="63"/>
        <v>0</v>
      </c>
      <c r="AR54" s="507"/>
      <c r="AS54" s="507"/>
      <c r="AT54" s="507"/>
      <c r="AU54" s="507"/>
      <c r="AV54" s="507"/>
      <c r="AW54" s="507"/>
      <c r="AX54" s="507"/>
      <c r="AY54" s="507"/>
      <c r="AZ54" s="507"/>
      <c r="BA54" s="507"/>
      <c r="BB54" s="507"/>
      <c r="BC54" s="507"/>
      <c r="BD54" s="396"/>
    </row>
    <row r="55" spans="2:56" x14ac:dyDescent="0.3">
      <c r="D55" s="445"/>
      <c r="E55" s="451">
        <v>1.4999999999999999E-2</v>
      </c>
      <c r="F55" s="452">
        <v>77.66</v>
      </c>
      <c r="G55" s="453">
        <f t="shared" si="56"/>
        <v>0</v>
      </c>
      <c r="I55" s="445"/>
      <c r="J55" s="451"/>
      <c r="K55" s="452"/>
      <c r="L55" s="453">
        <f>IF(K55&lt;L$45,J55-((J55*K55)/L$45),0)</f>
        <v>0</v>
      </c>
      <c r="N55" s="445"/>
      <c r="O55" s="451"/>
      <c r="P55" s="452"/>
      <c r="Q55" s="453">
        <f>IF(P55&lt;Q$45,O55-((O55*P55)/Q$45),0)</f>
        <v>0</v>
      </c>
      <c r="S55" s="445"/>
      <c r="T55" s="451"/>
      <c r="U55" s="452"/>
      <c r="V55" s="453">
        <f>IF(U55&lt;V$45,T55-((T55*U55)/V$45),0)</f>
        <v>0</v>
      </c>
      <c r="X55" s="445"/>
      <c r="Y55" s="451"/>
      <c r="Z55" s="452"/>
      <c r="AA55" s="453">
        <f>IF(Z55&lt;AA$45,Y55-((Y55*Z55)/AA$45),0)</f>
        <v>0</v>
      </c>
      <c r="AC55" s="445"/>
      <c r="AD55" s="451"/>
      <c r="AE55" s="452"/>
      <c r="AF55" s="453">
        <f t="shared" si="62"/>
        <v>0</v>
      </c>
      <c r="AH55" s="445"/>
      <c r="AI55" s="451"/>
      <c r="AJ55" s="452"/>
      <c r="AK55" s="453">
        <f t="shared" si="57"/>
        <v>0</v>
      </c>
      <c r="AM55" s="445"/>
      <c r="AN55" s="451"/>
      <c r="AO55" s="452"/>
      <c r="AP55" s="453">
        <f t="shared" si="63"/>
        <v>0</v>
      </c>
      <c r="AR55" s="507"/>
      <c r="AS55" s="396"/>
      <c r="AT55" s="396"/>
      <c r="AU55" s="396"/>
      <c r="AV55" s="396"/>
      <c r="AW55" s="396"/>
      <c r="AX55" s="396"/>
      <c r="AY55" s="396"/>
      <c r="AZ55" s="396"/>
      <c r="BA55" s="396"/>
      <c r="BB55" s="396"/>
      <c r="BC55" s="507"/>
      <c r="BD55" s="396"/>
    </row>
    <row r="56" spans="2:56" x14ac:dyDescent="0.3">
      <c r="D56" s="445"/>
      <c r="E56" s="451">
        <v>0.316</v>
      </c>
      <c r="F56" s="452">
        <v>82.38</v>
      </c>
      <c r="G56" s="453">
        <f t="shared" si="56"/>
        <v>0</v>
      </c>
      <c r="I56" s="445"/>
      <c r="J56" s="451"/>
      <c r="K56" s="452"/>
      <c r="L56" s="453">
        <f t="shared" ref="L56:L57" si="64">IF(K56&lt;L$45,J56-((J56*K56)/L$45),0)</f>
        <v>0</v>
      </c>
      <c r="N56" s="445"/>
      <c r="O56" s="451"/>
      <c r="P56" s="452"/>
      <c r="Q56" s="453">
        <f t="shared" ref="Q56:Q57" si="65">IF(P56&lt;Q$45,O56-((O56*P56)/Q$45),0)</f>
        <v>0</v>
      </c>
      <c r="S56" s="445"/>
      <c r="T56" s="451"/>
      <c r="U56" s="452"/>
      <c r="V56" s="453">
        <f t="shared" ref="V56:V57" si="66">IF(U56&lt;V$45,T56-((T56*U56)/V$45),0)</f>
        <v>0</v>
      </c>
      <c r="X56" s="445"/>
      <c r="Y56" s="451"/>
      <c r="Z56" s="452"/>
      <c r="AA56" s="453">
        <f t="shared" si="61"/>
        <v>0</v>
      </c>
      <c r="AC56" s="445"/>
      <c r="AD56" s="451"/>
      <c r="AE56" s="452"/>
      <c r="AF56" s="453">
        <f t="shared" si="62"/>
        <v>0</v>
      </c>
      <c r="AH56" s="445"/>
      <c r="AI56" s="451"/>
      <c r="AJ56" s="452"/>
      <c r="AK56" s="453">
        <f t="shared" si="57"/>
        <v>0</v>
      </c>
      <c r="AM56" s="445"/>
      <c r="AN56" s="451"/>
      <c r="AO56" s="452"/>
      <c r="AP56" s="453">
        <f t="shared" si="63"/>
        <v>0</v>
      </c>
      <c r="AR56" s="396"/>
      <c r="AS56" s="396"/>
      <c r="AT56" s="396"/>
      <c r="AU56" s="396"/>
      <c r="AV56" s="396"/>
      <c r="AW56" s="396"/>
      <c r="AX56" s="396"/>
      <c r="AY56" s="396"/>
      <c r="AZ56" s="396"/>
      <c r="BA56" s="396"/>
      <c r="BB56" s="396"/>
      <c r="BC56" s="507"/>
      <c r="BD56" s="396"/>
    </row>
    <row r="57" spans="2:56" x14ac:dyDescent="0.3">
      <c r="D57" s="445"/>
      <c r="E57" s="451"/>
      <c r="F57" s="452"/>
      <c r="G57" s="453">
        <f t="shared" si="56"/>
        <v>0</v>
      </c>
      <c r="I57" s="445"/>
      <c r="J57" s="451"/>
      <c r="K57" s="452"/>
      <c r="L57" s="453">
        <f t="shared" si="64"/>
        <v>0</v>
      </c>
      <c r="N57" s="445"/>
      <c r="O57" s="451"/>
      <c r="P57" s="452"/>
      <c r="Q57" s="453">
        <f t="shared" si="65"/>
        <v>0</v>
      </c>
      <c r="S57" s="445"/>
      <c r="T57" s="451"/>
      <c r="U57" s="452"/>
      <c r="V57" s="453">
        <f t="shared" si="66"/>
        <v>0</v>
      </c>
      <c r="X57" s="445"/>
      <c r="Y57" s="451"/>
      <c r="Z57" s="452"/>
      <c r="AA57" s="453">
        <f t="shared" si="61"/>
        <v>0</v>
      </c>
      <c r="AC57" s="445"/>
      <c r="AD57" s="451"/>
      <c r="AE57" s="452"/>
      <c r="AF57" s="453">
        <f t="shared" si="62"/>
        <v>0</v>
      </c>
      <c r="AH57" s="445"/>
      <c r="AI57" s="451"/>
      <c r="AJ57" s="452"/>
      <c r="AK57" s="453">
        <f t="shared" si="57"/>
        <v>0</v>
      </c>
      <c r="AM57" s="445"/>
      <c r="AN57" s="451"/>
      <c r="AO57" s="452"/>
      <c r="AP57" s="453">
        <f t="shared" si="63"/>
        <v>0</v>
      </c>
      <c r="AR57" s="288"/>
      <c r="AS57" s="507"/>
      <c r="AT57" s="507"/>
      <c r="AU57" s="507"/>
      <c r="AV57" s="507"/>
      <c r="AW57" s="507"/>
      <c r="AX57" s="507"/>
      <c r="AY57" s="507"/>
      <c r="AZ57" s="507"/>
      <c r="BA57" s="507"/>
      <c r="BB57" s="507"/>
      <c r="BC57" s="507"/>
      <c r="BD57" s="396"/>
    </row>
    <row r="58" spans="2:56" x14ac:dyDescent="0.3">
      <c r="D58" s="455"/>
      <c r="E58" s="456"/>
      <c r="F58" s="457"/>
      <c r="G58" s="458"/>
      <c r="I58" s="455"/>
      <c r="J58" s="456"/>
      <c r="K58" s="457"/>
      <c r="L58" s="458"/>
      <c r="N58" s="455"/>
      <c r="O58" s="456"/>
      <c r="P58" s="457"/>
      <c r="Q58" s="458"/>
      <c r="S58" s="455"/>
      <c r="T58" s="456"/>
      <c r="U58" s="457"/>
      <c r="V58" s="458"/>
      <c r="X58" s="455"/>
      <c r="Y58" s="456"/>
      <c r="Z58" s="457"/>
      <c r="AA58" s="458"/>
      <c r="AC58" s="455"/>
      <c r="AD58" s="456"/>
      <c r="AE58" s="457"/>
      <c r="AF58" s="458"/>
      <c r="AH58" s="455"/>
      <c r="AI58" s="456"/>
      <c r="AJ58" s="457"/>
      <c r="AK58" s="458"/>
      <c r="AM58" s="455"/>
      <c r="AN58" s="456"/>
      <c r="AO58" s="457"/>
      <c r="AP58" s="458"/>
      <c r="AR58" s="507"/>
      <c r="AS58" s="507"/>
      <c r="AT58" s="507"/>
      <c r="AU58" s="507"/>
      <c r="AV58" s="507"/>
      <c r="AW58" s="507"/>
      <c r="AX58" s="507"/>
      <c r="AY58" s="507"/>
      <c r="AZ58" s="507"/>
      <c r="BA58" s="507"/>
      <c r="BB58" s="507"/>
      <c r="BC58" s="507"/>
      <c r="BD58" s="396"/>
    </row>
    <row r="59" spans="2:56" x14ac:dyDescent="0.3">
      <c r="B59" s="393" t="s">
        <v>310</v>
      </c>
      <c r="D59" s="448" t="s">
        <v>311</v>
      </c>
      <c r="E59" s="449" t="s">
        <v>312</v>
      </c>
      <c r="F59" s="449" t="s">
        <v>313</v>
      </c>
      <c r="G59" s="450" t="s">
        <v>307</v>
      </c>
      <c r="I59" s="448" t="s">
        <v>311</v>
      </c>
      <c r="J59" s="449" t="s">
        <v>312</v>
      </c>
      <c r="K59" s="449" t="s">
        <v>313</v>
      </c>
      <c r="L59" s="450" t="s">
        <v>307</v>
      </c>
      <c r="N59" s="448" t="s">
        <v>311</v>
      </c>
      <c r="O59" s="449" t="s">
        <v>312</v>
      </c>
      <c r="P59" s="449" t="s">
        <v>313</v>
      </c>
      <c r="Q59" s="450" t="s">
        <v>307</v>
      </c>
      <c r="S59" s="448" t="s">
        <v>311</v>
      </c>
      <c r="T59" s="449" t="s">
        <v>312</v>
      </c>
      <c r="U59" s="449" t="s">
        <v>313</v>
      </c>
      <c r="V59" s="450" t="s">
        <v>307</v>
      </c>
      <c r="X59" s="448" t="s">
        <v>311</v>
      </c>
      <c r="Y59" s="449" t="s">
        <v>312</v>
      </c>
      <c r="Z59" s="449" t="s">
        <v>313</v>
      </c>
      <c r="AA59" s="450" t="s">
        <v>307</v>
      </c>
      <c r="AB59" s="459"/>
      <c r="AC59" s="448" t="s">
        <v>311</v>
      </c>
      <c r="AD59" s="449" t="s">
        <v>312</v>
      </c>
      <c r="AE59" s="449" t="s">
        <v>313</v>
      </c>
      <c r="AF59" s="450" t="s">
        <v>307</v>
      </c>
      <c r="AH59" s="448" t="s">
        <v>311</v>
      </c>
      <c r="AI59" s="449" t="s">
        <v>312</v>
      </c>
      <c r="AJ59" s="449" t="s">
        <v>313</v>
      </c>
      <c r="AK59" s="450" t="s">
        <v>307</v>
      </c>
      <c r="AM59" s="448" t="s">
        <v>311</v>
      </c>
      <c r="AN59" s="449" t="s">
        <v>312</v>
      </c>
      <c r="AO59" s="449" t="s">
        <v>313</v>
      </c>
      <c r="AP59" s="450" t="s">
        <v>307</v>
      </c>
      <c r="AR59" s="507"/>
      <c r="AS59" s="507"/>
      <c r="AT59" s="507"/>
      <c r="AU59" s="507"/>
      <c r="AV59" s="507"/>
      <c r="AW59" s="507"/>
      <c r="AX59" s="507"/>
      <c r="AY59" s="507"/>
      <c r="AZ59" s="507"/>
      <c r="BA59" s="507"/>
      <c r="BB59" s="507"/>
      <c r="BC59" s="507"/>
      <c r="BD59" s="396"/>
    </row>
    <row r="60" spans="2:56" x14ac:dyDescent="0.3">
      <c r="D60" s="460"/>
      <c r="E60" s="461"/>
      <c r="F60" s="462"/>
      <c r="G60" s="453">
        <f>IFERROR(IF(F60&gt;G$45,0,(+E60/F60)*D60/E60),0)</f>
        <v>0</v>
      </c>
      <c r="I60" s="460"/>
      <c r="J60" s="461"/>
      <c r="K60" s="462"/>
      <c r="L60" s="453">
        <f>IFERROR(IF(K60&gt;L$45,0,(+J60/K60)*I60/J60),0)</f>
        <v>0</v>
      </c>
      <c r="N60" s="460">
        <v>345</v>
      </c>
      <c r="O60" s="461">
        <v>1000</v>
      </c>
      <c r="P60" s="462">
        <v>46.38</v>
      </c>
      <c r="Q60" s="453">
        <f>IFERROR(IF(P60&gt;Q$45,0,(+Q$45*(O60/P60)*(N60/O60)-N60)/Q$45),0)</f>
        <v>4.1071490138645084</v>
      </c>
      <c r="S60" s="460">
        <v>250</v>
      </c>
      <c r="T60" s="461">
        <v>1000</v>
      </c>
      <c r="U60" s="462">
        <v>47.69</v>
      </c>
      <c r="V60" s="453">
        <f>IFERROR(IF(U60&gt;V$45,0,(+V$45*(T60/U60)*(S60/T60)-S60)/V$45),0)</f>
        <v>2.8947712978085192</v>
      </c>
      <c r="X60" s="463">
        <f>450+350</f>
        <v>800</v>
      </c>
      <c r="Y60" s="461">
        <v>1000</v>
      </c>
      <c r="Z60" s="462">
        <v>82.43</v>
      </c>
      <c r="AA60" s="453">
        <f>IFERROR(IF(Z60&gt;AA$45,0,(+AA$45*(Y60/Z60)*(X60/Y60)-X60)/AA$45),0)</f>
        <v>0</v>
      </c>
      <c r="AC60" s="460">
        <f>289.699+85.301+309.68+65.32</f>
        <v>750</v>
      </c>
      <c r="AD60" s="461">
        <v>1000</v>
      </c>
      <c r="AE60" s="462">
        <v>94.15</v>
      </c>
      <c r="AF60" s="453">
        <f>IFERROR(IF(AE60&gt;AF$45,0,(+AF$45*(AD60/AE60)*(AC60/AD60)-AC60*0.5)/AF$45),0)</f>
        <v>0</v>
      </c>
      <c r="AH60" s="460">
        <v>275</v>
      </c>
      <c r="AI60" s="461">
        <v>1000</v>
      </c>
      <c r="AJ60" s="462">
        <v>27.93</v>
      </c>
      <c r="AK60" s="453">
        <f>IFERROR(IF(AJ60&gt;AK$45,0,(+AK$45*(AI60/AJ60)*(AH60/AI60)-AH60)/AK$45),0)</f>
        <v>0</v>
      </c>
      <c r="AM60" s="460"/>
      <c r="AN60" s="461"/>
      <c r="AO60" s="462"/>
      <c r="AP60" s="453">
        <f>IFERROR(IF(AO60&gt;AP$45,0,(+AN60/AO60)*AM60/AN60),0)</f>
        <v>0</v>
      </c>
      <c r="AR60" s="288"/>
      <c r="AS60" s="507"/>
      <c r="AT60" s="507"/>
      <c r="AU60" s="507"/>
      <c r="AV60" s="507"/>
      <c r="AW60" s="507"/>
      <c r="AX60" s="507"/>
      <c r="AY60" s="507"/>
      <c r="AZ60" s="507"/>
      <c r="BA60" s="507"/>
      <c r="BB60" s="507"/>
      <c r="BC60" s="507"/>
      <c r="BD60" s="396"/>
    </row>
    <row r="61" spans="2:56" x14ac:dyDescent="0.3">
      <c r="D61" s="460"/>
      <c r="E61" s="461"/>
      <c r="F61" s="462"/>
      <c r="G61" s="453">
        <f>IFERROR(IF(F61&gt;G$45,0,(+E61/F61)*D61/E61),0)</f>
        <v>0</v>
      </c>
      <c r="I61" s="460"/>
      <c r="J61" s="461"/>
      <c r="K61" s="462"/>
      <c r="L61" s="453">
        <f>IFERROR(IF(K61&gt;L$45,0,(+J61/K61)*I61/J61),0)</f>
        <v>0</v>
      </c>
      <c r="N61" s="460">
        <v>690</v>
      </c>
      <c r="O61" s="461">
        <v>1000</v>
      </c>
      <c r="P61" s="462">
        <v>65.81</v>
      </c>
      <c r="Q61" s="453">
        <f>IFERROR(IF(P61&gt;Q$45,0,(+Q$45*(O61/P61)*(N61/O61)-N61)/Q$45),0)</f>
        <v>3.8219245931306496</v>
      </c>
      <c r="S61" s="460"/>
      <c r="T61" s="461"/>
      <c r="U61" s="462"/>
      <c r="V61" s="453">
        <f>IFERROR(IF(U61&gt;V$45,0,(+T61/U61)*S61/T61),0)</f>
        <v>0</v>
      </c>
      <c r="X61" s="460">
        <v>228.81800000000001</v>
      </c>
      <c r="Y61" s="461">
        <v>1000</v>
      </c>
      <c r="Z61" s="462">
        <v>29.18</v>
      </c>
      <c r="AA61" s="453">
        <f>IFERROR(IF(Z61&gt;AA$45,0,(+Y61/Z61)*X61/Y61),0)</f>
        <v>7.8416038382453737</v>
      </c>
      <c r="AC61" s="460">
        <v>62.04</v>
      </c>
      <c r="AD61" s="461">
        <v>1000</v>
      </c>
      <c r="AE61" s="462">
        <v>20.36</v>
      </c>
      <c r="AF61" s="453">
        <f>IFERROR(IF(AE61&gt;AF$45,0,(+AD61/AE61)*AC61/AD61),0)</f>
        <v>3.0471512770137523</v>
      </c>
      <c r="AH61" s="460"/>
      <c r="AI61" s="461"/>
      <c r="AJ61" s="462"/>
      <c r="AK61" s="453">
        <f t="shared" ref="AK61" si="67">IFERROR(IF(AJ61&gt;AK$45,0,(+AI61/AJ61)*AH61/AI61),0)</f>
        <v>0</v>
      </c>
      <c r="AM61" s="460"/>
      <c r="AN61" s="461"/>
      <c r="AO61" s="462"/>
      <c r="AP61" s="453">
        <f t="shared" ref="AP61" si="68">IFERROR(IF(AO61&gt;AP$45,0,(+AN61/AO61)*AM61/AN61),0)</f>
        <v>0</v>
      </c>
      <c r="AR61" s="507"/>
      <c r="AS61" s="507"/>
      <c r="AT61" s="507"/>
      <c r="AU61" s="507"/>
      <c r="AV61" s="507"/>
      <c r="AW61" s="507"/>
      <c r="AX61" s="507"/>
      <c r="AY61" s="507"/>
      <c r="AZ61" s="507"/>
      <c r="BA61" s="507"/>
      <c r="BB61" s="507"/>
      <c r="BC61" s="507"/>
      <c r="BD61" s="396"/>
    </row>
    <row r="62" spans="2:56" x14ac:dyDescent="0.3">
      <c r="D62" s="455"/>
      <c r="E62" s="464"/>
      <c r="F62" s="465"/>
      <c r="G62" s="466"/>
      <c r="I62" s="455"/>
      <c r="J62" s="464"/>
      <c r="K62" s="465"/>
      <c r="L62" s="466"/>
      <c r="N62" s="455"/>
      <c r="O62" s="464"/>
      <c r="P62" s="465"/>
      <c r="Q62" s="466"/>
      <c r="S62" s="455"/>
      <c r="T62" s="464"/>
      <c r="U62" s="465"/>
      <c r="V62" s="466"/>
      <c r="X62" s="455"/>
      <c r="Y62" s="464"/>
      <c r="Z62" s="465"/>
      <c r="AA62" s="466"/>
      <c r="AC62" s="455"/>
      <c r="AD62" s="464"/>
      <c r="AE62" s="465"/>
      <c r="AF62" s="466"/>
      <c r="AH62" s="455"/>
      <c r="AI62" s="464"/>
      <c r="AJ62" s="465"/>
      <c r="AK62" s="466"/>
      <c r="AM62" s="455"/>
      <c r="AN62" s="464"/>
      <c r="AO62" s="465"/>
      <c r="AP62" s="466"/>
      <c r="AR62" s="507"/>
      <c r="AS62" s="507"/>
      <c r="AT62" s="507"/>
      <c r="AU62" s="507"/>
      <c r="AV62" s="507"/>
      <c r="AW62" s="507"/>
      <c r="AX62" s="507"/>
      <c r="AY62" s="507"/>
      <c r="AZ62" s="507"/>
      <c r="BA62" s="507"/>
      <c r="BB62" s="507"/>
      <c r="BC62" s="507"/>
      <c r="BD62" s="396"/>
    </row>
    <row r="63" spans="2:56" x14ac:dyDescent="0.3">
      <c r="D63" s="455"/>
      <c r="E63" s="467"/>
      <c r="F63" s="448" t="s">
        <v>314</v>
      </c>
      <c r="G63" s="450" t="s">
        <v>307</v>
      </c>
      <c r="I63" s="455"/>
      <c r="J63" s="467"/>
      <c r="K63" s="448" t="s">
        <v>314</v>
      </c>
      <c r="L63" s="450" t="s">
        <v>307</v>
      </c>
      <c r="N63" s="455"/>
      <c r="O63" s="467"/>
      <c r="P63" s="448" t="s">
        <v>314</v>
      </c>
      <c r="Q63" s="450" t="s">
        <v>307</v>
      </c>
      <c r="S63" s="455"/>
      <c r="T63" s="467"/>
      <c r="U63" s="448" t="s">
        <v>314</v>
      </c>
      <c r="V63" s="450" t="s">
        <v>307</v>
      </c>
      <c r="X63" s="455"/>
      <c r="Y63" s="467"/>
      <c r="Z63" s="448" t="s">
        <v>314</v>
      </c>
      <c r="AA63" s="450" t="s">
        <v>307</v>
      </c>
      <c r="AC63" s="455"/>
      <c r="AD63" s="467"/>
      <c r="AE63" s="448" t="s">
        <v>314</v>
      </c>
      <c r="AF63" s="450" t="s">
        <v>307</v>
      </c>
      <c r="AH63" s="455"/>
      <c r="AI63" s="467"/>
      <c r="AJ63" s="448" t="s">
        <v>314</v>
      </c>
      <c r="AK63" s="450" t="s">
        <v>307</v>
      </c>
      <c r="AM63" s="455"/>
      <c r="AN63" s="467"/>
      <c r="AO63" s="448" t="s">
        <v>314</v>
      </c>
      <c r="AP63" s="450" t="s">
        <v>307</v>
      </c>
      <c r="AR63" s="288"/>
      <c r="AS63" s="507"/>
      <c r="AT63" s="507"/>
      <c r="AU63" s="507"/>
      <c r="AV63" s="507"/>
      <c r="AW63" s="507"/>
      <c r="AX63" s="507"/>
      <c r="AY63" s="507"/>
      <c r="AZ63" s="507"/>
      <c r="BA63" s="507"/>
      <c r="BB63" s="507"/>
      <c r="BC63" s="507"/>
      <c r="BD63" s="396"/>
    </row>
    <row r="64" spans="2:56" x14ac:dyDescent="0.3">
      <c r="B64" s="393" t="s">
        <v>315</v>
      </c>
      <c r="D64" s="445"/>
      <c r="E64" s="467"/>
      <c r="F64" s="451">
        <v>2.0459999999999998</v>
      </c>
      <c r="G64" s="453">
        <f>+F64</f>
        <v>2.0459999999999998</v>
      </c>
      <c r="I64" s="445"/>
      <c r="J64" s="467"/>
      <c r="K64" s="451">
        <v>1.7889999999999999</v>
      </c>
      <c r="L64" s="453">
        <f>+K64</f>
        <v>1.7889999999999999</v>
      </c>
      <c r="N64" s="445"/>
      <c r="O64" s="467"/>
      <c r="P64" s="451">
        <v>1.422633</v>
      </c>
      <c r="Q64" s="453">
        <f>+P64</f>
        <v>1.422633</v>
      </c>
      <c r="S64" s="445"/>
      <c r="T64" s="467"/>
      <c r="U64" s="468"/>
      <c r="V64" s="453">
        <f>+U64</f>
        <v>0</v>
      </c>
      <c r="X64" s="445"/>
      <c r="Y64" s="467"/>
      <c r="Z64" s="468">
        <v>1.171046</v>
      </c>
      <c r="AA64" s="453">
        <f>+Z64</f>
        <v>1.171046</v>
      </c>
      <c r="AC64" s="445"/>
      <c r="AD64" s="467"/>
      <c r="AE64" s="469">
        <f>1.03952+0.86</f>
        <v>1.8995199999999999</v>
      </c>
      <c r="AF64" s="453">
        <f>+AE64</f>
        <v>1.8995199999999999</v>
      </c>
      <c r="AH64" s="445"/>
      <c r="AI64" s="467"/>
      <c r="AJ64" s="451">
        <v>0.60257899999999998</v>
      </c>
      <c r="AK64" s="453">
        <f>+AJ64</f>
        <v>0.60257899999999998</v>
      </c>
      <c r="AM64" s="445"/>
      <c r="AN64" s="467"/>
      <c r="AO64" s="451">
        <v>1.1639999999999999</v>
      </c>
      <c r="AP64" s="453">
        <f>+AO64</f>
        <v>1.1639999999999999</v>
      </c>
      <c r="AR64" s="507"/>
      <c r="AS64" s="507"/>
      <c r="AT64" s="507"/>
      <c r="AU64" s="507"/>
      <c r="AV64" s="507"/>
      <c r="AW64" s="507"/>
      <c r="AX64" s="507"/>
      <c r="AY64" s="507"/>
      <c r="AZ64" s="507"/>
      <c r="BA64" s="507"/>
      <c r="BB64" s="507"/>
      <c r="BC64" s="507"/>
      <c r="BD64" s="396"/>
    </row>
    <row r="65" spans="2:56" x14ac:dyDescent="0.3">
      <c r="B65" s="393"/>
      <c r="D65" s="445"/>
      <c r="E65" s="470"/>
      <c r="F65" s="464"/>
      <c r="G65" s="471"/>
      <c r="I65" s="445"/>
      <c r="J65" s="470"/>
      <c r="K65" s="464"/>
      <c r="L65" s="471"/>
      <c r="N65" s="445"/>
      <c r="O65" s="470"/>
      <c r="P65" s="464"/>
      <c r="Q65" s="471"/>
      <c r="S65" s="445"/>
      <c r="T65" s="470"/>
      <c r="U65" s="464"/>
      <c r="V65" s="471"/>
      <c r="X65" s="445"/>
      <c r="Y65" s="470"/>
      <c r="Z65" s="464"/>
      <c r="AA65" s="471"/>
      <c r="AC65" s="445"/>
      <c r="AD65" s="470"/>
      <c r="AE65" s="464"/>
      <c r="AF65" s="471"/>
      <c r="AH65" s="445"/>
      <c r="AI65" s="470"/>
      <c r="AJ65" s="464"/>
      <c r="AK65" s="471"/>
      <c r="AM65" s="445"/>
      <c r="AN65" s="470"/>
      <c r="AO65" s="464"/>
      <c r="AP65" s="471"/>
      <c r="AR65" s="507"/>
      <c r="AS65" s="507"/>
      <c r="AT65" s="507"/>
      <c r="AU65" s="507"/>
      <c r="AV65" s="507"/>
      <c r="AW65" s="507"/>
      <c r="AX65" s="507"/>
      <c r="AY65" s="507"/>
      <c r="AZ65" s="507"/>
      <c r="BA65" s="507"/>
      <c r="BB65" s="507"/>
      <c r="BC65" s="507"/>
      <c r="BD65" s="396"/>
    </row>
    <row r="66" spans="2:56" x14ac:dyDescent="0.3">
      <c r="B66" s="393" t="s">
        <v>316</v>
      </c>
      <c r="C66" s="393"/>
      <c r="D66" s="472"/>
      <c r="E66" s="473"/>
      <c r="F66" s="473"/>
      <c r="G66" s="474">
        <f>+G64+SUM(G49:G57)+SUM(G60:G61)+G46</f>
        <v>241.18998373328208</v>
      </c>
      <c r="I66" s="472"/>
      <c r="J66" s="473"/>
      <c r="K66" s="473"/>
      <c r="L66" s="474">
        <f>+L64+SUM(L49:L57)+SUM(L60:L61)+L46</f>
        <v>203.71924248524891</v>
      </c>
      <c r="N66" s="472"/>
      <c r="O66" s="473"/>
      <c r="P66" s="473"/>
      <c r="Q66" s="474">
        <f>+Q46+SUM(Q49:Q57)+SUM(Q60:Q61)+Q64</f>
        <v>75.067718513522792</v>
      </c>
      <c r="S66" s="472"/>
      <c r="T66" s="473"/>
      <c r="U66" s="473"/>
      <c r="V66" s="474">
        <f>+V64+SUM(V49:V57)+SUM(V60:V61)+V46</f>
        <v>55.033545326728706</v>
      </c>
      <c r="X66" s="472"/>
      <c r="Y66" s="473"/>
      <c r="Z66" s="473"/>
      <c r="AA66" s="474">
        <f>+AA64+SUM(AA49:AA57)+SUM(AA60:AA61)+AA46</f>
        <v>86.93946673686699</v>
      </c>
      <c r="AC66" s="472"/>
      <c r="AD66" s="473"/>
      <c r="AE66" s="473"/>
      <c r="AF66" s="474">
        <f>+AF64+SUM(AF49:AF57)+SUM(AF60:AF61)+AF46</f>
        <v>155.49245920765946</v>
      </c>
      <c r="AH66" s="472"/>
      <c r="AI66" s="473"/>
      <c r="AJ66" s="473"/>
      <c r="AK66" s="474">
        <f>+AK64+SUM(AK49:AK57)+SUM(AK60:AK61)+AK46</f>
        <v>66.667282220870931</v>
      </c>
      <c r="AM66" s="472"/>
      <c r="AN66" s="473"/>
      <c r="AO66" s="473"/>
      <c r="AP66" s="474">
        <f>+Basic_Shares+SUM(AP49:AP57)+SUM(AP60:AP61)+AP64</f>
        <v>63.313777649671685</v>
      </c>
      <c r="AR66" s="288"/>
      <c r="AS66" s="396"/>
      <c r="AT66" s="396"/>
      <c r="AU66" s="396"/>
      <c r="AV66" s="396"/>
      <c r="AW66" s="396"/>
      <c r="AX66" s="396"/>
      <c r="AY66" s="396"/>
      <c r="AZ66" s="396"/>
      <c r="BA66" s="396"/>
      <c r="BB66" s="396"/>
      <c r="BC66" s="507"/>
      <c r="BD66" s="396"/>
    </row>
    <row r="67" spans="2:56" x14ac:dyDescent="0.3">
      <c r="D67" s="475"/>
      <c r="G67" s="476"/>
      <c r="I67" s="475"/>
      <c r="L67" s="476"/>
      <c r="N67" s="475"/>
      <c r="Q67" s="476"/>
      <c r="S67" s="475"/>
      <c r="V67" s="476"/>
      <c r="X67" s="475"/>
      <c r="AA67" s="476"/>
      <c r="AC67" s="475"/>
      <c r="AF67" s="476"/>
      <c r="AH67" s="475"/>
      <c r="AK67" s="476"/>
      <c r="AM67" s="475"/>
      <c r="AP67" s="476"/>
      <c r="AR67" s="396"/>
      <c r="AS67" s="396"/>
      <c r="AT67" s="396"/>
      <c r="AU67" s="396"/>
      <c r="AV67" s="396"/>
      <c r="AW67" s="396"/>
      <c r="AX67" s="396"/>
      <c r="AY67" s="396"/>
      <c r="AZ67" s="396"/>
      <c r="BA67" s="396"/>
      <c r="BB67" s="396"/>
      <c r="BC67" s="396"/>
      <c r="BD67" s="396"/>
    </row>
    <row r="68" spans="2:56" x14ac:dyDescent="0.3">
      <c r="D68" s="416" t="s">
        <v>317</v>
      </c>
      <c r="E68" s="373"/>
      <c r="F68" s="373"/>
      <c r="G68" s="374"/>
      <c r="I68" s="416" t="s">
        <v>317</v>
      </c>
      <c r="J68" s="373"/>
      <c r="K68" s="373"/>
      <c r="L68" s="374"/>
      <c r="N68" s="416" t="s">
        <v>317</v>
      </c>
      <c r="O68" s="373"/>
      <c r="P68" s="373"/>
      <c r="Q68" s="374"/>
      <c r="S68" s="416" t="s">
        <v>317</v>
      </c>
      <c r="T68" s="373"/>
      <c r="U68" s="373"/>
      <c r="V68" s="374"/>
      <c r="X68" s="416" t="s">
        <v>317</v>
      </c>
      <c r="Y68" s="373"/>
      <c r="Z68" s="373"/>
      <c r="AA68" s="374"/>
      <c r="AC68" s="416" t="s">
        <v>317</v>
      </c>
      <c r="AD68" s="373"/>
      <c r="AE68" s="373"/>
      <c r="AF68" s="374"/>
      <c r="AH68" s="416" t="s">
        <v>317</v>
      </c>
      <c r="AI68" s="373"/>
      <c r="AJ68" s="373"/>
      <c r="AK68" s="374"/>
      <c r="AM68" s="416" t="s">
        <v>317</v>
      </c>
      <c r="AN68" s="373"/>
      <c r="AO68" s="373"/>
      <c r="AP68" s="374"/>
      <c r="AR68" s="396"/>
      <c r="AS68" s="396"/>
      <c r="AT68" s="396"/>
      <c r="AU68" s="396"/>
      <c r="AV68" s="396"/>
      <c r="AW68" s="396"/>
      <c r="AX68" s="396"/>
      <c r="AY68" s="396"/>
      <c r="AZ68" s="396"/>
      <c r="BA68" s="396"/>
      <c r="BB68" s="396"/>
      <c r="BC68" s="396"/>
      <c r="BD68" s="396"/>
    </row>
    <row r="69" spans="2:56" x14ac:dyDescent="0.3">
      <c r="D69" s="431"/>
      <c r="E69" s="432"/>
      <c r="F69" s="432"/>
      <c r="G69" s="436"/>
      <c r="I69" s="431"/>
      <c r="J69" s="432"/>
      <c r="K69" s="432"/>
      <c r="L69" s="436"/>
      <c r="N69" s="431"/>
      <c r="O69" s="432"/>
      <c r="P69" s="432"/>
      <c r="Q69" s="436"/>
      <c r="S69" s="431"/>
      <c r="T69" s="432"/>
      <c r="U69" s="432"/>
      <c r="V69" s="436"/>
      <c r="X69" s="431"/>
      <c r="Y69" s="432"/>
      <c r="Z69" s="432"/>
      <c r="AA69" s="436"/>
      <c r="AC69" s="431"/>
      <c r="AD69" s="432"/>
      <c r="AE69" s="432"/>
      <c r="AF69" s="436"/>
      <c r="AH69" s="431"/>
      <c r="AI69" s="432"/>
      <c r="AJ69" s="432"/>
      <c r="AK69" s="436"/>
      <c r="AM69" s="431"/>
      <c r="AN69" s="432"/>
      <c r="AO69" s="432"/>
      <c r="AP69" s="436"/>
      <c r="AR69" s="288"/>
      <c r="AS69" s="396"/>
      <c r="AT69" s="396"/>
      <c r="AU69" s="396"/>
      <c r="AV69" s="396"/>
      <c r="AW69" s="396"/>
      <c r="AX69" s="396"/>
      <c r="AY69" s="396"/>
      <c r="AZ69" s="396"/>
      <c r="BA69" s="396"/>
      <c r="BB69" s="396"/>
      <c r="BC69" s="396"/>
      <c r="BD69" s="396"/>
    </row>
    <row r="70" spans="2:56" x14ac:dyDescent="0.3">
      <c r="B70" s="279" t="s">
        <v>318</v>
      </c>
      <c r="D70" s="419"/>
      <c r="E70" s="420"/>
      <c r="F70" s="420"/>
      <c r="G70" s="477">
        <f>+G66*G45</f>
        <v>15689.408441849999</v>
      </c>
      <c r="I70" s="419"/>
      <c r="J70" s="420"/>
      <c r="K70" s="420"/>
      <c r="L70" s="477">
        <f>+L66*L45</f>
        <v>31142.560598720003</v>
      </c>
      <c r="N70" s="419"/>
      <c r="O70" s="420"/>
      <c r="P70" s="420"/>
      <c r="Q70" s="477">
        <f>+Q66*Q45</f>
        <v>7774.0129292604206</v>
      </c>
      <c r="S70" s="419"/>
      <c r="T70" s="420"/>
      <c r="U70" s="420"/>
      <c r="V70" s="477">
        <f>+V66*V45</f>
        <v>5861.0725772966071</v>
      </c>
      <c r="X70" s="419"/>
      <c r="Y70" s="420"/>
      <c r="Z70" s="420"/>
      <c r="AA70" s="477">
        <f>+AA66*AA45</f>
        <v>5865.8058207364156</v>
      </c>
      <c r="AC70" s="419"/>
      <c r="AD70" s="420"/>
      <c r="AE70" s="420"/>
      <c r="AF70" s="477">
        <f>+AF66*AF45</f>
        <v>9102.528562016385</v>
      </c>
      <c r="AH70" s="419"/>
      <c r="AI70" s="420"/>
      <c r="AJ70" s="420"/>
      <c r="AK70" s="477">
        <f>+AK66*AK45</f>
        <v>1699.3490238099998</v>
      </c>
      <c r="AM70" s="419"/>
      <c r="AN70" s="420"/>
      <c r="AO70" s="420"/>
      <c r="AP70" s="477">
        <f>+AP66*AP45</f>
        <v>8195.9685167499993</v>
      </c>
      <c r="AR70" s="507"/>
      <c r="AS70" s="396"/>
      <c r="AT70" s="396"/>
      <c r="AU70" s="396"/>
      <c r="AV70" s="396"/>
      <c r="AW70" s="396"/>
      <c r="AX70" s="396"/>
      <c r="AY70" s="396"/>
      <c r="AZ70" s="396"/>
      <c r="BA70" s="396"/>
      <c r="BB70" s="396"/>
      <c r="BC70" s="396"/>
      <c r="BD70" s="396"/>
    </row>
    <row r="71" spans="2:56" x14ac:dyDescent="0.3">
      <c r="B71" s="279" t="s">
        <v>319</v>
      </c>
      <c r="D71" s="445"/>
      <c r="E71" s="446"/>
      <c r="F71" s="446"/>
      <c r="G71" s="477">
        <f>+G70+SUM(G25:G34)</f>
        <v>14079.177441849999</v>
      </c>
      <c r="I71" s="445"/>
      <c r="J71" s="446"/>
      <c r="K71" s="446"/>
      <c r="L71" s="477">
        <f>+L70+SUM(L25:L34)</f>
        <v>29696.762598720004</v>
      </c>
      <c r="N71" s="445"/>
      <c r="O71" s="446"/>
      <c r="P71" s="446"/>
      <c r="Q71" s="477">
        <f>+Q70+SUM(Q25:Q34)</f>
        <v>9324.2389292604203</v>
      </c>
      <c r="S71" s="445"/>
      <c r="T71" s="446"/>
      <c r="U71" s="446"/>
      <c r="V71" s="477">
        <f>+V70+SUM(V25:V34)</f>
        <v>4781.3615772966068</v>
      </c>
      <c r="X71" s="445"/>
      <c r="Y71" s="446"/>
      <c r="Z71" s="446"/>
      <c r="AA71" s="477">
        <f>+AA70+SUM(AA25:AA34)</f>
        <v>6038.1498207364157</v>
      </c>
      <c r="AC71" s="445"/>
      <c r="AD71" s="446"/>
      <c r="AE71" s="446"/>
      <c r="AF71" s="477">
        <f>+AF70+SUM(AF25:AF34)</f>
        <v>8768.5895620163847</v>
      </c>
      <c r="AH71" s="445"/>
      <c r="AI71" s="446"/>
      <c r="AJ71" s="446"/>
      <c r="AK71" s="477">
        <f>+AK70+SUM(AK25:AK34)</f>
        <v>1532.6860238099998</v>
      </c>
      <c r="AM71" s="445"/>
      <c r="AN71" s="446"/>
      <c r="AO71" s="446"/>
      <c r="AP71" s="477">
        <f>+AP70+SUM(AP25:AP34)</f>
        <v>9089.4525167499996</v>
      </c>
      <c r="AR71" s="396"/>
      <c r="AS71" s="396"/>
      <c r="AT71" s="396"/>
      <c r="AU71" s="396"/>
      <c r="AV71" s="396"/>
      <c r="AW71" s="396"/>
      <c r="AX71" s="396"/>
      <c r="AY71" s="396"/>
      <c r="AZ71" s="396"/>
      <c r="BA71" s="396"/>
      <c r="BB71" s="396"/>
      <c r="BC71" s="396"/>
      <c r="BD71" s="396"/>
    </row>
    <row r="72" spans="2:56" x14ac:dyDescent="0.3">
      <c r="B72" s="279" t="s">
        <v>320</v>
      </c>
      <c r="D72" s="472"/>
      <c r="E72" s="473"/>
      <c r="F72" s="473"/>
      <c r="G72" s="478">
        <v>0.35</v>
      </c>
      <c r="I72" s="472"/>
      <c r="J72" s="473"/>
      <c r="K72" s="473"/>
      <c r="L72" s="478">
        <v>0.64</v>
      </c>
      <c r="N72" s="472"/>
      <c r="O72" s="473"/>
      <c r="P72" s="473"/>
      <c r="Q72" s="478">
        <v>1.18</v>
      </c>
      <c r="S72" s="472"/>
      <c r="T72" s="473"/>
      <c r="U72" s="473"/>
      <c r="V72" s="478">
        <v>1.44</v>
      </c>
      <c r="X72" s="472"/>
      <c r="Y72" s="473"/>
      <c r="Z72" s="473"/>
      <c r="AA72" s="478">
        <v>0.65</v>
      </c>
      <c r="AC72" s="472"/>
      <c r="AD72" s="473"/>
      <c r="AE72" s="473"/>
      <c r="AF72" s="478">
        <v>0.92</v>
      </c>
      <c r="AH72" s="472"/>
      <c r="AI72" s="473"/>
      <c r="AJ72" s="473"/>
      <c r="AK72" s="478">
        <v>0.79</v>
      </c>
      <c r="AM72" s="472"/>
      <c r="AN72" s="473"/>
      <c r="AO72" s="473"/>
      <c r="AP72" s="478">
        <v>1.05</v>
      </c>
      <c r="AR72" s="288"/>
      <c r="AS72" s="396"/>
      <c r="AT72" s="396"/>
      <c r="AU72" s="396"/>
      <c r="AV72" s="396"/>
      <c r="AW72" s="396"/>
      <c r="AX72" s="396"/>
      <c r="AY72" s="396"/>
      <c r="AZ72" s="396"/>
      <c r="BA72" s="396"/>
      <c r="BB72" s="396"/>
      <c r="BC72" s="396"/>
      <c r="BD72" s="396"/>
    </row>
    <row r="73" spans="2:56" x14ac:dyDescent="0.3">
      <c r="D73" s="412"/>
      <c r="E73" s="282"/>
      <c r="F73" s="282"/>
      <c r="G73" s="413"/>
      <c r="I73" s="412"/>
      <c r="J73" s="282"/>
      <c r="K73" s="282"/>
      <c r="L73" s="413"/>
      <c r="N73" s="412"/>
      <c r="O73" s="282"/>
      <c r="P73" s="282"/>
      <c r="Q73" s="413"/>
      <c r="S73" s="412"/>
      <c r="T73" s="282"/>
      <c r="U73" s="282"/>
      <c r="V73" s="413"/>
      <c r="X73" s="412"/>
      <c r="Y73" s="282"/>
      <c r="Z73" s="282"/>
      <c r="AA73" s="413"/>
      <c r="AC73" s="412"/>
      <c r="AD73" s="282"/>
      <c r="AE73" s="282"/>
      <c r="AF73" s="413"/>
      <c r="AH73" s="412"/>
      <c r="AI73" s="282"/>
      <c r="AJ73" s="282"/>
      <c r="AK73" s="413"/>
      <c r="AM73" s="412"/>
      <c r="AN73" s="282"/>
      <c r="AO73" s="282"/>
      <c r="AP73" s="413"/>
    </row>
    <row r="74" spans="2:56" x14ac:dyDescent="0.3">
      <c r="D74" s="416" t="s">
        <v>321</v>
      </c>
      <c r="E74" s="373"/>
      <c r="F74" s="373"/>
      <c r="G74" s="374"/>
      <c r="I74" s="416" t="s">
        <v>321</v>
      </c>
      <c r="J74" s="373"/>
      <c r="K74" s="373"/>
      <c r="L74" s="374"/>
      <c r="N74" s="416" t="s">
        <v>321</v>
      </c>
      <c r="O74" s="373"/>
      <c r="P74" s="373"/>
      <c r="Q74" s="374"/>
      <c r="S74" s="416" t="s">
        <v>321</v>
      </c>
      <c r="T74" s="373"/>
      <c r="U74" s="373"/>
      <c r="V74" s="374"/>
      <c r="X74" s="416" t="s">
        <v>321</v>
      </c>
      <c r="Y74" s="373"/>
      <c r="Z74" s="373"/>
      <c r="AA74" s="374"/>
      <c r="AC74" s="416" t="s">
        <v>321</v>
      </c>
      <c r="AD74" s="373"/>
      <c r="AE74" s="373"/>
      <c r="AF74" s="374"/>
      <c r="AH74" s="416" t="s">
        <v>321</v>
      </c>
      <c r="AI74" s="373"/>
      <c r="AJ74" s="373"/>
      <c r="AK74" s="374"/>
      <c r="AM74" s="416" t="s">
        <v>321</v>
      </c>
      <c r="AN74" s="373"/>
      <c r="AO74" s="373"/>
      <c r="AP74" s="374"/>
    </row>
    <row r="75" spans="2:56" x14ac:dyDescent="0.3">
      <c r="D75" s="372" t="str">
        <f>G5</f>
        <v>LTM</v>
      </c>
      <c r="E75" s="479">
        <f>D37</f>
        <v>42004</v>
      </c>
      <c r="F75" s="429">
        <f>E37</f>
        <v>42369</v>
      </c>
      <c r="G75" s="480">
        <f>F37</f>
        <v>42735</v>
      </c>
      <c r="I75" s="481" t="str">
        <f>L5</f>
        <v>LTM</v>
      </c>
      <c r="J75" s="429">
        <f>I37</f>
        <v>42004</v>
      </c>
      <c r="K75" s="429">
        <f>J37</f>
        <v>42369</v>
      </c>
      <c r="L75" s="480">
        <f>K37</f>
        <v>42735</v>
      </c>
      <c r="N75" s="481" t="str">
        <f>Q5</f>
        <v>LTM</v>
      </c>
      <c r="O75" s="429">
        <f>N37</f>
        <v>42004</v>
      </c>
      <c r="P75" s="429">
        <f>O37</f>
        <v>42369</v>
      </c>
      <c r="Q75" s="480">
        <f>P37</f>
        <v>42735</v>
      </c>
      <c r="S75" s="481" t="str">
        <f>V5</f>
        <v>LTM</v>
      </c>
      <c r="T75" s="429">
        <f>S37</f>
        <v>42004</v>
      </c>
      <c r="U75" s="429">
        <f>T37</f>
        <v>42369</v>
      </c>
      <c r="V75" s="480">
        <f>U37</f>
        <v>42735</v>
      </c>
      <c r="X75" s="481" t="str">
        <f>AA5</f>
        <v>LTM</v>
      </c>
      <c r="Y75" s="429">
        <f>X37</f>
        <v>42004</v>
      </c>
      <c r="Z75" s="429">
        <f>Y37</f>
        <v>42369</v>
      </c>
      <c r="AA75" s="480">
        <f>Z37</f>
        <v>42735</v>
      </c>
      <c r="AC75" s="481" t="str">
        <f>AF5</f>
        <v>LTM</v>
      </c>
      <c r="AD75" s="429">
        <f>AC37</f>
        <v>42004</v>
      </c>
      <c r="AE75" s="429">
        <f>AD37</f>
        <v>42369</v>
      </c>
      <c r="AF75" s="480">
        <f>AE37</f>
        <v>42735</v>
      </c>
      <c r="AH75" s="481" t="str">
        <f>AK5</f>
        <v>LTM</v>
      </c>
      <c r="AI75" s="429">
        <f>AH37</f>
        <v>42004</v>
      </c>
      <c r="AJ75" s="429">
        <f>AI37</f>
        <v>42369</v>
      </c>
      <c r="AK75" s="480">
        <f>AJ37</f>
        <v>42735</v>
      </c>
      <c r="AM75" s="481" t="str">
        <f>+AP5</f>
        <v>LTM</v>
      </c>
      <c r="AN75" s="429">
        <f>+AM37</f>
        <v>42004</v>
      </c>
      <c r="AO75" s="429">
        <f>+AN37</f>
        <v>42369</v>
      </c>
      <c r="AP75" s="480">
        <f>+AO37</f>
        <v>42735</v>
      </c>
    </row>
    <row r="76" spans="2:56" x14ac:dyDescent="0.3">
      <c r="B76" s="279" t="s">
        <v>322</v>
      </c>
      <c r="D76" s="482">
        <f>IFERROR(IF(OR(+G$71/G6&lt;0,+G$71/G6&gt;=100),"NM",+G$71/G6),"N/A")</f>
        <v>14.050262002648548</v>
      </c>
      <c r="E76" s="483">
        <f>IFERROR(IF(OR(+G$71/D40&lt;0,+G$71/D40&gt;=100),"NM",+G$71/D40),"N/A")</f>
        <v>24.528183696602785</v>
      </c>
      <c r="F76" s="483">
        <f>IFERROR(IF(OR(+G$71/E40&lt;0,+G$71/E40&gt;=100),"NM",+G$71/E40),"N/A")</f>
        <v>11.626075509372418</v>
      </c>
      <c r="G76" s="484">
        <f>IFERROR(IF(OR(+G$71/F40&lt;0,+G$71/F40&gt;=100),"NM",+G$71/F40),"N/A")</f>
        <v>5.4804116161346821</v>
      </c>
      <c r="I76" s="482">
        <f>IFERROR(IF(OR(+L$71/L6&lt;0,+L$71/L6&gt;=100),"NM",+L$71/L6),"N/A")</f>
        <v>16.692755509192981</v>
      </c>
      <c r="J76" s="483">
        <f>IFERROR(IF(OR(+L$71/I40&lt;0,+L$71/I40&gt;=100),"NM",+L$71/I40),"N/A")</f>
        <v>13.679275204380058</v>
      </c>
      <c r="K76" s="483">
        <f>IFERROR(IF(OR(+L$71/J40&lt;0,+L$71/J40&gt;=100),"NM",+L$71/J40),"N/A")</f>
        <v>11.560090450526763</v>
      </c>
      <c r="L76" s="484">
        <f>IFERROR(IF(OR(+L$71/K40&lt;0,+L$71/K40&gt;=100),"NM",+L$71/K40),"N/A")</f>
        <v>9.3970138283177782</v>
      </c>
      <c r="N76" s="482">
        <f>IFERROR(IF(OR(+Q$71/Q6&lt;0,+Q$71/Q6&gt;=100),"NM",+Q$71/Q6),"N/A")</f>
        <v>8.3579661093879682</v>
      </c>
      <c r="O76" s="483">
        <f>IFERROR(IF(OR(+Q$71/N40&lt;0,+Q$71/N40&gt;=100),"NM",+Q$71/N40),"N/A")</f>
        <v>5.6558150644757434</v>
      </c>
      <c r="P76" s="483">
        <f>IFERROR(IF(OR(+Q$71/O40&lt;0,+Q$71/O40&gt;=100),"NM",+Q$71/O40),"N/A")</f>
        <v>4.6744483220796953</v>
      </c>
      <c r="Q76" s="484">
        <f>IFERROR(IF(OR(+Q$71/P40&lt;0,+Q$71/P40&gt;=100),"NM",+Q$71/P40),"N/A")</f>
        <v>4.4105817804029401</v>
      </c>
      <c r="S76" s="482">
        <f>IFERROR(IF(OR(+V$71/V6&lt;0,+V$71/V6&gt;=100),"NM",+V$71/V6),"N/A")</f>
        <v>4.117423000967583</v>
      </c>
      <c r="T76" s="483">
        <f>IFERROR(IF(OR(+V$71/S40&lt;0,+V$71/S40&gt;=100),"NM",+V$71/S40),"N/A")</f>
        <v>3.8098498623877344</v>
      </c>
      <c r="U76" s="483">
        <f>IFERROR(IF(OR(+V$71/T40&lt;0,+V$71/T40&gt;=100),"NM",+V$71/T40),"N/A")</f>
        <v>3.447268620978087</v>
      </c>
      <c r="V76" s="484">
        <f>IFERROR(IF(OR(+V$71/U40&lt;0,+V$71/U40&gt;=100),"NM",+V$71/U40),"N/A")</f>
        <v>3.1960973110271436</v>
      </c>
      <c r="X76" s="482">
        <f>IFERROR(IF(OR(+AA$71/AA6&lt;0,+AA$71/AA6&gt;=100),"NM",+AA$71/AA6),"N/A")</f>
        <v>5.561291334010364</v>
      </c>
      <c r="Y76" s="483">
        <f>IFERROR(IF(OR(+AA$71/X40&lt;0,+AA$71/X40&gt;=100),"NM",+AA$71/X40),"N/A")</f>
        <v>5.0055125762550077</v>
      </c>
      <c r="Z76" s="483">
        <f>IFERROR(IF(OR(+AA$71/Y40&lt;0,+AA$71/Y40&gt;=100),"NM",+AA$71/Y40),"N/A")</f>
        <v>4.0715777617912448</v>
      </c>
      <c r="AA76" s="484">
        <f>IFERROR(IF(OR(+AA$71/Z40&lt;0,+AA$71/Z40&gt;=100),"NM",+AA$71/Z40),"N/A")</f>
        <v>3.2923390516556248</v>
      </c>
      <c r="AC76" s="482">
        <f>IFERROR(IF(OR(+AF$71/AF6&lt;0,+AF$71/AF6&gt;=100),"NM",+AF$71/AF6),"N/A")</f>
        <v>15.326781368613995</v>
      </c>
      <c r="AD76" s="483">
        <f>IFERROR(IF(OR(+AF$71/AC40&lt;0,+AF$71/AC40&gt;=100),"NM",+AF$71/AC40),"N/A")</f>
        <v>13.387159636666237</v>
      </c>
      <c r="AE76" s="483">
        <f>IFERROR(IF(OR(+AF$71/AD40&lt;0,+AF$71/AD40&gt;=100),"NM",+AF$71/AD40),"N/A")</f>
        <v>9.6890492397971109</v>
      </c>
      <c r="AF76" s="484">
        <f>IFERROR(IF(OR(+AF$71/AE40&lt;0,+AF$71/AE40&gt;=100),"NM",+AF$71/AE40),"N/A")</f>
        <v>7.1580322955235793</v>
      </c>
      <c r="AH76" s="482">
        <f>IFERROR(IF(OR(+AK$71/AK6&lt;0,+AK$71/AK6&gt;=100),"NM",+AK$71/AK6),"N/A")</f>
        <v>2.1607029909381317</v>
      </c>
      <c r="AI76" s="483">
        <f>IFERROR(IF(OR(+AK$71/AH40&lt;0,+AK$71/AH40&gt;=100),"NM",+AK$71/AH40),"N/A")</f>
        <v>1.9774042366275317</v>
      </c>
      <c r="AJ76" s="483">
        <f>IFERROR(IF(OR(+AK$71/AI40&lt;0,+AK$71/AI40&gt;=100),"NM",+AK$71/AI40),"N/A")</f>
        <v>1.8634480532644375</v>
      </c>
      <c r="AK76" s="484">
        <f>IFERROR(IF(OR(+AK$71/AJ40&lt;0,+AK$71/AJ40&gt;=100),"NM",+AK$71/AJ40),"N/A")</f>
        <v>1.8381938400215878</v>
      </c>
      <c r="AM76" s="482">
        <f>IFERROR(IF(OR(+AP$71/AP6&lt;0,+AP$71/AP6&gt;=100),"NM",+AP$71/AP6),"N/A")</f>
        <v>9.846607392170986</v>
      </c>
      <c r="AN76" s="483">
        <f>IFERROR(IF(OR(+AP$71/AM40&lt;0,+AP$71/AM40&gt;=100),"NM",+AP$71/AM40),"N/A")</f>
        <v>7.7234140345760629</v>
      </c>
      <c r="AO76" s="483">
        <f>IFERROR(IF(OR(+AP$71/AN40&lt;0,+AP$71/AN40&gt;=100),"NM",+AP$71/AN40),"N/A")</f>
        <v>5.8518596833919432</v>
      </c>
      <c r="AP76" s="484">
        <f>IFERROR(IF(OR(+AP$71/AO40&lt;0,+AP$71/AO40&gt;=100),"NM",+AP$71/AO40),"N/A")</f>
        <v>4.5492101297854735</v>
      </c>
    </row>
    <row r="77" spans="2:56" x14ac:dyDescent="0.3">
      <c r="B77" s="279" t="s">
        <v>323</v>
      </c>
      <c r="D77" s="485" t="str">
        <f>IFERROR(IF(OR(+G$71/G22&lt;0,+G$71/G22&gt;=100),"NM",+G$71/G22),"N/A")</f>
        <v>NM</v>
      </c>
      <c r="E77" s="486" t="str">
        <f>IFERROR(IF(OR(+G$71/D41&lt;0,+G$71/D41&gt;=100),"NM",+G$71/D41),"N/A")</f>
        <v>NM</v>
      </c>
      <c r="F77" s="486">
        <f>IFERROR(IF(OR(+G$71/E41&lt;0,+G$71/E41&gt;=100),"NM",+G$71/E41),"N/A")</f>
        <v>85.848642938109748</v>
      </c>
      <c r="G77" s="487">
        <f>IFERROR(IF(OR(+G$71/F41&lt;0,+G$71/F41&gt;=100),"NM",+G$71/F41),"N/A")</f>
        <v>9.7840010019805419</v>
      </c>
      <c r="I77" s="485">
        <f>IFERROR(IF(OR(+L$71/L22&lt;0,+L$71/L22&gt;=100),"NM",+L$71/L22),"N/A")</f>
        <v>42.62911440736918</v>
      </c>
      <c r="J77" s="486">
        <f>IFERROR(IF(OR(+L$71/I41&lt;0,+L$71/I41&gt;=100),"NM",+L$71/I41),"N/A")</f>
        <v>27.660944727705601</v>
      </c>
      <c r="K77" s="486">
        <f>IFERROR(IF(OR(+L$71/J41&lt;0,+L$71/J41&gt;=100),"NM",+L$71/J41),"N/A")</f>
        <v>22.745786667769615</v>
      </c>
      <c r="L77" s="487">
        <f>IFERROR(IF(OR(+L$71/K41&lt;0,+L$71/K41&gt;=100),"NM",+L$71/K41),"N/A")</f>
        <v>16.893326976532784</v>
      </c>
      <c r="N77" s="485">
        <f>IFERROR(IF(OR(+Q$71/Q22&lt;0,+Q$71/Q22&gt;=100),"NM",+Q$71/Q22),"N/A")</f>
        <v>33.227278630391361</v>
      </c>
      <c r="O77" s="486">
        <f>IFERROR(IF(OR(+Q$71/N41&lt;0,+Q$71/N41&gt;=100),"NM",+Q$71/N41),"N/A")</f>
        <v>13.705142573426492</v>
      </c>
      <c r="P77" s="486">
        <f>IFERROR(IF(OR(+Q$71/O41&lt;0,+Q$71/O41&gt;=100),"NM",+Q$71/O41),"N/A")</f>
        <v>9.7464859396226942</v>
      </c>
      <c r="Q77" s="487">
        <f>IFERROR(IF(OR(+Q$71/P41&lt;0,+Q$71/P41&gt;=100),"NM",+Q$71/P41),"N/A")</f>
        <v>9.0931013851512592</v>
      </c>
      <c r="S77" s="485">
        <f>IFERROR(IF(OR(+V$71/V22&lt;0,+V$71/V22&gt;=100),"NM",+V$71/V22),"N/A")</f>
        <v>10.3237263162708</v>
      </c>
      <c r="T77" s="486">
        <f>IFERROR(IF(OR(+V$71/S41&lt;0,+V$71/S41&gt;=100),"NM",+V$71/S41),"N/A")</f>
        <v>7.6015287397402336</v>
      </c>
      <c r="U77" s="486">
        <f>IFERROR(IF(OR(+V$71/T41&lt;0,+V$71/T41&gt;=100),"NM",+V$71/T41),"N/A")</f>
        <v>6.9295095323139231</v>
      </c>
      <c r="V77" s="487">
        <f>IFERROR(IF(OR(+V$71/U41&lt;0,+V$71/U41&gt;=100),"NM",+V$71/U41),"N/A")</f>
        <v>6.4007517768361533</v>
      </c>
      <c r="X77" s="485">
        <f>IFERROR(IF(OR(+AA$71/AA22&lt;0,+AA$71/AA22&gt;=100),"NM",+AA$71/AA22),"N/A")</f>
        <v>25.865406501473213</v>
      </c>
      <c r="Y77" s="486">
        <f>IFERROR(IF(OR(+AA$71/X41&lt;0,+AA$71/X41&gt;=100),"NM",+AA$71/X41),"N/A")</f>
        <v>23.286347168285442</v>
      </c>
      <c r="Z77" s="486">
        <f>IFERROR(IF(OR(+AA$71/Y41&lt;0,+AA$71/Y41&gt;=100),"NM",+AA$71/Y41),"N/A")</f>
        <v>20.482190708061111</v>
      </c>
      <c r="AA77" s="487">
        <f>IFERROR(IF(OR(+AA$71/Z41&lt;0,+AA$71/Z41&gt;=100),"NM",+AA$71/Z41),"N/A")</f>
        <v>8.4496918846017568</v>
      </c>
      <c r="AC77" s="485" t="str">
        <f>IFERROR(IF(OR(+AF$71/AF22&lt;0,+AF$71/AF22&gt;=100),"NM",+AF$71/AF22),"N/A")</f>
        <v>NM</v>
      </c>
      <c r="AD77" s="486" t="str">
        <f>IFERROR(IF(OR(+AF$71/AC41&lt;0,+AF$71/AC41&gt;=100),"NM",+AF$71/AC41),"N/A")</f>
        <v>NM</v>
      </c>
      <c r="AE77" s="486" t="str">
        <f>IFERROR(IF(OR(+AF$71/AD41&lt;0,+AF$71/AD41&gt;=100),"NM",+AF$71/AD41),"N/A")</f>
        <v>NM</v>
      </c>
      <c r="AF77" s="487">
        <f>IFERROR(IF(OR(+AF$71/AE41&lt;0,+AF$71/AE41&gt;=100),"NM",+AF$71/AE41),"N/A")</f>
        <v>23.075235689516802</v>
      </c>
      <c r="AH77" s="485">
        <f>IFERROR(IF(OR(+AK$71/AK22&lt;0,+AK$71/AK22&gt;=100),"NM",+AK$71/AK22),"N/A")</f>
        <v>15.890990397200612</v>
      </c>
      <c r="AI77" s="486">
        <f>IFERROR(IF(OR(+AK$71/AH41&lt;0,+AK$71/AH41&gt;=100),"NM",+AK$71/AH41),"N/A")</f>
        <v>21.83313424230769</v>
      </c>
      <c r="AJ77" s="486">
        <f>IFERROR(IF(OR(+AK$71/AI41&lt;0,+AK$71/AI41&gt;=100),"NM",+AK$71/AI41),"N/A")</f>
        <v>9.2274896075255857</v>
      </c>
      <c r="AK77" s="487">
        <f>IFERROR(IF(OR(+AK$71/AJ41&lt;0,+AK$71/AJ41&gt;=100),"NM",+AK$71/AJ41),"N/A")</f>
        <v>6.7817965655309731</v>
      </c>
      <c r="AM77" s="485">
        <f>IFERROR(IF(OR(+AP$71/AP22&lt;0,+AP$71/AP22&gt;=100),"NM",+AP$71/AP22),"N/A")</f>
        <v>21.492284577706734</v>
      </c>
      <c r="AN77" s="486">
        <f>IFERROR(IF(OR(+AP$71/AM41&lt;0,+AP$71/AM41&gt;=100),"NM",+AP$71/AM41),"N/A")</f>
        <v>14.904202574445272</v>
      </c>
      <c r="AO77" s="486">
        <f>IFERROR(IF(OR(+AP$71/AN41&lt;0,+AP$71/AN41&gt;=100),"NM",+AP$71/AN41),"N/A")</f>
        <v>10.938810272071629</v>
      </c>
      <c r="AP77" s="487">
        <f>IFERROR(IF(OR(+AP$71/AO41&lt;0,+AP$71/AO41&gt;=100),"NM",+AP$71/AO41),"N/A")</f>
        <v>8.6937974215733451</v>
      </c>
    </row>
    <row r="78" spans="2:56" x14ac:dyDescent="0.3">
      <c r="B78" s="279" t="s">
        <v>324</v>
      </c>
      <c r="D78" s="488" t="str">
        <f>IFERROR(IF(OR(+G$70/G15&lt;0,+G$70/G15&gt;=100),"NM",+G$70/G15),"N/A")</f>
        <v>NM</v>
      </c>
      <c r="E78" s="489" t="str">
        <f>IFERROR(IF(OR(+G$70/D42&lt;0,+G$70/D42&gt;=100),"NM",+G$70/D42),"N/A")</f>
        <v>NM</v>
      </c>
      <c r="F78" s="489" t="str">
        <f>IFERROR(IF(OR(+G$70/E42&lt;0,+G$70/E42&gt;=100),"NM",+G$70/E42),"N/A")</f>
        <v>NM</v>
      </c>
      <c r="G78" s="490">
        <f>IFERROR(IF(OR(+G$70/F42&lt;0,+G$70/F42&gt;=100),"NM",+G$70/F42),"N/A")</f>
        <v>13.151222499455153</v>
      </c>
      <c r="I78" s="488">
        <f>IFERROR(IF(OR(+L$70/L15&lt;0,+L$70/L15&gt;=100),"NM",+L$70/L15),"N/A")</f>
        <v>94.362245475347848</v>
      </c>
      <c r="J78" s="489">
        <f>IFERROR(IF(OR(+L$70/I42&lt;0,+L$70/I42&gt;=100),"NM",+L$70/I42),"N/A")</f>
        <v>66.005732316665828</v>
      </c>
      <c r="K78" s="489">
        <f>IFERROR(IF(OR(+L$70/J42&lt;0,+L$70/J42&gt;=100),"NM",+L$70/J42),"N/A")</f>
        <v>27.725601961750009</v>
      </c>
      <c r="L78" s="490">
        <f>IFERROR(IF(OR(+L$70/K42&lt;0,+L$70/K42&gt;=100),"NM",+L$70/K42),"N/A")</f>
        <v>21.268608911538333</v>
      </c>
      <c r="N78" s="488" t="str">
        <f>IFERROR(IF(OR(+Q$70/Q15&lt;0,+Q$70/Q15&gt;=100),"NM",+Q$70/Q15),"N/A")</f>
        <v>NM</v>
      </c>
      <c r="O78" s="489">
        <f>IFERROR(IF(OR(+Q$70/N42&lt;0,+Q$70/N42&gt;=100),"NM",+Q$70/N42),"N/A")</f>
        <v>21.538465988509273</v>
      </c>
      <c r="P78" s="489">
        <f>IFERROR(IF(OR(+Q$70/O42&lt;0,+Q$70/O42&gt;=100),"NM",+Q$70/O42),"N/A")</f>
        <v>17.508899319673006</v>
      </c>
      <c r="Q78" s="490">
        <f>IFERROR(IF(OR(+Q$70/P42&lt;0,+Q$70/P42&gt;=100),"NM",+Q$70/P42),"N/A")</f>
        <v>16.279471635613049</v>
      </c>
      <c r="S78" s="488">
        <f>IFERROR(IF(OR(+V$70/V15&lt;0,+V$70/V15&gt;=100),"NM",+V$70/V15),"N/A")</f>
        <v>23.466912412752322</v>
      </c>
      <c r="T78" s="489">
        <f>IFERROR(IF(OR(+V$70/S42&lt;0,+V$70/S42&gt;=100),"NM",+V$70/S42),"N/A")</f>
        <v>14.652681443241518</v>
      </c>
      <c r="U78" s="489">
        <f>IFERROR(IF(OR(+V$70/T42&lt;0,+V$70/T42&gt;=100),"NM",+V$70/T42),"N/A")</f>
        <v>13.290414007475299</v>
      </c>
      <c r="V78" s="490">
        <f>IFERROR(IF(OR(+V$70/U42&lt;0,+V$70/U42&gt;=100),"NM",+V$70/U42),"N/A")</f>
        <v>12.210567869367932</v>
      </c>
      <c r="X78" s="488" t="str">
        <f>IFERROR(IF(OR(+AA$70/AA15&lt;0,+AA$70/AA15&gt;=100),"NM",+AA$70/AA15),"N/A")</f>
        <v>NM</v>
      </c>
      <c r="Y78" s="489" t="str">
        <f>IFERROR(IF(OR(+AA$70/X42&lt;0,+AA$70/X42&gt;=100),"NM",+AA$70/X42),"N/A")</f>
        <v>NM</v>
      </c>
      <c r="Z78" s="489" t="str">
        <f>IFERROR(IF(OR(+AA$70/Y42&lt;0,+AA$70/Y42&gt;=100),"NM",+AA$70/Y42),"N/A")</f>
        <v>NM</v>
      </c>
      <c r="AA78" s="490">
        <f>IFERROR(IF(OR(+AA$70/Z42&lt;0,+AA$70/Z42&gt;=100),"NM",+AA$70/Z42),"N/A")</f>
        <v>19.816911556541946</v>
      </c>
      <c r="AC78" s="488" t="str">
        <f>IFERROR(IF(OR(+AF$70/AF15&lt;0,+AF$70/AF15&gt;=100),"NM",+AF$70/AF15),"N/A")</f>
        <v>NM</v>
      </c>
      <c r="AD78" s="489" t="str">
        <f>IFERROR(IF(OR(+AF$70/AC42&lt;0,+AF$70/AC42&gt;=100),"NM",+AF$70/AC42),"N/A")</f>
        <v>NM</v>
      </c>
      <c r="AE78" s="489" t="str">
        <f>IFERROR(IF(OR(+AF$70/AD42&lt;0,+AF$70/AD42&gt;=100),"NM",+AF$70/AD42),"N/A")</f>
        <v>NM</v>
      </c>
      <c r="AF78" s="490">
        <f>IFERROR(IF(OR(+AF$70/AE42&lt;0,+AF$70/AE42&gt;=100),"NM",+AF$70/AE42),"N/A")</f>
        <v>32.861113942297422</v>
      </c>
      <c r="AH78" s="488">
        <f>IFERROR(IF(OR(+AK$70/AK15&lt;0,+AK$70/AK15&gt;=100),"NM",+AK$70/AK15),"N/A")</f>
        <v>76.931912889220712</v>
      </c>
      <c r="AI78" s="489" t="str">
        <f>IFERROR(IF(OR(+AK$70/AH42&lt;0,+AK$70/AH42&gt;=100),"NM",+AK$70/AH42),"N/A")</f>
        <v>NM</v>
      </c>
      <c r="AJ78" s="489">
        <f>IFERROR(IF(OR(+AK$70/AI42&lt;0,+AK$70/AI42&gt;=100),"NM",+AK$70/AI42),"N/A")</f>
        <v>16.092320301231059</v>
      </c>
      <c r="AK78" s="490">
        <f>IFERROR(IF(OR(+AK$70/AJ42&lt;0,+AK$70/AJ42&gt;=100),"NM",+AK$70/AJ42),"N/A")</f>
        <v>12.225532545395682</v>
      </c>
      <c r="AM78" s="488" t="str">
        <f>IFERROR(IF(OR(+AP$70/AP15&lt;0,+AP$70/AP15&gt;=100),"NM",+AP$70/AP15),"N/A")</f>
        <v>NM</v>
      </c>
      <c r="AN78" s="489">
        <f>IFERROR(IF(OR(+AP$70/AM42&lt;0,+AP$70/AM42&gt;=100),"NM",+AP$70/AM42),"N/A")</f>
        <v>33.311517699268471</v>
      </c>
      <c r="AO78" s="489">
        <f>IFERROR(IF(OR(+AP$70/AN42&lt;0,+AP$70/AN42&gt;=100),"NM",+AP$70/AN42),"N/A")</f>
        <v>15.16946746117995</v>
      </c>
      <c r="AP78" s="490">
        <f>IFERROR(IF(OR(+AP$70/AO42&lt;0,+AP$70/AO42&gt;=100),"NM",+AP$70/AO42),"N/A")</f>
        <v>11.441299633652859</v>
      </c>
    </row>
    <row r="79" spans="2:56" x14ac:dyDescent="0.3">
      <c r="D79" s="475"/>
      <c r="G79" s="476"/>
      <c r="I79" s="475"/>
      <c r="L79" s="476"/>
      <c r="N79" s="475"/>
      <c r="Q79" s="476"/>
      <c r="S79" s="475"/>
      <c r="V79" s="476"/>
      <c r="X79" s="475"/>
      <c r="AA79" s="476"/>
      <c r="AC79" s="475"/>
      <c r="AF79" s="476"/>
      <c r="AH79" s="475"/>
      <c r="AK79" s="476"/>
      <c r="AM79" s="475"/>
      <c r="AP79" s="476"/>
    </row>
    <row r="80" spans="2:56" x14ac:dyDescent="0.3">
      <c r="D80" s="416" t="s">
        <v>325</v>
      </c>
      <c r="E80" s="373"/>
      <c r="F80" s="373"/>
      <c r="G80" s="374"/>
      <c r="I80" s="416" t="s">
        <v>325</v>
      </c>
      <c r="J80" s="373"/>
      <c r="K80" s="373"/>
      <c r="L80" s="374"/>
      <c r="N80" s="416" t="s">
        <v>325</v>
      </c>
      <c r="O80" s="373"/>
      <c r="P80" s="373"/>
      <c r="Q80" s="374"/>
      <c r="S80" s="416" t="s">
        <v>325</v>
      </c>
      <c r="T80" s="373"/>
      <c r="U80" s="373"/>
      <c r="V80" s="374"/>
      <c r="X80" s="416" t="s">
        <v>325</v>
      </c>
      <c r="Y80" s="373"/>
      <c r="Z80" s="373"/>
      <c r="AA80" s="374"/>
      <c r="AC80" s="416" t="s">
        <v>325</v>
      </c>
      <c r="AD80" s="373"/>
      <c r="AE80" s="373"/>
      <c r="AF80" s="374"/>
      <c r="AH80" s="416" t="s">
        <v>325</v>
      </c>
      <c r="AI80" s="373"/>
      <c r="AJ80" s="373"/>
      <c r="AK80" s="374"/>
      <c r="AM80" s="416" t="s">
        <v>325</v>
      </c>
      <c r="AN80" s="373"/>
      <c r="AO80" s="373"/>
      <c r="AP80" s="374"/>
    </row>
    <row r="81" spans="2:42" x14ac:dyDescent="0.3">
      <c r="D81" s="445"/>
      <c r="E81" s="491"/>
      <c r="F81" s="491"/>
      <c r="G81" s="492"/>
      <c r="I81" s="493"/>
      <c r="J81" s="491"/>
      <c r="K81" s="491"/>
      <c r="L81" s="492"/>
      <c r="N81" s="493"/>
      <c r="O81" s="494"/>
      <c r="P81" s="494"/>
      <c r="Q81" s="492"/>
      <c r="S81" s="493"/>
      <c r="T81" s="494"/>
      <c r="U81" s="494"/>
      <c r="V81" s="492"/>
      <c r="X81" s="493"/>
      <c r="Y81" s="494"/>
      <c r="Z81" s="494"/>
      <c r="AA81" s="492"/>
      <c r="AC81" s="493"/>
      <c r="AD81" s="494"/>
      <c r="AE81" s="494"/>
      <c r="AF81" s="492"/>
      <c r="AH81" s="493"/>
      <c r="AI81" s="494"/>
      <c r="AJ81" s="494"/>
      <c r="AK81" s="492"/>
      <c r="AM81" s="493"/>
      <c r="AN81" s="494"/>
      <c r="AO81" s="494"/>
      <c r="AP81" s="492"/>
    </row>
    <row r="82" spans="2:42" x14ac:dyDescent="0.3">
      <c r="B82" s="279" t="str">
        <f>TEXT(Forward_Year_1,"mm/dd/yyyy")&amp;" "&amp;B40</f>
        <v>12/31/2014 Revenue:</v>
      </c>
      <c r="D82" s="445"/>
      <c r="E82" s="491"/>
      <c r="F82" s="491"/>
      <c r="G82" s="463">
        <f>+D40</f>
        <v>574</v>
      </c>
      <c r="I82" s="445"/>
      <c r="J82" s="491"/>
      <c r="K82" s="491"/>
      <c r="L82" s="463">
        <f>+I40</f>
        <v>2170.931</v>
      </c>
      <c r="N82" s="445"/>
      <c r="O82" s="446"/>
      <c r="P82" s="446"/>
      <c r="Q82" s="463">
        <f>+N40</f>
        <v>1648.6110000000001</v>
      </c>
      <c r="S82" s="445"/>
      <c r="T82" s="446"/>
      <c r="U82" s="446"/>
      <c r="V82" s="463">
        <f>+S40</f>
        <v>1255</v>
      </c>
      <c r="X82" s="445"/>
      <c r="Y82" s="446"/>
      <c r="Z82" s="446"/>
      <c r="AA82" s="463">
        <f>+X40</f>
        <v>1206.3</v>
      </c>
      <c r="AC82" s="445"/>
      <c r="AD82" s="446"/>
      <c r="AE82" s="446"/>
      <c r="AF82" s="463">
        <f>+AC40</f>
        <v>655</v>
      </c>
      <c r="AH82" s="445"/>
      <c r="AI82" s="446"/>
      <c r="AJ82" s="446"/>
      <c r="AK82" s="463">
        <f>+AH40</f>
        <v>775.1</v>
      </c>
      <c r="AM82" s="445"/>
      <c r="AN82" s="446"/>
      <c r="AO82" s="446"/>
      <c r="AP82" s="463">
        <f>+AM40</f>
        <v>1176.8697723647181</v>
      </c>
    </row>
    <row r="83" spans="2:42" x14ac:dyDescent="0.3">
      <c r="B83" s="279" t="str">
        <f>TEXT(Forward_Year_1,"mm/dd/yyyy")&amp;" "&amp;B41</f>
        <v>12/31/2014 EBITDA:</v>
      </c>
      <c r="D83" s="445"/>
      <c r="E83" s="491"/>
      <c r="F83" s="491"/>
      <c r="G83" s="495">
        <f>+D41</f>
        <v>-478</v>
      </c>
      <c r="I83" s="445"/>
      <c r="J83" s="491"/>
      <c r="K83" s="491"/>
      <c r="L83" s="495">
        <f>+I41</f>
        <v>1073.5989999999999</v>
      </c>
      <c r="N83" s="445"/>
      <c r="O83" s="446"/>
      <c r="P83" s="446"/>
      <c r="Q83" s="495">
        <f>+N41</f>
        <v>680.346</v>
      </c>
      <c r="S83" s="445"/>
      <c r="T83" s="446"/>
      <c r="U83" s="446"/>
      <c r="V83" s="495">
        <f>+S41</f>
        <v>629</v>
      </c>
      <c r="X83" s="445"/>
      <c r="Y83" s="446"/>
      <c r="Z83" s="446"/>
      <c r="AA83" s="495">
        <f>+X41</f>
        <v>259.3</v>
      </c>
      <c r="AC83" s="445"/>
      <c r="AD83" s="446"/>
      <c r="AE83" s="446"/>
      <c r="AF83" s="495">
        <f>+AC41</f>
        <v>-80</v>
      </c>
      <c r="AH83" s="445"/>
      <c r="AI83" s="446"/>
      <c r="AJ83" s="446"/>
      <c r="AK83" s="495">
        <f>+AH41</f>
        <v>70.2</v>
      </c>
      <c r="AM83" s="445"/>
      <c r="AN83" s="446"/>
      <c r="AO83" s="446"/>
      <c r="AP83" s="495">
        <f>+AM41</f>
        <v>609.85835849646628</v>
      </c>
    </row>
    <row r="84" spans="2:42" x14ac:dyDescent="0.3">
      <c r="B84" s="279" t="str">
        <f>TEXT(Forward_Year_1,"mm/dd/yyyy")&amp;" "&amp;B42</f>
        <v>12/31/2014 Reported Net Income:</v>
      </c>
      <c r="D84" s="445"/>
      <c r="E84" s="491"/>
      <c r="F84" s="491"/>
      <c r="G84" s="495">
        <f>+D42</f>
        <v>-538</v>
      </c>
      <c r="I84" s="445"/>
      <c r="J84" s="491"/>
      <c r="K84" s="491"/>
      <c r="L84" s="495">
        <f>+I42</f>
        <v>471.81599999999997</v>
      </c>
      <c r="N84" s="445"/>
      <c r="O84" s="446"/>
      <c r="P84" s="446"/>
      <c r="Q84" s="495">
        <f>+N42</f>
        <v>360.93624</v>
      </c>
      <c r="S84" s="445"/>
      <c r="T84" s="446"/>
      <c r="U84" s="446"/>
      <c r="V84" s="495">
        <f>+S42</f>
        <v>400</v>
      </c>
      <c r="X84" s="445"/>
      <c r="Y84" s="446"/>
      <c r="Z84" s="446"/>
      <c r="AA84" s="495">
        <f>+X42</f>
        <v>26</v>
      </c>
      <c r="AC84" s="445"/>
      <c r="AD84" s="446"/>
      <c r="AE84" s="446"/>
      <c r="AF84" s="495">
        <f>+AC42</f>
        <v>-142</v>
      </c>
      <c r="AH84" s="445"/>
      <c r="AI84" s="446"/>
      <c r="AJ84" s="446"/>
      <c r="AK84" s="495">
        <f>+AH42</f>
        <v>-0.4</v>
      </c>
      <c r="AM84" s="445"/>
      <c r="AN84" s="446"/>
      <c r="AO84" s="446"/>
      <c r="AP84" s="495">
        <f>+AM42</f>
        <v>246.040081113746</v>
      </c>
    </row>
    <row r="85" spans="2:42" x14ac:dyDescent="0.3">
      <c r="D85" s="445"/>
      <c r="E85" s="491"/>
      <c r="F85" s="491"/>
      <c r="G85" s="447"/>
      <c r="I85" s="445"/>
      <c r="J85" s="491"/>
      <c r="K85" s="491"/>
      <c r="L85" s="447"/>
      <c r="N85" s="445"/>
      <c r="O85" s="446"/>
      <c r="P85" s="446"/>
      <c r="Q85" s="447"/>
      <c r="S85" s="445"/>
      <c r="T85" s="446"/>
      <c r="U85" s="446"/>
      <c r="V85" s="447"/>
      <c r="X85" s="445"/>
      <c r="Y85" s="446"/>
      <c r="Z85" s="446"/>
      <c r="AA85" s="447"/>
      <c r="AC85" s="445"/>
      <c r="AD85" s="446"/>
      <c r="AE85" s="446"/>
      <c r="AF85" s="447"/>
      <c r="AH85" s="445"/>
      <c r="AI85" s="446"/>
      <c r="AJ85" s="446"/>
      <c r="AK85" s="447"/>
      <c r="AM85" s="445"/>
      <c r="AN85" s="446"/>
      <c r="AO85" s="446"/>
      <c r="AP85" s="447"/>
    </row>
    <row r="86" spans="2:42" x14ac:dyDescent="0.3">
      <c r="B86" s="279" t="str">
        <f>TEXT(Forward_Year_2,"mm/dd/yyyy")&amp;" "&amp;B40</f>
        <v>12/31/2015 Revenue:</v>
      </c>
      <c r="D86" s="445"/>
      <c r="E86" s="491"/>
      <c r="F86" s="491"/>
      <c r="G86" s="463">
        <f>+E40</f>
        <v>1211</v>
      </c>
      <c r="I86" s="445"/>
      <c r="J86" s="491"/>
      <c r="K86" s="491"/>
      <c r="L86" s="463">
        <f>+J40</f>
        <v>2568.904</v>
      </c>
      <c r="N86" s="445"/>
      <c r="O86" s="446"/>
      <c r="P86" s="446"/>
      <c r="Q86" s="463">
        <f>+O40</f>
        <v>1994.7249999999999</v>
      </c>
      <c r="S86" s="445"/>
      <c r="T86" s="446"/>
      <c r="U86" s="446"/>
      <c r="V86" s="463">
        <f>+T40</f>
        <v>1387</v>
      </c>
      <c r="X86" s="445"/>
      <c r="Y86" s="446"/>
      <c r="Z86" s="446"/>
      <c r="AA86" s="463">
        <f>+Y40</f>
        <v>1483</v>
      </c>
      <c r="AC86" s="445"/>
      <c r="AD86" s="446"/>
      <c r="AE86" s="446"/>
      <c r="AF86" s="463">
        <f>+AD40</f>
        <v>905</v>
      </c>
      <c r="AH86" s="445"/>
      <c r="AI86" s="446"/>
      <c r="AJ86" s="446"/>
      <c r="AK86" s="463">
        <f>+AI40</f>
        <v>822.5</v>
      </c>
      <c r="AM86" s="445"/>
      <c r="AN86" s="446"/>
      <c r="AO86" s="446"/>
      <c r="AP86" s="463">
        <f>+AN40</f>
        <v>1553.258794387468</v>
      </c>
    </row>
    <row r="87" spans="2:42" x14ac:dyDescent="0.3">
      <c r="B87" s="279" t="str">
        <f>TEXT(Forward_Year_2,"mm/dd/yyyy")&amp;" "&amp;B41</f>
        <v>12/31/2015 EBITDA:</v>
      </c>
      <c r="D87" s="445"/>
      <c r="E87" s="491"/>
      <c r="F87" s="491"/>
      <c r="G87" s="495">
        <f>+E41</f>
        <v>164</v>
      </c>
      <c r="I87" s="445"/>
      <c r="J87" s="491"/>
      <c r="K87" s="491"/>
      <c r="L87" s="495">
        <f>+J41</f>
        <v>1305.5940000000001</v>
      </c>
      <c r="N87" s="445"/>
      <c r="O87" s="446"/>
      <c r="P87" s="446"/>
      <c r="Q87" s="495">
        <f>+O41</f>
        <v>956.67700000000002</v>
      </c>
      <c r="S87" s="445"/>
      <c r="T87" s="446"/>
      <c r="U87" s="446"/>
      <c r="V87" s="495">
        <f>+T41</f>
        <v>690</v>
      </c>
      <c r="X87" s="445"/>
      <c r="Y87" s="446"/>
      <c r="Z87" s="446"/>
      <c r="AA87" s="495">
        <f>+Y41</f>
        <v>294.8</v>
      </c>
      <c r="AC87" s="445"/>
      <c r="AD87" s="446"/>
      <c r="AE87" s="446"/>
      <c r="AF87" s="495">
        <f>+AD41</f>
        <v>65</v>
      </c>
      <c r="AH87" s="445"/>
      <c r="AI87" s="446"/>
      <c r="AJ87" s="446"/>
      <c r="AK87" s="495">
        <f>+AI41</f>
        <v>166.1</v>
      </c>
      <c r="AM87" s="445"/>
      <c r="AN87" s="446"/>
      <c r="AO87" s="446"/>
      <c r="AP87" s="495">
        <f>+AN41</f>
        <v>830.93611559903286</v>
      </c>
    </row>
    <row r="88" spans="2:42" x14ac:dyDescent="0.3">
      <c r="B88" s="279" t="str">
        <f>TEXT(Forward_Year_2,"mm/dd/yyyy")&amp;" "&amp;B42</f>
        <v>12/31/2015 Reported Net Income:</v>
      </c>
      <c r="D88" s="445"/>
      <c r="E88" s="491"/>
      <c r="F88" s="491"/>
      <c r="G88" s="495">
        <f>+E42</f>
        <v>119</v>
      </c>
      <c r="I88" s="445"/>
      <c r="J88" s="491"/>
      <c r="K88" s="491"/>
      <c r="L88" s="495">
        <f>+J42</f>
        <v>1123.242</v>
      </c>
      <c r="N88" s="445"/>
      <c r="O88" s="446"/>
      <c r="P88" s="446"/>
      <c r="Q88" s="495">
        <f>+O42</f>
        <v>444.00352000000004</v>
      </c>
      <c r="S88" s="445"/>
      <c r="T88" s="446"/>
      <c r="U88" s="446"/>
      <c r="V88" s="495">
        <f>+T42</f>
        <v>441</v>
      </c>
      <c r="X88" s="445"/>
      <c r="Y88" s="446"/>
      <c r="Z88" s="446"/>
      <c r="AA88" s="495">
        <f>+Y42</f>
        <v>48</v>
      </c>
      <c r="AC88" s="445"/>
      <c r="AD88" s="446"/>
      <c r="AE88" s="446"/>
      <c r="AF88" s="495">
        <f>+AD42</f>
        <v>47</v>
      </c>
      <c r="AH88" s="445"/>
      <c r="AI88" s="446"/>
      <c r="AJ88" s="446"/>
      <c r="AK88" s="495">
        <f>+AI42</f>
        <v>105.6</v>
      </c>
      <c r="AM88" s="445"/>
      <c r="AN88" s="446"/>
      <c r="AO88" s="446"/>
      <c r="AP88" s="495">
        <f>+AN42</f>
        <v>540.2937537342184</v>
      </c>
    </row>
    <row r="89" spans="2:42" x14ac:dyDescent="0.3">
      <c r="D89" s="445"/>
      <c r="E89" s="491"/>
      <c r="F89" s="491"/>
      <c r="G89" s="447"/>
      <c r="I89" s="445"/>
      <c r="J89" s="491"/>
      <c r="K89" s="491"/>
      <c r="L89" s="447"/>
      <c r="N89" s="445"/>
      <c r="O89" s="446"/>
      <c r="P89" s="446"/>
      <c r="Q89" s="447"/>
      <c r="S89" s="445"/>
      <c r="T89" s="446"/>
      <c r="U89" s="446"/>
      <c r="V89" s="447"/>
      <c r="X89" s="445"/>
      <c r="Y89" s="446"/>
      <c r="Z89" s="446"/>
      <c r="AA89" s="447"/>
      <c r="AC89" s="445"/>
      <c r="AD89" s="446"/>
      <c r="AE89" s="446"/>
      <c r="AF89" s="447"/>
      <c r="AH89" s="445"/>
      <c r="AI89" s="446"/>
      <c r="AJ89" s="446"/>
      <c r="AK89" s="447"/>
      <c r="AM89" s="445"/>
      <c r="AN89" s="446"/>
      <c r="AO89" s="446"/>
      <c r="AP89" s="447"/>
    </row>
    <row r="90" spans="2:42" x14ac:dyDescent="0.3">
      <c r="B90" s="279" t="str">
        <f>TEXT(Forward_Year_3,"mm/dd/yyyy")&amp;" "&amp;B40</f>
        <v>12/31/2016 Revenue:</v>
      </c>
      <c r="D90" s="445"/>
      <c r="E90" s="491"/>
      <c r="F90" s="491"/>
      <c r="G90" s="463">
        <f>+F40</f>
        <v>2569</v>
      </c>
      <c r="I90" s="445"/>
      <c r="J90" s="491"/>
      <c r="K90" s="491"/>
      <c r="L90" s="463">
        <f>+K40</f>
        <v>3160.2339999999999</v>
      </c>
      <c r="N90" s="445"/>
      <c r="O90" s="446"/>
      <c r="P90" s="446"/>
      <c r="Q90" s="463">
        <f>+P40</f>
        <v>2114.0610000000001</v>
      </c>
      <c r="S90" s="445"/>
      <c r="T90" s="446"/>
      <c r="U90" s="446"/>
      <c r="V90" s="463">
        <f>+U40</f>
        <v>1496</v>
      </c>
      <c r="X90" s="445"/>
      <c r="Y90" s="446"/>
      <c r="Z90" s="446"/>
      <c r="AA90" s="463">
        <f>+Z40</f>
        <v>1834</v>
      </c>
      <c r="AC90" s="445"/>
      <c r="AD90" s="446"/>
      <c r="AE90" s="446"/>
      <c r="AF90" s="463">
        <f>+AE40</f>
        <v>1225</v>
      </c>
      <c r="AH90" s="445"/>
      <c r="AI90" s="446"/>
      <c r="AJ90" s="446"/>
      <c r="AK90" s="463">
        <f>+AJ40</f>
        <v>833.8</v>
      </c>
      <c r="AM90" s="445"/>
      <c r="AN90" s="446"/>
      <c r="AO90" s="446"/>
      <c r="AP90" s="463">
        <f>+AO40</f>
        <v>1998.0287253028318</v>
      </c>
    </row>
    <row r="91" spans="2:42" x14ac:dyDescent="0.3">
      <c r="B91" s="279" t="str">
        <f>TEXT(Forward_Year_3,"mm/dd/yyyy")&amp;" "&amp;B41</f>
        <v>12/31/2016 EBITDA:</v>
      </c>
      <c r="D91" s="445"/>
      <c r="E91" s="491"/>
      <c r="F91" s="491"/>
      <c r="G91" s="495">
        <f>+F41</f>
        <v>1439</v>
      </c>
      <c r="I91" s="445"/>
      <c r="J91" s="491"/>
      <c r="K91" s="491"/>
      <c r="L91" s="495">
        <f>+K41</f>
        <v>1757.8989999999999</v>
      </c>
      <c r="N91" s="445"/>
      <c r="O91" s="446"/>
      <c r="P91" s="446"/>
      <c r="Q91" s="495">
        <f>+P41</f>
        <v>1025.4190000000001</v>
      </c>
      <c r="S91" s="445"/>
      <c r="T91" s="446"/>
      <c r="U91" s="446"/>
      <c r="V91" s="495">
        <f>+U41</f>
        <v>747</v>
      </c>
      <c r="X91" s="445"/>
      <c r="Y91" s="446"/>
      <c r="Z91" s="446"/>
      <c r="AA91" s="495">
        <f>+Z41</f>
        <v>714.6</v>
      </c>
      <c r="AC91" s="445"/>
      <c r="AD91" s="446"/>
      <c r="AE91" s="446"/>
      <c r="AF91" s="495">
        <f>+AE41</f>
        <v>380</v>
      </c>
      <c r="AH91" s="445"/>
      <c r="AI91" s="446"/>
      <c r="AJ91" s="446"/>
      <c r="AK91" s="495">
        <f>+AJ41</f>
        <v>226</v>
      </c>
      <c r="AM91" s="445"/>
      <c r="AN91" s="446"/>
      <c r="AO91" s="446"/>
      <c r="AP91" s="495">
        <f>+AO41</f>
        <v>1045.5100430790865</v>
      </c>
    </row>
    <row r="92" spans="2:42" x14ac:dyDescent="0.3">
      <c r="B92" s="279" t="str">
        <f>TEXT(Forward_Year_3,"mm/dd/yyyy")&amp;" "&amp;B42</f>
        <v>12/31/2016 Reported Net Income:</v>
      </c>
      <c r="D92" s="445"/>
      <c r="E92" s="491"/>
      <c r="F92" s="491"/>
      <c r="G92" s="495">
        <f>+F42</f>
        <v>1193</v>
      </c>
      <c r="I92" s="445"/>
      <c r="J92" s="491"/>
      <c r="K92" s="491"/>
      <c r="L92" s="495">
        <f>+K42</f>
        <v>1464.25</v>
      </c>
      <c r="N92" s="445"/>
      <c r="O92" s="446"/>
      <c r="P92" s="446"/>
      <c r="Q92" s="495">
        <f>+P42</f>
        <v>477.53472000000005</v>
      </c>
      <c r="S92" s="445"/>
      <c r="T92" s="446"/>
      <c r="U92" s="446"/>
      <c r="V92" s="495">
        <f>+U42</f>
        <v>480</v>
      </c>
      <c r="X92" s="445"/>
      <c r="Y92" s="446"/>
      <c r="Z92" s="446"/>
      <c r="AA92" s="495">
        <f>+Z42</f>
        <v>296</v>
      </c>
      <c r="AC92" s="445"/>
      <c r="AD92" s="446"/>
      <c r="AE92" s="446"/>
      <c r="AF92" s="495">
        <f>+AE42</f>
        <v>277</v>
      </c>
      <c r="AH92" s="445"/>
      <c r="AI92" s="446"/>
      <c r="AJ92" s="446"/>
      <c r="AK92" s="495">
        <f>+AJ42</f>
        <v>139</v>
      </c>
      <c r="AM92" s="445"/>
      <c r="AN92" s="446"/>
      <c r="AO92" s="446"/>
      <c r="AP92" s="495">
        <f>+AO42</f>
        <v>716.34943399636109</v>
      </c>
    </row>
    <row r="93" spans="2:42" x14ac:dyDescent="0.3">
      <c r="D93" s="445"/>
      <c r="E93" s="491"/>
      <c r="F93" s="491"/>
      <c r="G93" s="447"/>
      <c r="I93" s="445"/>
      <c r="J93" s="491"/>
      <c r="K93" s="491"/>
      <c r="L93" s="447"/>
      <c r="N93" s="445"/>
      <c r="O93" s="446"/>
      <c r="P93" s="446"/>
      <c r="Q93" s="447"/>
      <c r="S93" s="445"/>
      <c r="T93" s="446"/>
      <c r="U93" s="446"/>
      <c r="V93" s="447"/>
      <c r="X93" s="445"/>
      <c r="Y93" s="446"/>
      <c r="Z93" s="446"/>
      <c r="AA93" s="447"/>
      <c r="AC93" s="445"/>
      <c r="AD93" s="446"/>
      <c r="AE93" s="446"/>
      <c r="AF93" s="447"/>
      <c r="AH93" s="445"/>
      <c r="AI93" s="446"/>
      <c r="AJ93" s="446"/>
      <c r="AK93" s="447"/>
      <c r="AM93" s="445"/>
      <c r="AN93" s="446"/>
      <c r="AO93" s="446"/>
      <c r="AP93" s="447"/>
    </row>
    <row r="94" spans="2:42" x14ac:dyDescent="0.3">
      <c r="B94" s="279" t="str">
        <f>TEXT(D75,"mm/dd/yyyy")&amp;" "&amp;B76</f>
        <v>LTM EV / Revenue:</v>
      </c>
      <c r="D94" s="445"/>
      <c r="E94" s="491"/>
      <c r="F94" s="491"/>
      <c r="G94" s="496">
        <f>+D76</f>
        <v>14.050262002648548</v>
      </c>
      <c r="I94" s="445"/>
      <c r="J94" s="491"/>
      <c r="K94" s="491"/>
      <c r="L94" s="496">
        <f>+I76</f>
        <v>16.692755509192981</v>
      </c>
      <c r="N94" s="445"/>
      <c r="O94" s="446"/>
      <c r="P94" s="446"/>
      <c r="Q94" s="496">
        <f>+N76</f>
        <v>8.3579661093879682</v>
      </c>
      <c r="S94" s="445"/>
      <c r="T94" s="446"/>
      <c r="U94" s="446"/>
      <c r="V94" s="496">
        <f>+S76</f>
        <v>4.117423000967583</v>
      </c>
      <c r="X94" s="445"/>
      <c r="Y94" s="446"/>
      <c r="Z94" s="446"/>
      <c r="AA94" s="496">
        <f>+X76</f>
        <v>5.561291334010364</v>
      </c>
      <c r="AC94" s="445"/>
      <c r="AD94" s="446"/>
      <c r="AE94" s="446"/>
      <c r="AF94" s="496">
        <f>+AC76</f>
        <v>15.326781368613995</v>
      </c>
      <c r="AH94" s="445"/>
      <c r="AI94" s="446"/>
      <c r="AJ94" s="446"/>
      <c r="AK94" s="496">
        <f>+AH76</f>
        <v>2.1607029909381317</v>
      </c>
      <c r="AM94" s="445"/>
      <c r="AN94" s="446"/>
      <c r="AO94" s="446"/>
      <c r="AP94" s="496">
        <f>+AM76</f>
        <v>9.846607392170986</v>
      </c>
    </row>
    <row r="95" spans="2:42" x14ac:dyDescent="0.3">
      <c r="B95" s="279" t="str">
        <f>TEXT(D75,"mm/dd/yyyy")&amp;" "&amp;B77</f>
        <v>LTM EV / EBITDA:</v>
      </c>
      <c r="D95" s="445"/>
      <c r="E95" s="491"/>
      <c r="F95" s="491"/>
      <c r="G95" s="496" t="str">
        <f>+D77</f>
        <v>NM</v>
      </c>
      <c r="I95" s="445"/>
      <c r="J95" s="491"/>
      <c r="K95" s="491"/>
      <c r="L95" s="496">
        <f>+I77</f>
        <v>42.62911440736918</v>
      </c>
      <c r="N95" s="445"/>
      <c r="O95" s="446"/>
      <c r="P95" s="446"/>
      <c r="Q95" s="496">
        <f>+N77</f>
        <v>33.227278630391361</v>
      </c>
      <c r="S95" s="445"/>
      <c r="T95" s="446"/>
      <c r="U95" s="446"/>
      <c r="V95" s="496">
        <f>+S77</f>
        <v>10.3237263162708</v>
      </c>
      <c r="X95" s="445"/>
      <c r="Y95" s="446"/>
      <c r="Z95" s="446"/>
      <c r="AA95" s="496">
        <f>+X77</f>
        <v>25.865406501473213</v>
      </c>
      <c r="AC95" s="445"/>
      <c r="AD95" s="446"/>
      <c r="AE95" s="446"/>
      <c r="AF95" s="496" t="str">
        <f>+AC77</f>
        <v>NM</v>
      </c>
      <c r="AH95" s="445"/>
      <c r="AI95" s="446"/>
      <c r="AJ95" s="446"/>
      <c r="AK95" s="496">
        <f>+AH77</f>
        <v>15.890990397200612</v>
      </c>
      <c r="AM95" s="445"/>
      <c r="AN95" s="446"/>
      <c r="AO95" s="446"/>
      <c r="AP95" s="496">
        <f>+AM77</f>
        <v>21.492284577706734</v>
      </c>
    </row>
    <row r="96" spans="2:42" x14ac:dyDescent="0.3">
      <c r="B96" s="279" t="str">
        <f>TEXT(D75,"mm/dd/yyyy")&amp;" "&amp;B78</f>
        <v>LTM P / E:</v>
      </c>
      <c r="D96" s="445"/>
      <c r="E96" s="491"/>
      <c r="F96" s="491"/>
      <c r="G96" s="496" t="str">
        <f>+D78</f>
        <v>NM</v>
      </c>
      <c r="I96" s="445"/>
      <c r="J96" s="491"/>
      <c r="K96" s="491"/>
      <c r="L96" s="496">
        <f>+I78</f>
        <v>94.362245475347848</v>
      </c>
      <c r="N96" s="445"/>
      <c r="O96" s="446"/>
      <c r="P96" s="446"/>
      <c r="Q96" s="496" t="str">
        <f>+N78</f>
        <v>NM</v>
      </c>
      <c r="S96" s="445"/>
      <c r="T96" s="446"/>
      <c r="U96" s="446"/>
      <c r="V96" s="496">
        <f>+S78</f>
        <v>23.466912412752322</v>
      </c>
      <c r="X96" s="445"/>
      <c r="Y96" s="446"/>
      <c r="Z96" s="446"/>
      <c r="AA96" s="496" t="str">
        <f>+X78</f>
        <v>NM</v>
      </c>
      <c r="AC96" s="445"/>
      <c r="AD96" s="446"/>
      <c r="AE96" s="446"/>
      <c r="AF96" s="496" t="str">
        <f>+AC78</f>
        <v>NM</v>
      </c>
      <c r="AH96" s="445"/>
      <c r="AI96" s="446"/>
      <c r="AJ96" s="446"/>
      <c r="AK96" s="496">
        <f>+AH78</f>
        <v>76.931912889220712</v>
      </c>
      <c r="AM96" s="445"/>
      <c r="AN96" s="446"/>
      <c r="AO96" s="446"/>
      <c r="AP96" s="496" t="str">
        <f>+AM78</f>
        <v>NM</v>
      </c>
    </row>
    <row r="97" spans="2:42" x14ac:dyDescent="0.3">
      <c r="D97" s="445"/>
      <c r="E97" s="491"/>
      <c r="F97" s="491"/>
      <c r="G97" s="447"/>
      <c r="I97" s="445"/>
      <c r="J97" s="491"/>
      <c r="K97" s="491"/>
      <c r="L97" s="447"/>
      <c r="N97" s="445"/>
      <c r="O97" s="446"/>
      <c r="P97" s="446"/>
      <c r="Q97" s="447"/>
      <c r="S97" s="445"/>
      <c r="T97" s="446"/>
      <c r="U97" s="446"/>
      <c r="V97" s="447"/>
      <c r="X97" s="445"/>
      <c r="Y97" s="446"/>
      <c r="Z97" s="446"/>
      <c r="AA97" s="447"/>
      <c r="AC97" s="445"/>
      <c r="AD97" s="446"/>
      <c r="AE97" s="446"/>
      <c r="AF97" s="447"/>
      <c r="AH97" s="445"/>
      <c r="AI97" s="446"/>
      <c r="AJ97" s="446"/>
      <c r="AK97" s="447"/>
      <c r="AM97" s="445"/>
      <c r="AN97" s="446"/>
      <c r="AO97" s="446"/>
      <c r="AP97" s="447"/>
    </row>
    <row r="98" spans="2:42" x14ac:dyDescent="0.3">
      <c r="B98" s="279" t="str">
        <f>TEXT(Forward_Year_1,"mm/dd/yyyy")&amp;" "&amp;B76</f>
        <v>12/31/2014 EV / Revenue:</v>
      </c>
      <c r="D98" s="445"/>
      <c r="E98" s="491"/>
      <c r="F98" s="491"/>
      <c r="G98" s="496">
        <f>+E76</f>
        <v>24.528183696602785</v>
      </c>
      <c r="I98" s="445"/>
      <c r="J98" s="491"/>
      <c r="K98" s="491"/>
      <c r="L98" s="496">
        <f>+J76</f>
        <v>13.679275204380058</v>
      </c>
      <c r="N98" s="445"/>
      <c r="O98" s="446"/>
      <c r="P98" s="446"/>
      <c r="Q98" s="496">
        <f>+O76</f>
        <v>5.6558150644757434</v>
      </c>
      <c r="S98" s="445"/>
      <c r="T98" s="446"/>
      <c r="U98" s="446"/>
      <c r="V98" s="496">
        <f>+T76</f>
        <v>3.8098498623877344</v>
      </c>
      <c r="X98" s="445"/>
      <c r="Y98" s="446"/>
      <c r="Z98" s="446"/>
      <c r="AA98" s="496">
        <f>+Y76</f>
        <v>5.0055125762550077</v>
      </c>
      <c r="AC98" s="445"/>
      <c r="AD98" s="446"/>
      <c r="AE98" s="446"/>
      <c r="AF98" s="496">
        <f>+AD76</f>
        <v>13.387159636666237</v>
      </c>
      <c r="AH98" s="445"/>
      <c r="AI98" s="446"/>
      <c r="AJ98" s="446"/>
      <c r="AK98" s="496">
        <f>+AI76</f>
        <v>1.9774042366275317</v>
      </c>
      <c r="AM98" s="445"/>
      <c r="AN98" s="446"/>
      <c r="AO98" s="446"/>
      <c r="AP98" s="496">
        <f>+AN76</f>
        <v>7.7234140345760629</v>
      </c>
    </row>
    <row r="99" spans="2:42" x14ac:dyDescent="0.3">
      <c r="B99" s="279" t="str">
        <f>TEXT(Forward_Year_1,"mm/dd/yyyy")&amp;" "&amp;B77</f>
        <v>12/31/2014 EV / EBITDA:</v>
      </c>
      <c r="D99" s="445"/>
      <c r="E99" s="491"/>
      <c r="F99" s="491"/>
      <c r="G99" s="496" t="str">
        <f>+E77</f>
        <v>NM</v>
      </c>
      <c r="I99" s="445"/>
      <c r="J99" s="491"/>
      <c r="K99" s="491"/>
      <c r="L99" s="496">
        <f>+J77</f>
        <v>27.660944727705601</v>
      </c>
      <c r="N99" s="445"/>
      <c r="O99" s="446"/>
      <c r="P99" s="446"/>
      <c r="Q99" s="496">
        <f>+O77</f>
        <v>13.705142573426492</v>
      </c>
      <c r="S99" s="445"/>
      <c r="T99" s="446"/>
      <c r="U99" s="446"/>
      <c r="V99" s="496">
        <f>+T77</f>
        <v>7.6015287397402336</v>
      </c>
      <c r="X99" s="445"/>
      <c r="Y99" s="446"/>
      <c r="Z99" s="446"/>
      <c r="AA99" s="496">
        <f>+Y77</f>
        <v>23.286347168285442</v>
      </c>
      <c r="AC99" s="445"/>
      <c r="AD99" s="446"/>
      <c r="AE99" s="446"/>
      <c r="AF99" s="496" t="str">
        <f>+AD77</f>
        <v>NM</v>
      </c>
      <c r="AH99" s="445"/>
      <c r="AI99" s="446"/>
      <c r="AJ99" s="446"/>
      <c r="AK99" s="496">
        <f>+AI77</f>
        <v>21.83313424230769</v>
      </c>
      <c r="AM99" s="445"/>
      <c r="AN99" s="446"/>
      <c r="AO99" s="446"/>
      <c r="AP99" s="496">
        <f>+AN77</f>
        <v>14.904202574445272</v>
      </c>
    </row>
    <row r="100" spans="2:42" x14ac:dyDescent="0.3">
      <c r="B100" s="279" t="str">
        <f>TEXT(Forward_Year_1,"mm/dd/yyyy")&amp;" "&amp;B78</f>
        <v>12/31/2014 P / E:</v>
      </c>
      <c r="D100" s="445"/>
      <c r="E100" s="491"/>
      <c r="F100" s="491"/>
      <c r="G100" s="496" t="str">
        <f>+E78</f>
        <v>NM</v>
      </c>
      <c r="I100" s="445"/>
      <c r="J100" s="491"/>
      <c r="K100" s="491"/>
      <c r="L100" s="496">
        <f>+J78</f>
        <v>66.005732316665828</v>
      </c>
      <c r="N100" s="445"/>
      <c r="O100" s="446"/>
      <c r="P100" s="446"/>
      <c r="Q100" s="496">
        <f>+O78</f>
        <v>21.538465988509273</v>
      </c>
      <c r="S100" s="445"/>
      <c r="T100" s="446"/>
      <c r="U100" s="446"/>
      <c r="V100" s="496">
        <f>+T78</f>
        <v>14.652681443241518</v>
      </c>
      <c r="X100" s="445"/>
      <c r="Y100" s="446"/>
      <c r="Z100" s="446"/>
      <c r="AA100" s="496" t="str">
        <f>+Y78</f>
        <v>NM</v>
      </c>
      <c r="AC100" s="445"/>
      <c r="AD100" s="446"/>
      <c r="AE100" s="446"/>
      <c r="AF100" s="496" t="str">
        <f>+AD78</f>
        <v>NM</v>
      </c>
      <c r="AH100" s="445"/>
      <c r="AI100" s="446"/>
      <c r="AJ100" s="446"/>
      <c r="AK100" s="496" t="str">
        <f>+AI78</f>
        <v>NM</v>
      </c>
      <c r="AM100" s="445"/>
      <c r="AN100" s="446"/>
      <c r="AO100" s="446"/>
      <c r="AP100" s="496">
        <f>+AN78</f>
        <v>33.311517699268471</v>
      </c>
    </row>
    <row r="101" spans="2:42" x14ac:dyDescent="0.3">
      <c r="D101" s="445"/>
      <c r="E101" s="491"/>
      <c r="F101" s="491"/>
      <c r="G101" s="447"/>
      <c r="I101" s="445"/>
      <c r="J101" s="491"/>
      <c r="K101" s="491"/>
      <c r="L101" s="447"/>
      <c r="N101" s="445"/>
      <c r="O101" s="446"/>
      <c r="P101" s="446"/>
      <c r="Q101" s="447"/>
      <c r="S101" s="445"/>
      <c r="T101" s="446"/>
      <c r="U101" s="446"/>
      <c r="V101" s="447"/>
      <c r="X101" s="445"/>
      <c r="Y101" s="446"/>
      <c r="Z101" s="446"/>
      <c r="AA101" s="447"/>
      <c r="AC101" s="445"/>
      <c r="AD101" s="446"/>
      <c r="AE101" s="446"/>
      <c r="AF101" s="447"/>
      <c r="AH101" s="445"/>
      <c r="AI101" s="446"/>
      <c r="AJ101" s="446"/>
      <c r="AK101" s="447"/>
      <c r="AM101" s="445"/>
      <c r="AN101" s="446"/>
      <c r="AO101" s="446"/>
      <c r="AP101" s="447"/>
    </row>
    <row r="102" spans="2:42" x14ac:dyDescent="0.3">
      <c r="B102" s="279" t="str">
        <f>TEXT(Forward_Year_2,"mm/dd/yyyy")&amp;" "&amp;B76</f>
        <v>12/31/2015 EV / Revenue:</v>
      </c>
      <c r="D102" s="445"/>
      <c r="E102" s="491"/>
      <c r="F102" s="491"/>
      <c r="G102" s="496">
        <f>+F76</f>
        <v>11.626075509372418</v>
      </c>
      <c r="I102" s="445"/>
      <c r="J102" s="491"/>
      <c r="K102" s="491"/>
      <c r="L102" s="496">
        <f>+K76</f>
        <v>11.560090450526763</v>
      </c>
      <c r="N102" s="445"/>
      <c r="O102" s="446"/>
      <c r="P102" s="446"/>
      <c r="Q102" s="496">
        <f>+P76</f>
        <v>4.6744483220796953</v>
      </c>
      <c r="S102" s="445"/>
      <c r="T102" s="446"/>
      <c r="U102" s="446"/>
      <c r="V102" s="496">
        <f>+U76</f>
        <v>3.447268620978087</v>
      </c>
      <c r="X102" s="445"/>
      <c r="Y102" s="446"/>
      <c r="Z102" s="446"/>
      <c r="AA102" s="496">
        <f>+Z76</f>
        <v>4.0715777617912448</v>
      </c>
      <c r="AC102" s="445"/>
      <c r="AD102" s="446"/>
      <c r="AE102" s="446"/>
      <c r="AF102" s="496">
        <f>+AE76</f>
        <v>9.6890492397971109</v>
      </c>
      <c r="AH102" s="445"/>
      <c r="AI102" s="446"/>
      <c r="AJ102" s="446"/>
      <c r="AK102" s="496">
        <f>+AJ76</f>
        <v>1.8634480532644375</v>
      </c>
      <c r="AM102" s="445"/>
      <c r="AN102" s="446"/>
      <c r="AO102" s="446"/>
      <c r="AP102" s="496">
        <f>+AO76</f>
        <v>5.8518596833919432</v>
      </c>
    </row>
    <row r="103" spans="2:42" x14ac:dyDescent="0.3">
      <c r="B103" s="279" t="str">
        <f>TEXT(Forward_Year_2,"mm/dd/yyyy")&amp;" "&amp;B77</f>
        <v>12/31/2015 EV / EBITDA:</v>
      </c>
      <c r="D103" s="445"/>
      <c r="E103" s="491"/>
      <c r="F103" s="491"/>
      <c r="G103" s="496">
        <f>+F77</f>
        <v>85.848642938109748</v>
      </c>
      <c r="I103" s="445"/>
      <c r="J103" s="491"/>
      <c r="K103" s="491"/>
      <c r="L103" s="496">
        <f>+K77</f>
        <v>22.745786667769615</v>
      </c>
      <c r="N103" s="445"/>
      <c r="O103" s="446"/>
      <c r="P103" s="446"/>
      <c r="Q103" s="496">
        <f>+P77</f>
        <v>9.7464859396226942</v>
      </c>
      <c r="S103" s="445"/>
      <c r="T103" s="446"/>
      <c r="U103" s="446"/>
      <c r="V103" s="496">
        <f>+U77</f>
        <v>6.9295095323139231</v>
      </c>
      <c r="X103" s="445"/>
      <c r="Y103" s="446"/>
      <c r="Z103" s="446"/>
      <c r="AA103" s="496">
        <f>+Z77</f>
        <v>20.482190708061111</v>
      </c>
      <c r="AC103" s="445"/>
      <c r="AD103" s="446"/>
      <c r="AE103" s="446"/>
      <c r="AF103" s="496" t="str">
        <f>+AE77</f>
        <v>NM</v>
      </c>
      <c r="AH103" s="445"/>
      <c r="AI103" s="446"/>
      <c r="AJ103" s="446"/>
      <c r="AK103" s="496">
        <f>+AJ77</f>
        <v>9.2274896075255857</v>
      </c>
      <c r="AM103" s="445"/>
      <c r="AN103" s="446"/>
      <c r="AO103" s="446"/>
      <c r="AP103" s="496">
        <f>+AO77</f>
        <v>10.938810272071629</v>
      </c>
    </row>
    <row r="104" spans="2:42" x14ac:dyDescent="0.3">
      <c r="B104" s="279" t="str">
        <f>TEXT(Forward_Year_2,"mm/dd/yyyy")&amp;" "&amp;B78</f>
        <v>12/31/2015 P / E:</v>
      </c>
      <c r="D104" s="472"/>
      <c r="E104" s="473"/>
      <c r="F104" s="473"/>
      <c r="G104" s="496" t="str">
        <f>+F78</f>
        <v>NM</v>
      </c>
      <c r="I104" s="472"/>
      <c r="J104" s="473"/>
      <c r="K104" s="473"/>
      <c r="L104" s="496">
        <f>+K78</f>
        <v>27.725601961750009</v>
      </c>
      <c r="N104" s="472"/>
      <c r="O104" s="473"/>
      <c r="P104" s="473"/>
      <c r="Q104" s="496">
        <f>+P78</f>
        <v>17.508899319673006</v>
      </c>
      <c r="S104" s="472"/>
      <c r="T104" s="473"/>
      <c r="U104" s="473"/>
      <c r="V104" s="496">
        <f>+U78</f>
        <v>13.290414007475299</v>
      </c>
      <c r="X104" s="472"/>
      <c r="Y104" s="473"/>
      <c r="Z104" s="473"/>
      <c r="AA104" s="496" t="str">
        <f>+Z78</f>
        <v>NM</v>
      </c>
      <c r="AC104" s="472"/>
      <c r="AD104" s="473"/>
      <c r="AE104" s="473"/>
      <c r="AF104" s="496" t="str">
        <f>+AE78</f>
        <v>NM</v>
      </c>
      <c r="AH104" s="472"/>
      <c r="AI104" s="473"/>
      <c r="AJ104" s="473"/>
      <c r="AK104" s="496">
        <f>+AJ78</f>
        <v>16.092320301231059</v>
      </c>
      <c r="AM104" s="472"/>
      <c r="AN104" s="473"/>
      <c r="AO104" s="473"/>
      <c r="AP104" s="496">
        <f>+AO78</f>
        <v>15.16946746117995</v>
      </c>
    </row>
  </sheetData>
  <pageMargins left="0.7" right="0.7" top="0.75" bottom="0.75" header="0.3" footer="0.3"/>
  <pageSetup scale="80" orientation="landscape" r:id="rId1"/>
  <rowBreaks count="2" manualBreakCount="2">
    <brk id="35" max="42" man="1"/>
    <brk id="67" max="42" man="1"/>
  </rowBreaks>
  <colBreaks count="4" manualBreakCount="4">
    <brk id="13" max="104" man="1"/>
    <brk id="23" max="104" man="1"/>
    <brk id="33" max="104" man="1"/>
    <brk id="43" max="104" man="1"/>
  </colBreaks>
  <ignoredErrors>
    <ignoredError sqref="D9:F9 AM9:AO9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M41"/>
  <sheetViews>
    <sheetView showGridLines="0" zoomScaleNormal="100" workbookViewId="0">
      <selection activeCell="F13" sqref="F13"/>
    </sheetView>
  </sheetViews>
  <sheetFormatPr defaultRowHeight="14.4" x14ac:dyDescent="0.3"/>
  <cols>
    <col min="1" max="2" width="2.77734375" style="279" customWidth="1"/>
    <col min="3" max="4" width="8.88671875" style="279"/>
    <col min="5" max="5" width="10.6640625" style="279" bestFit="1" customWidth="1"/>
    <col min="6" max="11" width="8.88671875" style="279"/>
    <col min="12" max="12" width="10.6640625" style="279" bestFit="1" customWidth="1"/>
    <col min="13" max="13" width="8.88671875" style="279"/>
    <col min="14" max="14" width="2.77734375" style="279" customWidth="1"/>
    <col min="15" max="16384" width="8.88671875" style="279"/>
  </cols>
  <sheetData>
    <row r="2" spans="2:13" x14ac:dyDescent="0.3">
      <c r="B2" s="277" t="s">
        <v>204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</row>
    <row r="3" spans="2:13" x14ac:dyDescent="0.3"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</row>
    <row r="4" spans="2:13" x14ac:dyDescent="0.3">
      <c r="B4" s="281" t="s">
        <v>205</v>
      </c>
      <c r="C4" s="282"/>
      <c r="D4" s="282"/>
      <c r="E4" s="283"/>
      <c r="F4" s="282"/>
      <c r="G4" s="282"/>
      <c r="H4" s="282"/>
      <c r="I4" s="282"/>
      <c r="J4" s="282"/>
      <c r="K4" s="282"/>
      <c r="L4" s="282"/>
      <c r="M4" s="282"/>
    </row>
    <row r="5" spans="2:13" x14ac:dyDescent="0.3"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</row>
    <row r="6" spans="2:13" x14ac:dyDescent="0.3">
      <c r="B6" s="281" t="s">
        <v>206</v>
      </c>
      <c r="C6" s="282"/>
      <c r="D6" s="282"/>
      <c r="E6" s="283" t="s">
        <v>207</v>
      </c>
      <c r="F6" s="282"/>
      <c r="G6" s="282"/>
      <c r="H6" s="282"/>
      <c r="I6" s="282"/>
      <c r="J6" s="282"/>
      <c r="K6" s="282"/>
      <c r="L6" s="282"/>
      <c r="M6" s="282"/>
    </row>
    <row r="7" spans="2:13" x14ac:dyDescent="0.3">
      <c r="B7" s="281" t="s">
        <v>208</v>
      </c>
      <c r="C7" s="282"/>
      <c r="D7" s="282"/>
      <c r="E7" s="284">
        <f>DATE(YEAR(Hist_Year)+1,MONTH(Hist_Year),DAY(Hist_Year))</f>
        <v>42004</v>
      </c>
      <c r="F7" s="282"/>
      <c r="G7" s="282"/>
      <c r="H7" s="282"/>
      <c r="I7" s="282"/>
      <c r="J7" s="282"/>
      <c r="K7" s="282"/>
      <c r="L7" s="282"/>
      <c r="M7" s="282"/>
    </row>
    <row r="8" spans="2:13" x14ac:dyDescent="0.3">
      <c r="B8" s="281" t="s">
        <v>209</v>
      </c>
      <c r="C8" s="282"/>
      <c r="D8" s="282"/>
      <c r="E8" s="284">
        <f>DATE(YEAR(Forward_Year_1)+1,MONTH(Forward_Year_1),DAY(Forward_Year_1))</f>
        <v>42369</v>
      </c>
      <c r="F8" s="282"/>
      <c r="G8" s="282"/>
      <c r="H8" s="282"/>
      <c r="I8" s="282"/>
      <c r="J8" s="282"/>
      <c r="K8" s="282"/>
      <c r="L8" s="282"/>
      <c r="M8" s="282"/>
    </row>
    <row r="9" spans="2:13" x14ac:dyDescent="0.3">
      <c r="B9" s="281" t="s">
        <v>210</v>
      </c>
      <c r="C9" s="282"/>
      <c r="D9" s="282"/>
      <c r="E9" s="284">
        <f>DATE(YEAR(Forward_Year_2)+1,MONTH(Forward_Year_2),DAY(Forward_Year_2))</f>
        <v>42735</v>
      </c>
      <c r="F9" s="282"/>
      <c r="G9" s="282"/>
      <c r="H9" s="282"/>
      <c r="I9" s="282"/>
      <c r="J9" s="282"/>
      <c r="K9" s="282"/>
      <c r="L9" s="282"/>
      <c r="M9" s="282"/>
    </row>
    <row r="10" spans="2:13" x14ac:dyDescent="0.3">
      <c r="B10" s="281"/>
      <c r="C10" s="282"/>
      <c r="D10" s="282"/>
      <c r="E10" s="285"/>
      <c r="F10" s="282"/>
      <c r="G10" s="282"/>
      <c r="H10" s="282"/>
      <c r="I10" s="282"/>
      <c r="J10" s="282"/>
      <c r="K10" s="282"/>
      <c r="L10" s="286"/>
      <c r="M10" s="282"/>
    </row>
    <row r="11" spans="2:13" x14ac:dyDescent="0.3">
      <c r="B11" s="281" t="s">
        <v>211</v>
      </c>
      <c r="C11" s="282"/>
      <c r="D11" s="282"/>
      <c r="E11" s="285"/>
      <c r="F11" s="282"/>
      <c r="G11" s="282"/>
      <c r="H11" s="281"/>
      <c r="I11" s="282"/>
      <c r="J11" s="282"/>
      <c r="K11" s="282"/>
      <c r="L11" s="286"/>
      <c r="M11" s="282"/>
    </row>
    <row r="12" spans="2:13" x14ac:dyDescent="0.3">
      <c r="B12" s="281"/>
      <c r="C12" s="282"/>
      <c r="D12" s="282"/>
      <c r="E12" s="285"/>
      <c r="F12" s="282"/>
      <c r="G12" s="282"/>
      <c r="H12" s="282"/>
      <c r="I12" s="282"/>
      <c r="J12" s="282"/>
      <c r="K12" s="282"/>
      <c r="L12" s="286"/>
      <c r="M12" s="282"/>
    </row>
    <row r="13" spans="2:13" x14ac:dyDescent="0.3">
      <c r="B13" s="281" t="s">
        <v>212</v>
      </c>
      <c r="C13" s="282"/>
      <c r="D13" s="282"/>
      <c r="E13" s="282"/>
      <c r="F13" s="287">
        <v>2</v>
      </c>
      <c r="G13" s="282"/>
      <c r="H13" s="281"/>
      <c r="I13" s="282"/>
      <c r="J13" s="282"/>
      <c r="K13" s="282"/>
      <c r="L13" s="287"/>
      <c r="M13" s="282"/>
    </row>
    <row r="14" spans="2:13" x14ac:dyDescent="0.3">
      <c r="B14" s="281" t="s">
        <v>213</v>
      </c>
      <c r="C14" s="282"/>
      <c r="D14" s="282"/>
      <c r="E14" s="282"/>
      <c r="F14" s="287">
        <v>44</v>
      </c>
      <c r="G14" s="282"/>
      <c r="H14" s="281"/>
      <c r="I14" s="282"/>
      <c r="J14" s="282"/>
      <c r="K14" s="282"/>
      <c r="L14" s="287"/>
      <c r="M14" s="282"/>
    </row>
    <row r="15" spans="2:13" x14ac:dyDescent="0.3">
      <c r="B15" s="281" t="s">
        <v>214</v>
      </c>
      <c r="C15" s="282"/>
      <c r="D15" s="282"/>
      <c r="E15" s="282"/>
      <c r="F15" s="287">
        <v>69</v>
      </c>
      <c r="G15" s="282"/>
      <c r="H15" s="281"/>
      <c r="I15" s="282"/>
      <c r="J15" s="282"/>
      <c r="K15" s="282"/>
      <c r="L15" s="287"/>
      <c r="M15" s="282"/>
    </row>
    <row r="16" spans="2:13" x14ac:dyDescent="0.3">
      <c r="B16" s="281" t="s">
        <v>215</v>
      </c>
      <c r="C16" s="282"/>
      <c r="D16" s="282"/>
      <c r="E16" s="282"/>
      <c r="F16" s="287">
        <v>70</v>
      </c>
      <c r="G16" s="282"/>
      <c r="H16" s="288"/>
      <c r="I16" s="282"/>
      <c r="J16" s="282"/>
      <c r="K16" s="282"/>
      <c r="L16" s="289"/>
      <c r="M16" s="282"/>
    </row>
    <row r="17" spans="2:13" x14ac:dyDescent="0.3">
      <c r="B17" s="281" t="s">
        <v>216</v>
      </c>
      <c r="C17" s="282"/>
      <c r="D17" s="282"/>
      <c r="E17" s="282"/>
      <c r="F17" s="287">
        <v>5</v>
      </c>
      <c r="G17" s="282"/>
      <c r="H17" s="281"/>
      <c r="I17" s="282"/>
      <c r="J17" s="282"/>
      <c r="K17" s="282"/>
      <c r="L17" s="287"/>
      <c r="M17" s="282"/>
    </row>
    <row r="18" spans="2:13" x14ac:dyDescent="0.3">
      <c r="B18" s="281" t="s">
        <v>217</v>
      </c>
      <c r="C18" s="282"/>
      <c r="D18" s="282"/>
      <c r="E18" s="282"/>
      <c r="F18" s="287">
        <v>81</v>
      </c>
      <c r="G18" s="282"/>
      <c r="H18" s="281"/>
      <c r="I18" s="282"/>
      <c r="J18" s="282"/>
      <c r="K18" s="282"/>
      <c r="L18" s="287"/>
      <c r="M18" s="282"/>
    </row>
    <row r="19" spans="2:13" x14ac:dyDescent="0.3">
      <c r="B19" s="281" t="s">
        <v>218</v>
      </c>
      <c r="C19" s="282"/>
      <c r="D19" s="282"/>
      <c r="E19" s="282"/>
      <c r="F19" s="287">
        <v>85</v>
      </c>
      <c r="G19" s="282"/>
      <c r="H19" s="281"/>
      <c r="I19" s="282"/>
      <c r="J19" s="282"/>
      <c r="K19" s="282"/>
      <c r="L19" s="287"/>
      <c r="M19" s="282"/>
    </row>
    <row r="20" spans="2:13" x14ac:dyDescent="0.3">
      <c r="B20" s="281" t="s">
        <v>219</v>
      </c>
      <c r="C20" s="282"/>
      <c r="D20" s="282"/>
      <c r="E20" s="282"/>
      <c r="F20" s="287">
        <v>21</v>
      </c>
      <c r="G20" s="282"/>
      <c r="H20" s="281"/>
      <c r="I20" s="282"/>
      <c r="J20" s="282"/>
      <c r="K20" s="282"/>
      <c r="L20" s="287"/>
      <c r="M20" s="282"/>
    </row>
    <row r="21" spans="2:13" x14ac:dyDescent="0.3">
      <c r="B21" s="281" t="s">
        <v>220</v>
      </c>
      <c r="C21" s="282"/>
      <c r="D21" s="282"/>
      <c r="E21" s="282"/>
      <c r="F21" s="287">
        <v>82</v>
      </c>
      <c r="G21" s="282"/>
      <c r="H21" s="281"/>
      <c r="I21" s="282"/>
      <c r="J21" s="282"/>
      <c r="K21" s="282"/>
      <c r="L21" s="287"/>
      <c r="M21" s="282"/>
    </row>
    <row r="22" spans="2:13" x14ac:dyDescent="0.3">
      <c r="B22" s="281" t="s">
        <v>221</v>
      </c>
      <c r="C22" s="282"/>
      <c r="D22" s="282"/>
      <c r="E22" s="282"/>
      <c r="F22" s="287">
        <v>86</v>
      </c>
      <c r="G22" s="282"/>
      <c r="H22" s="281"/>
      <c r="I22" s="282"/>
      <c r="J22" s="282"/>
      <c r="K22" s="282"/>
      <c r="L22" s="287"/>
      <c r="M22" s="282"/>
    </row>
    <row r="23" spans="2:13" x14ac:dyDescent="0.3">
      <c r="B23" s="281" t="s">
        <v>222</v>
      </c>
      <c r="C23" s="282"/>
      <c r="D23" s="282"/>
      <c r="E23" s="282"/>
      <c r="F23" s="287">
        <v>14</v>
      </c>
      <c r="G23" s="282"/>
      <c r="H23" s="281"/>
      <c r="I23" s="282"/>
      <c r="J23" s="282"/>
      <c r="K23" s="282"/>
      <c r="L23" s="287"/>
      <c r="M23" s="282"/>
    </row>
    <row r="24" spans="2:13" x14ac:dyDescent="0.3">
      <c r="B24" s="281" t="s">
        <v>223</v>
      </c>
      <c r="C24" s="282"/>
      <c r="D24" s="282"/>
      <c r="E24" s="282"/>
      <c r="F24" s="287">
        <v>83</v>
      </c>
      <c r="G24" s="282"/>
      <c r="H24" s="281"/>
      <c r="I24" s="282"/>
      <c r="J24" s="282"/>
      <c r="K24" s="282"/>
      <c r="L24" s="287"/>
      <c r="M24" s="282"/>
    </row>
    <row r="25" spans="2:13" x14ac:dyDescent="0.3">
      <c r="B25" s="281" t="s">
        <v>224</v>
      </c>
      <c r="C25" s="282"/>
      <c r="D25" s="282"/>
      <c r="E25" s="282"/>
      <c r="F25" s="287">
        <v>87</v>
      </c>
      <c r="G25" s="282"/>
      <c r="H25" s="281"/>
      <c r="I25" s="282"/>
      <c r="J25" s="282"/>
      <c r="K25" s="282"/>
      <c r="L25" s="287"/>
      <c r="M25" s="282"/>
    </row>
    <row r="26" spans="2:13" x14ac:dyDescent="0.3">
      <c r="B26" s="281" t="s">
        <v>225</v>
      </c>
      <c r="C26" s="282"/>
      <c r="D26" s="282"/>
      <c r="E26" s="282"/>
      <c r="F26" s="287">
        <v>93</v>
      </c>
      <c r="G26" s="282"/>
      <c r="H26" s="281"/>
      <c r="I26" s="282"/>
      <c r="J26" s="282"/>
      <c r="K26" s="282"/>
      <c r="L26" s="287"/>
      <c r="M26" s="282"/>
    </row>
    <row r="27" spans="2:13" x14ac:dyDescent="0.3">
      <c r="B27" s="281" t="s">
        <v>226</v>
      </c>
      <c r="C27" s="282"/>
      <c r="D27" s="282"/>
      <c r="E27" s="282"/>
      <c r="F27" s="287">
        <v>97</v>
      </c>
      <c r="G27" s="282"/>
      <c r="H27" s="282"/>
      <c r="I27" s="282"/>
      <c r="J27" s="282"/>
      <c r="K27" s="282"/>
      <c r="L27" s="287"/>
      <c r="M27" s="282"/>
    </row>
    <row r="28" spans="2:13" x14ac:dyDescent="0.3">
      <c r="B28" s="281" t="s">
        <v>227</v>
      </c>
      <c r="C28" s="282"/>
      <c r="D28" s="282"/>
      <c r="E28" s="282"/>
      <c r="F28" s="287">
        <v>101</v>
      </c>
      <c r="G28" s="282"/>
      <c r="H28" s="282"/>
      <c r="I28" s="282"/>
      <c r="J28" s="282"/>
      <c r="K28" s="282"/>
      <c r="L28" s="287"/>
      <c r="M28" s="282"/>
    </row>
    <row r="29" spans="2:13" x14ac:dyDescent="0.3">
      <c r="B29" s="281" t="s">
        <v>228</v>
      </c>
      <c r="C29" s="282"/>
      <c r="D29" s="282"/>
      <c r="E29" s="282"/>
      <c r="F29" s="287">
        <v>94</v>
      </c>
      <c r="G29" s="282"/>
      <c r="H29" s="282"/>
      <c r="I29" s="282"/>
      <c r="J29" s="282"/>
      <c r="K29" s="282"/>
      <c r="L29" s="287"/>
      <c r="M29" s="282"/>
    </row>
    <row r="30" spans="2:13" x14ac:dyDescent="0.3">
      <c r="B30" s="281" t="s">
        <v>229</v>
      </c>
      <c r="C30" s="282"/>
      <c r="D30" s="282"/>
      <c r="E30" s="282"/>
      <c r="F30" s="287">
        <v>98</v>
      </c>
      <c r="G30" s="282"/>
      <c r="H30" s="282"/>
      <c r="I30" s="282"/>
      <c r="J30" s="282"/>
      <c r="K30" s="282"/>
      <c r="L30" s="287"/>
      <c r="M30" s="282"/>
    </row>
    <row r="31" spans="2:13" x14ac:dyDescent="0.3">
      <c r="B31" s="281" t="s">
        <v>230</v>
      </c>
      <c r="C31" s="282"/>
      <c r="D31" s="282"/>
      <c r="E31" s="282"/>
      <c r="F31" s="287">
        <v>102</v>
      </c>
      <c r="G31" s="282"/>
      <c r="H31" s="282"/>
      <c r="I31" s="282"/>
      <c r="J31" s="282"/>
      <c r="K31" s="282"/>
      <c r="L31" s="287"/>
      <c r="M31" s="282"/>
    </row>
    <row r="32" spans="2:13" x14ac:dyDescent="0.3">
      <c r="B32" s="281" t="s">
        <v>231</v>
      </c>
      <c r="C32" s="282"/>
      <c r="D32" s="282"/>
      <c r="E32" s="282"/>
      <c r="F32" s="287">
        <v>95</v>
      </c>
      <c r="G32" s="282"/>
      <c r="H32" s="282"/>
      <c r="I32" s="282"/>
      <c r="J32" s="282"/>
      <c r="K32" s="282"/>
      <c r="L32" s="287"/>
      <c r="M32" s="282"/>
    </row>
    <row r="33" spans="2:13" x14ac:dyDescent="0.3">
      <c r="B33" s="281" t="s">
        <v>232</v>
      </c>
      <c r="C33" s="282"/>
      <c r="D33" s="282"/>
      <c r="E33" s="282"/>
      <c r="F33" s="290">
        <v>99</v>
      </c>
      <c r="G33" s="282"/>
      <c r="H33" s="282"/>
      <c r="I33" s="282"/>
      <c r="J33" s="282"/>
      <c r="K33" s="282"/>
      <c r="L33" s="290"/>
      <c r="M33" s="282"/>
    </row>
    <row r="34" spans="2:13" x14ac:dyDescent="0.3">
      <c r="B34" s="281" t="s">
        <v>233</v>
      </c>
      <c r="C34" s="282"/>
      <c r="D34" s="282"/>
      <c r="E34" s="282"/>
      <c r="F34" s="290">
        <v>103</v>
      </c>
      <c r="G34" s="282"/>
      <c r="H34" s="282"/>
      <c r="I34" s="282"/>
      <c r="J34" s="282"/>
      <c r="K34" s="282"/>
      <c r="L34" s="290"/>
      <c r="M34" s="282"/>
    </row>
    <row r="35" spans="2:13" x14ac:dyDescent="0.3">
      <c r="B35" s="281" t="s">
        <v>234</v>
      </c>
      <c r="C35" s="282"/>
      <c r="D35" s="282"/>
      <c r="E35" s="282"/>
      <c r="F35" s="282">
        <v>71</v>
      </c>
      <c r="G35" s="282"/>
      <c r="H35" s="282"/>
      <c r="I35" s="282"/>
      <c r="J35" s="282"/>
      <c r="K35" s="282"/>
      <c r="L35" s="282"/>
      <c r="M35" s="282"/>
    </row>
    <row r="36" spans="2:13" x14ac:dyDescent="0.3">
      <c r="B36" s="281" t="s">
        <v>235</v>
      </c>
      <c r="C36" s="282"/>
      <c r="D36" s="282"/>
      <c r="E36" s="282"/>
      <c r="F36" s="282">
        <v>28</v>
      </c>
      <c r="G36" s="282"/>
      <c r="H36" s="282"/>
      <c r="I36" s="282"/>
      <c r="J36" s="282"/>
      <c r="K36" s="282"/>
      <c r="L36" s="282"/>
      <c r="M36" s="282"/>
    </row>
    <row r="37" spans="2:13" x14ac:dyDescent="0.3">
      <c r="B37" s="281" t="s">
        <v>463</v>
      </c>
      <c r="C37" s="282"/>
      <c r="D37" s="282"/>
      <c r="E37" s="282"/>
      <c r="F37" s="282">
        <v>29</v>
      </c>
      <c r="G37" s="282"/>
      <c r="H37" s="282"/>
      <c r="I37" s="282"/>
      <c r="J37" s="282"/>
      <c r="K37" s="282"/>
      <c r="L37" s="282"/>
      <c r="M37" s="282"/>
    </row>
    <row r="38" spans="2:13" x14ac:dyDescent="0.3">
      <c r="B38" s="281" t="s">
        <v>236</v>
      </c>
      <c r="C38" s="282"/>
      <c r="D38" s="282"/>
      <c r="E38" s="282"/>
      <c r="F38" s="282">
        <v>19</v>
      </c>
      <c r="G38" s="282"/>
      <c r="H38" s="282"/>
      <c r="I38" s="282"/>
      <c r="J38" s="282"/>
      <c r="K38" s="282"/>
      <c r="L38" s="282"/>
      <c r="M38" s="282"/>
    </row>
    <row r="39" spans="2:13" x14ac:dyDescent="0.3">
      <c r="B39" s="281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</row>
    <row r="40" spans="2:13" x14ac:dyDescent="0.3"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</row>
    <row r="41" spans="2:13" x14ac:dyDescent="0.3">
      <c r="B41" s="282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2"/>
    </row>
  </sheetData>
  <dataValidations count="1">
    <dataValidation type="list" showInputMessage="1" showErrorMessage="1" sqref="E65540 E131076 E196612 E262148 E327684 E393220 E458756 E524292 E589828 E655364 E720900 E786436 E851972 E917508 E983044">
      <formula1>#REF!</formula1>
    </dataValidation>
  </dataValidations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44</vt:i4>
      </vt:variant>
    </vt:vector>
  </HeadingPairs>
  <TitlesOfParts>
    <vt:vector size="51" baseType="lpstr">
      <vt:lpstr>JAZZ-Model-DCF</vt:lpstr>
      <vt:lpstr>Q1-Stub</vt:lpstr>
      <vt:lpstr>WACC</vt:lpstr>
      <vt:lpstr>Public Comps</vt:lpstr>
      <vt:lpstr>M&amp;A-Comps</vt:lpstr>
      <vt:lpstr>Public-Comps-Data</vt:lpstr>
      <vt:lpstr>Inputs</vt:lpstr>
      <vt:lpstr>Basic_Shares</vt:lpstr>
      <vt:lpstr>Company_Name</vt:lpstr>
      <vt:lpstr>Comps_Range</vt:lpstr>
      <vt:lpstr>Cost_of_Debt</vt:lpstr>
      <vt:lpstr>Cost_of_Preferred</vt:lpstr>
      <vt:lpstr>Defiteleo_Market_Penetration_Toggle</vt:lpstr>
      <vt:lpstr>Defiteleo_Price_Increase_Toggle</vt:lpstr>
      <vt:lpstr>Discount_Rate</vt:lpstr>
      <vt:lpstr>Equity_Risk_Premium</vt:lpstr>
      <vt:lpstr>Forward_Year_1</vt:lpstr>
      <vt:lpstr>Forward_Year_2</vt:lpstr>
      <vt:lpstr>Forward_Year_3</vt:lpstr>
      <vt:lpstr>Inputs!FYear_1_Name</vt:lpstr>
      <vt:lpstr>Inputs!FYear_2_Name</vt:lpstr>
      <vt:lpstr>Inputs!FYear_3_Name</vt:lpstr>
      <vt:lpstr>Generics_Year</vt:lpstr>
      <vt:lpstr>Hist_Year</vt:lpstr>
      <vt:lpstr>JZP110_Market_Penetration_Toggle</vt:lpstr>
      <vt:lpstr>JZP110_Risk_Adjustment_Factor</vt:lpstr>
      <vt:lpstr>LTM</vt:lpstr>
      <vt:lpstr>LTM_Name</vt:lpstr>
      <vt:lpstr>Multiples_Method</vt:lpstr>
      <vt:lpstr>Next_Year</vt:lpstr>
      <vt:lpstr>Inputs!Print_Area</vt:lpstr>
      <vt:lpstr>'JAZZ-Model-DCF'!Print_Area</vt:lpstr>
      <vt:lpstr>'M&amp;A-Comps'!Print_Area</vt:lpstr>
      <vt:lpstr>'Public Comps'!Print_Area</vt:lpstr>
      <vt:lpstr>'Public-Comps-Data'!Print_Area</vt:lpstr>
      <vt:lpstr>'Q1-Stub'!Print_Area</vt:lpstr>
      <vt:lpstr>WACC!Print_Area</vt:lpstr>
      <vt:lpstr>Risk_Free_Rate</vt:lpstr>
      <vt:lpstr>Share_Price</vt:lpstr>
      <vt:lpstr>Stub_Period</vt:lpstr>
      <vt:lpstr>Tax_Rate</vt:lpstr>
      <vt:lpstr>Terminal_Growth_Rate</vt:lpstr>
      <vt:lpstr>Terminal_Multiple</vt:lpstr>
      <vt:lpstr>Ticker</vt:lpstr>
      <vt:lpstr>Units</vt:lpstr>
      <vt:lpstr>Valuation_Date</vt:lpstr>
      <vt:lpstr>WACC</vt:lpstr>
      <vt:lpstr>Xyrem_Generics_Price</vt:lpstr>
      <vt:lpstr>Xyrem_Market_Penetration_Toggle</vt:lpstr>
      <vt:lpstr>Xyrem_Price_Increase_Toggle</vt:lpstr>
      <vt:lpstr>Year_Remaining_Pct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cp:lastPrinted>2014-08-21T11:35:06Z</cp:lastPrinted>
  <dcterms:created xsi:type="dcterms:W3CDTF">2014-03-07T00:48:59Z</dcterms:created>
  <dcterms:modified xsi:type="dcterms:W3CDTF">2015-06-03T01:53:23Z</dcterms:modified>
</cp:coreProperties>
</file>